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<sst xmlns="http://schemas.openxmlformats.org/spreadsheetml/2006/main" count="119" uniqueCount="116">
  <si>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</si>
  <si>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</si>
  <si>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</si>
  <si>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</si>
  <si>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</si>
  <si>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</si>
  <si>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</si>
  <si>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</si>
  <si>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</si>
  <si>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</si>
  <si>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</si>
  <si>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</si>
  <si>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</si>
  <si>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</si>
  <si>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</si>
  <si>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</si>
  <si>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</si>
  <si>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</si>
  <si>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</si>
  <si>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</si>
  <si>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</si>
  <si>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</si>
  <si>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</si>
  <si>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</si>
  <si>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</si>
  <si>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</si>
  <si>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</si>
  <si>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</si>
  <si>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</si>
  <si>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</si>
  <si>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</si>
  <si>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</si>
  <si>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</si>
  <si>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</si>
  <si>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</si>
  <si>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</si>
  <si>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</si>
  <si>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</si>
  <si>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</si>
  <si>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</si>
  <si>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</si>
  <si>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</si>
  <si>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</si>
  <si>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</si>
  <si>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</si>
  <si>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</si>
  <si>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</si>
  <si>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</si>
  <si>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</si>
  <si>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</si>
  <si>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</si>
  <si>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</si>
  <si>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Итого совокупный доход за год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</si>
  <si>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</si>
  <si>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</si>
  <si>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</si>
  <si>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</si>
  <si>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</si>
  <si>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</si>
  <si>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</si>
  <si>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</si>
  <si>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</si>
  <si>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</si>
  <si>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</si>
  <si>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</si>
  <si>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</si>
  <si>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</si>
  <si>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</si>
  <si>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</si>
  <si>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</si>
  <si>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</si>
  <si>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</si>
  <si>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</si>
  <si>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</si>
  <si>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</si>
  <si>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</si>
  <si>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</si>
  <si>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</si>
  <si>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</si>
  <si>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</si>
  <si>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</si>
  <si>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</si>
  <si>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</si>
  <si>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</si>
  <si>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</si>
  <si>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</si>
  <si>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</si>
  <si>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</si>
  <si>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</si>
  <si>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НДС с бюджета</t>
  </si>
  <si>
    <t>Дебиторская задолженность</t>
  </si>
  <si>
    <t>Прочие операционные  расходы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</si>
  <si>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</si>
  <si>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</si>
  <si>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</si>
  <si>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</si>
  <si>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31 декабря  2018 г.</t>
  </si>
  <si>
    <t>\</t>
  </si>
  <si>
    <t>Текцущий подоходный налог к уплате</t>
  </si>
  <si>
    <t xml:space="preserve">На 1 января 2018 г. </t>
  </si>
  <si>
    <t>На 31 декабря 2018 г.</t>
  </si>
  <si>
    <t xml:space="preserve">Прочий совокупный доход </t>
  </si>
  <si>
    <t>Выплата дивидендов за вычетом налога у источника</t>
  </si>
  <si>
    <t>Денежные средства и их эквиваленты на конец периода</t>
  </si>
  <si>
    <t>Консолидированный отчет о финансовом положении по состоянию на 30 сентября  2019 года</t>
  </si>
  <si>
    <t>30 сентября   2019 г.</t>
  </si>
  <si>
    <t>Консолидированный отчет о прибыли или убытке и прочем совокупном доходе за 9 месяцев  2019 года</t>
  </si>
  <si>
    <t>30 сентября             2019</t>
  </si>
  <si>
    <t>30 сентября  2018</t>
  </si>
  <si>
    <t>Прибыль за 9 месяцев  2019 года</t>
  </si>
  <si>
    <t>Итого совокупный доход на 30 сентября 2019 года</t>
  </si>
  <si>
    <t>На  30 сентября  2019 года</t>
  </si>
  <si>
    <t>Консолидированный отчет об изменениях в капитале за 9 месяцев  2019 года</t>
  </si>
  <si>
    <t>Консолидированный  отчет о движении денежных средств за 9 месяцев  2019 года</t>
  </si>
  <si>
    <t>30 сентября  2018 г</t>
  </si>
  <si>
    <t>30 сентября            2019 г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</si>
</sst>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_ * #,##0.00_ ;_ * \-#,##0.00_ ;_ * &quot;-&quot;??_ ;_ @_ "/>
    <numFmt numFmtId="175" formatCode="_ * #,##0.0_ ;_ * \-#,##0.0_ ;_ * &quot;-&quot;??_ ;_ @_ "/>
    <numFmt numFmtId="176" formatCode="_(* #,##0_);_(* \(#,##0\);_(* &quot;-&quot;??_);_(@_)"/>
    <numFmt numFmtId="177" formatCode="_(\ #,##0.00_);\(\ #,##0.00\);_(* &quot;-&quot;_)"/>
    <numFmt numFmtId="178" formatCode="_(\ #,##0.00_);\(\ #,##0.00\)"/>
    <numFmt numFmtId="179" formatCode="* \(#,##0\);* #,##0_);&quot;-&quot;??_);@"/>
    <numFmt numFmtId="180" formatCode="* #,##0_);* \(#,##0\);&quot;-&quot;??_);@"/>
    <numFmt numFmtId="181" formatCode="0%_);\(0%\)"/>
    <numFmt numFmtId="182" formatCode="_-* #,##0\ _$_-;\-* #,##0\ _$_-;_-* &quot;-&quot;\ _$_-;_-@_-"/>
    <numFmt numFmtId="183" formatCode="_-* #,##0.00\ _$_-;\-* #,##0.00\ _$_-;_-* &quot;-&quot;??\ _$_-;_-@_-"/>
    <numFmt numFmtId="184" formatCode="_(* #,##0.00_);_(* \(#,##0.00\);_(* &quot;-&quot;_);_(@_)"/>
    <numFmt numFmtId="185" formatCode="_-* #,##0_р_._-;\-* #,##0_р_._-;_-* &quot;-&quot;??_р_._-;_-@_-"/>
    <numFmt numFmtId="186" formatCode="_ * #,##0_ ;_ * \-#,##0_ ;_ * &quot;-&quot;??_ ;_ @_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&quot; &quot;;\-#,##0&quot; &quot;"/>
    <numFmt numFmtId="192" formatCode="#,##0&quot; &quot;;[Red]\-#,##0&quot; &quot;"/>
    <numFmt numFmtId="193" formatCode="#,##0.00&quot; &quot;;\-#,##0.00&quot; &quot;"/>
    <numFmt numFmtId="194" formatCode="#,##0.00&quot; &quot;;[Red]\-#,##0.00&quot; &quot;"/>
    <numFmt numFmtId="195" formatCode="_-* #,##0&quot; &quot;_-;\-* #,##0&quot; &quot;_-;_-* &quot;-&quot;&quot; &quot;_-;_-@_-"/>
    <numFmt numFmtId="196" formatCode="_-* #,##0_ _-;\-* #,##0_ _-;_-* &quot;-&quot;_ _-;_-@_-"/>
    <numFmt numFmtId="197" formatCode="_-* #,##0.00&quot; &quot;_-;\-* #,##0.00&quot; &quot;_-;_-* &quot;-&quot;??&quot; &quot;_-;_-@_-"/>
    <numFmt numFmtId="198" formatCode="_-* #,##0.00_ _-;\-* #,##0.00_ _-;_-* &quot;-&quot;??_ _-;_-@_-"/>
    <numFmt numFmtId="199" formatCode="#,##0.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dddd\,\ mmmm\ dd\,\ yyyy"/>
    <numFmt numFmtId="212" formatCode="_ * #,##0.000_ ;_ * \-#,##0.000_ ;_ * &quot;-&quot;??_ ;_ @_ "/>
    <numFmt numFmtId="213" formatCode="_ * #,##0.0000_ ;_ * \-#,##0.0000_ ;_ * &quot;-&quot;??_ ;_ @_ "/>
    <numFmt numFmtId="214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5" fillId="0" borderId="0" applyFill="0" applyBorder="0" applyProtection="0">
      <alignment/>
    </xf>
    <xf numFmtId="179" fontId="5" fillId="0" borderId="1" applyFill="0" applyProtection="0">
      <alignment/>
    </xf>
    <xf numFmtId="179" fontId="5" fillId="0" borderId="2" applyFill="0" applyProtection="0">
      <alignment/>
    </xf>
    <xf numFmtId="180" fontId="5" fillId="0" borderId="0" applyFill="0" applyBorder="0" applyProtection="0">
      <alignment/>
    </xf>
    <xf numFmtId="180" fontId="5" fillId="0" borderId="1" applyFill="0" applyProtection="0">
      <alignment/>
    </xf>
    <xf numFmtId="180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2" fontId="0" fillId="0" borderId="0" xfId="0" applyNumberFormat="1" applyFill="1" applyAlignment="1">
      <alignment/>
    </xf>
    <xf numFmtId="172" fontId="30" fillId="0" borderId="0" xfId="0" applyNumberFormat="1" applyFont="1" applyFill="1" applyAlignment="1">
      <alignment vertical="center"/>
    </xf>
    <xf numFmtId="172" fontId="27" fillId="0" borderId="0" xfId="0" applyNumberFormat="1" applyFont="1" applyFill="1" applyAlignment="1">
      <alignment vertical="center"/>
    </xf>
    <xf numFmtId="172" fontId="31" fillId="0" borderId="3" xfId="0" applyNumberFormat="1" applyFont="1" applyFill="1" applyBorder="1" applyAlignment="1">
      <alignment vertical="center"/>
    </xf>
    <xf numFmtId="172" fontId="31" fillId="0" borderId="0" xfId="0" applyNumberFormat="1" applyFont="1" applyFill="1" applyAlignment="1">
      <alignment/>
    </xf>
    <xf numFmtId="172" fontId="32" fillId="0" borderId="3" xfId="0" applyNumberFormat="1" applyFont="1" applyFill="1" applyBorder="1" applyAlignment="1">
      <alignment vertical="center"/>
    </xf>
    <xf numFmtId="172" fontId="31" fillId="0" borderId="13" xfId="0" applyNumberFormat="1" applyFont="1" applyFill="1" applyBorder="1" applyAlignment="1">
      <alignment vertical="center"/>
    </xf>
    <xf numFmtId="172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2" fontId="26" fillId="0" borderId="0" xfId="0" applyNumberFormat="1" applyFont="1" applyFill="1" applyBorder="1" applyAlignment="1">
      <alignment vertical="center"/>
    </xf>
    <xf numFmtId="172" fontId="27" fillId="0" borderId="0" xfId="0" applyNumberFormat="1" applyFont="1" applyFill="1" applyBorder="1" applyAlignment="1">
      <alignment vertical="center"/>
    </xf>
    <xf numFmtId="172" fontId="27" fillId="0" borderId="0" xfId="0" applyNumberFormat="1" applyFont="1" applyFill="1" applyAlignment="1">
      <alignment vertical="center" wrapText="1"/>
    </xf>
    <xf numFmtId="172" fontId="0" fillId="0" borderId="0" xfId="0" applyNumberFormat="1" applyFill="1" applyAlignment="1">
      <alignment wrapText="1"/>
    </xf>
    <xf numFmtId="172" fontId="27" fillId="0" borderId="0" xfId="0" applyNumberFormat="1" applyFont="1" applyAlignment="1">
      <alignment/>
    </xf>
    <xf numFmtId="172" fontId="33" fillId="0" borderId="3" xfId="0" applyNumberFormat="1" applyFont="1" applyBorder="1" applyAlignment="1">
      <alignment vertical="center" wrapText="1"/>
    </xf>
    <xf numFmtId="172" fontId="30" fillId="0" borderId="3" xfId="0" applyNumberFormat="1" applyFont="1" applyBorder="1" applyAlignment="1">
      <alignment horizontal="right" wrapText="1"/>
    </xf>
    <xf numFmtId="172" fontId="30" fillId="0" borderId="3" xfId="0" applyNumberFormat="1" applyFont="1" applyBorder="1" applyAlignment="1">
      <alignment horizontal="right" vertical="center" wrapText="1"/>
    </xf>
    <xf numFmtId="172" fontId="30" fillId="0" borderId="0" xfId="0" applyNumberFormat="1" applyFont="1" applyAlignment="1">
      <alignment vertical="center" wrapText="1"/>
    </xf>
    <xf numFmtId="172" fontId="27" fillId="0" borderId="0" xfId="0" applyNumberFormat="1" applyFont="1" applyAlignment="1">
      <alignment vertical="center" wrapText="1"/>
    </xf>
    <xf numFmtId="172" fontId="32" fillId="0" borderId="0" xfId="0" applyNumberFormat="1" applyFont="1" applyAlignment="1">
      <alignment vertical="center" wrapText="1"/>
    </xf>
    <xf numFmtId="172" fontId="31" fillId="0" borderId="0" xfId="0" applyNumberFormat="1" applyFont="1" applyAlignment="1">
      <alignment vertical="center" wrapText="1"/>
    </xf>
    <xf numFmtId="172" fontId="31" fillId="0" borderId="0" xfId="0" applyNumberFormat="1" applyFont="1" applyAlignment="1">
      <alignment/>
    </xf>
    <xf numFmtId="172" fontId="30" fillId="0" borderId="0" xfId="0" applyNumberFormat="1" applyFont="1" applyAlignment="1">
      <alignment/>
    </xf>
    <xf numFmtId="172" fontId="31" fillId="0" borderId="3" xfId="0" applyNumberFormat="1" applyFont="1" applyBorder="1" applyAlignment="1">
      <alignment vertical="center" wrapText="1"/>
    </xf>
    <xf numFmtId="172" fontId="27" fillId="0" borderId="0" xfId="0" applyNumberFormat="1" applyFont="1" applyAlignment="1">
      <alignment vertical="center"/>
    </xf>
    <xf numFmtId="172" fontId="34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2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2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6" fontId="30" fillId="0" borderId="0" xfId="86" applyNumberFormat="1" applyFont="1" applyAlignment="1">
      <alignment wrapText="1"/>
    </xf>
    <xf numFmtId="186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6" fontId="35" fillId="0" borderId="0" xfId="0" applyNumberFormat="1" applyFont="1" applyAlignment="1">
      <alignment/>
    </xf>
    <xf numFmtId="172" fontId="34" fillId="0" borderId="0" xfId="0" applyNumberFormat="1" applyFont="1" applyAlignment="1">
      <alignment/>
    </xf>
    <xf numFmtId="172" fontId="27" fillId="0" borderId="0" xfId="76" applyNumberFormat="1" applyFont="1" applyFill="1" applyAlignment="1">
      <alignment/>
      <protection/>
    </xf>
    <xf numFmtId="172" fontId="29" fillId="0" borderId="0" xfId="76" applyNumberFormat="1" applyFont="1" applyFill="1" applyAlignment="1">
      <alignment vertical="center"/>
      <protection/>
    </xf>
    <xf numFmtId="172" fontId="30" fillId="0" borderId="0" xfId="76" applyNumberFormat="1" applyFont="1" applyFill="1" applyAlignment="1">
      <alignment horizontal="right" vertical="center"/>
      <protection/>
    </xf>
    <xf numFmtId="172" fontId="0" fillId="0" borderId="0" xfId="76" applyNumberFormat="1" applyFill="1" applyAlignment="1">
      <alignment/>
      <protection/>
    </xf>
    <xf numFmtId="172" fontId="29" fillId="0" borderId="3" xfId="76" applyNumberFormat="1" applyFont="1" applyFill="1" applyBorder="1" applyAlignment="1">
      <alignment vertical="center"/>
      <protection/>
    </xf>
    <xf numFmtId="172" fontId="30" fillId="0" borderId="3" xfId="76" applyNumberFormat="1" applyFont="1" applyFill="1" applyBorder="1" applyAlignment="1">
      <alignment horizontal="right" vertical="center"/>
      <protection/>
    </xf>
    <xf numFmtId="172" fontId="30" fillId="0" borderId="0" xfId="76" applyNumberFormat="1" applyFont="1" applyFill="1" applyAlignment="1">
      <alignment vertical="center"/>
      <protection/>
    </xf>
    <xf numFmtId="172" fontId="27" fillId="0" borderId="0" xfId="76" applyNumberFormat="1" applyFont="1" applyFill="1" applyAlignment="1">
      <alignment vertical="center"/>
      <protection/>
    </xf>
    <xf numFmtId="172" fontId="31" fillId="0" borderId="3" xfId="76" applyNumberFormat="1" applyFont="1" applyFill="1" applyBorder="1" applyAlignment="1">
      <alignment vertical="center"/>
      <protection/>
    </xf>
    <xf numFmtId="172" fontId="31" fillId="0" borderId="0" xfId="76" applyNumberFormat="1" applyFont="1" applyFill="1" applyAlignment="1">
      <alignment/>
      <protection/>
    </xf>
    <xf numFmtId="172" fontId="27" fillId="0" borderId="14" xfId="76" applyNumberFormat="1" applyFont="1" applyFill="1" applyBorder="1" applyAlignment="1">
      <alignment vertical="center"/>
      <protection/>
    </xf>
    <xf numFmtId="172" fontId="32" fillId="0" borderId="3" xfId="76" applyNumberFormat="1" applyFont="1" applyFill="1" applyBorder="1" applyAlignment="1">
      <alignment vertical="center"/>
      <protection/>
    </xf>
    <xf numFmtId="172" fontId="30" fillId="0" borderId="14" xfId="76" applyNumberFormat="1" applyFont="1" applyFill="1" applyBorder="1" applyAlignment="1">
      <alignment vertical="center"/>
      <protection/>
    </xf>
    <xf numFmtId="172" fontId="31" fillId="0" borderId="13" xfId="76" applyNumberFormat="1" applyFont="1" applyFill="1" applyBorder="1" applyAlignment="1">
      <alignment vertical="center"/>
      <protection/>
    </xf>
    <xf numFmtId="172" fontId="27" fillId="0" borderId="15" xfId="76" applyNumberFormat="1" applyFont="1" applyFill="1" applyBorder="1" applyAlignment="1">
      <alignment vertical="center"/>
      <protection/>
    </xf>
    <xf numFmtId="172" fontId="33" fillId="0" borderId="0" xfId="76" applyNumberFormat="1" applyFont="1" applyFill="1" applyAlignment="1">
      <alignment vertical="center"/>
      <protection/>
    </xf>
    <xf numFmtId="172" fontId="31" fillId="0" borderId="3" xfId="76" applyNumberFormat="1" applyFont="1" applyFill="1" applyBorder="1" applyAlignment="1">
      <alignment horizontal="right" vertical="center"/>
      <protection/>
    </xf>
    <xf numFmtId="172" fontId="27" fillId="0" borderId="0" xfId="76" applyNumberFormat="1" applyFont="1" applyFill="1" applyAlignment="1">
      <alignment horizontal="right" vertical="center"/>
      <protection/>
    </xf>
    <xf numFmtId="172" fontId="31" fillId="0" borderId="0" xfId="76" applyNumberFormat="1" applyFont="1" applyFill="1" applyAlignment="1">
      <alignment horizontal="right" vertical="center"/>
      <protection/>
    </xf>
    <xf numFmtId="172" fontId="27" fillId="0" borderId="14" xfId="76" applyNumberFormat="1" applyFont="1" applyFill="1" applyBorder="1" applyAlignment="1">
      <alignment horizontal="right" vertical="center"/>
      <protection/>
    </xf>
    <xf numFmtId="172" fontId="32" fillId="0" borderId="13" xfId="76" applyNumberFormat="1" applyFont="1" applyFill="1" applyBorder="1" applyAlignment="1">
      <alignment vertical="center"/>
      <protection/>
    </xf>
    <xf numFmtId="172" fontId="32" fillId="0" borderId="13" xfId="76" applyNumberFormat="1" applyFont="1" applyFill="1" applyBorder="1" applyAlignment="1">
      <alignment horizontal="right" vertical="center"/>
      <protection/>
    </xf>
    <xf numFmtId="172" fontId="27" fillId="0" borderId="0" xfId="76" applyNumberFormat="1" applyFont="1" applyAlignment="1">
      <alignment horizontal="left"/>
      <protection/>
    </xf>
    <xf numFmtId="172" fontId="27" fillId="0" borderId="0" xfId="76" applyNumberFormat="1" applyFont="1" applyFill="1" applyAlignment="1">
      <alignment/>
      <protection/>
    </xf>
    <xf numFmtId="186" fontId="27" fillId="0" borderId="0" xfId="86" applyNumberFormat="1" applyFont="1" applyAlignment="1">
      <alignment wrapText="1"/>
    </xf>
    <xf numFmtId="172" fontId="27" fillId="0" borderId="0" xfId="76" applyNumberFormat="1" applyFont="1" applyFill="1" applyAlignment="1">
      <alignment horizontal="left" wrapText="1"/>
      <protection/>
    </xf>
    <xf numFmtId="172" fontId="27" fillId="18" borderId="0" xfId="76" applyNumberFormat="1" applyFont="1" applyFill="1" applyAlignment="1">
      <alignment/>
      <protection/>
    </xf>
    <xf numFmtId="172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2" fontId="37" fillId="0" borderId="0" xfId="0" applyNumberFormat="1" applyFont="1" applyAlignment="1">
      <alignment/>
    </xf>
    <xf numFmtId="172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2" fontId="30" fillId="0" borderId="16" xfId="0" applyNumberFormat="1" applyFont="1" applyBorder="1" applyAlignment="1">
      <alignment vertical="center" wrapText="1"/>
    </xf>
    <xf numFmtId="172" fontId="31" fillId="0" borderId="0" xfId="0" applyNumberFormat="1" applyFont="1" applyBorder="1" applyAlignment="1">
      <alignment vertical="center" wrapText="1"/>
    </xf>
    <xf numFmtId="172" fontId="30" fillId="0" borderId="0" xfId="0" applyNumberFormat="1" applyFont="1" applyAlignment="1">
      <alignment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2" fontId="30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wrapText="1"/>
    </xf>
    <xf numFmtId="176" fontId="30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7"/>
  <sheetViews>
    <sheetView showGridLines="0" tabSelected="1" zoomScale="90" zoomScaleNormal="90" zoomScalePageLayoutView="0" workbookViewId="0" topLeftCell="A1">
      <pane xSplit="1" ySplit="5" topLeftCell="B39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="47" customFormat="1" ht="12"/>
    <row r="2" spans="1:3" s="47" customFormat="1" ht="48.75" customHeight="1">
      <c r="A2" s="82" t="s">
        <v>104</v>
      </c>
      <c r="B2" s="83"/>
      <c r="C2" s="83"/>
    </row>
    <row r="3" s="47" customFormat="1" ht="18" customHeight="1"/>
    <row r="4" spans="1:3" ht="12.75">
      <c r="A4" s="48"/>
      <c r="B4" s="49" t="s">
        <v>105</v>
      </c>
      <c r="C4" s="49" t="s">
        <v>96</v>
      </c>
    </row>
    <row r="5" spans="1:3" ht="13.5" thickBot="1">
      <c r="A5" s="51"/>
      <c r="B5" s="52"/>
      <c r="C5" s="52"/>
    </row>
    <row r="6" spans="1:3" ht="12.75">
      <c r="A6" s="48"/>
      <c r="B6" s="53"/>
      <c r="C6" s="53"/>
    </row>
    <row r="7" spans="1:3" ht="12.75">
      <c r="A7" s="53" t="s">
        <v>0</v>
      </c>
      <c r="B7" s="54"/>
      <c r="C7" s="54"/>
    </row>
    <row r="8" spans="1:3" ht="12.75">
      <c r="A8" s="54"/>
      <c r="B8" s="54"/>
      <c r="C8" s="54"/>
    </row>
    <row r="9" spans="1:3" ht="12.75">
      <c r="A9" s="54" t="s">
        <v>1</v>
      </c>
      <c r="B9" s="54">
        <v>54789928</v>
      </c>
      <c r="C9" s="54">
        <v>49779430</v>
      </c>
    </row>
    <row r="10" spans="1:3" ht="12.75">
      <c r="A10" s="54" t="s">
        <v>2</v>
      </c>
      <c r="B10" s="54">
        <v>774274</v>
      </c>
      <c r="C10" s="54">
        <v>695073</v>
      </c>
    </row>
    <row r="11" spans="1:3" ht="12.75">
      <c r="A11" s="54" t="s">
        <v>3</v>
      </c>
      <c r="B11" s="54">
        <v>646535</v>
      </c>
      <c r="C11" s="54">
        <v>70322</v>
      </c>
    </row>
    <row r="12" spans="1:3" ht="12.75">
      <c r="A12" s="54" t="s">
        <v>90</v>
      </c>
      <c r="B12" s="54">
        <v>226326</v>
      </c>
      <c r="C12" s="54">
        <v>2354078</v>
      </c>
    </row>
    <row r="13" spans="1:3" ht="12.75">
      <c r="A13" s="54" t="s">
        <v>4</v>
      </c>
      <c r="B13" s="54">
        <v>2874872</v>
      </c>
      <c r="C13" s="54">
        <v>441397</v>
      </c>
    </row>
    <row r="14" spans="1:3" s="56" customFormat="1" ht="6.75" thickBot="1">
      <c r="A14" s="55"/>
      <c r="B14" s="55"/>
      <c r="C14" s="55"/>
    </row>
    <row r="15" spans="1:3" ht="12.75">
      <c r="A15" s="54"/>
      <c r="B15" s="54"/>
      <c r="C15" s="54"/>
    </row>
    <row r="16" spans="1:3" ht="12.75">
      <c r="A16" s="53" t="s">
        <v>5</v>
      </c>
      <c r="B16" s="53">
        <f>SUM(B9:B15)</f>
        <v>59311935</v>
      </c>
      <c r="C16" s="53">
        <f>SUM(C9:C15)</f>
        <v>53340300</v>
      </c>
    </row>
    <row r="17" spans="1:3" s="56" customFormat="1" ht="6.75" thickBot="1">
      <c r="A17" s="55"/>
      <c r="B17" s="55"/>
      <c r="C17" s="55"/>
    </row>
    <row r="18" spans="1:3" ht="12.75">
      <c r="A18" s="54"/>
      <c r="B18" s="54"/>
      <c r="C18" s="54"/>
    </row>
    <row r="19" spans="1:3" ht="12.75">
      <c r="A19" s="54" t="s">
        <v>6</v>
      </c>
      <c r="B19" s="54">
        <v>32678421</v>
      </c>
      <c r="C19" s="54">
        <v>27000212</v>
      </c>
    </row>
    <row r="20" spans="1:3" ht="12.75">
      <c r="A20" s="54" t="s">
        <v>7</v>
      </c>
      <c r="B20" s="54">
        <v>18421959</v>
      </c>
      <c r="C20" s="54">
        <v>11530159</v>
      </c>
    </row>
    <row r="21" spans="1:3" ht="12.75">
      <c r="A21" s="54" t="s">
        <v>8</v>
      </c>
      <c r="B21" s="54">
        <v>62817</v>
      </c>
      <c r="C21" s="54">
        <v>33705</v>
      </c>
    </row>
    <row r="22" spans="1:3" ht="12.75">
      <c r="A22" s="54" t="s">
        <v>9</v>
      </c>
      <c r="B22" s="54">
        <v>7086302</v>
      </c>
      <c r="C22" s="54">
        <v>3734824</v>
      </c>
    </row>
    <row r="23" spans="1:3" ht="12.75">
      <c r="A23" s="54" t="s">
        <v>10</v>
      </c>
      <c r="B23" s="54">
        <v>1517143</v>
      </c>
      <c r="C23" s="54">
        <v>4204455</v>
      </c>
    </row>
    <row r="24" spans="1:3" s="56" customFormat="1" ht="6.75" thickBot="1">
      <c r="A24" s="55"/>
      <c r="B24" s="55"/>
      <c r="C24" s="55"/>
    </row>
    <row r="25" spans="1:3" ht="12.75">
      <c r="A25" s="57"/>
      <c r="B25" s="54"/>
      <c r="C25" s="54"/>
    </row>
    <row r="26" spans="1:3" ht="12.75">
      <c r="A26" s="53" t="s">
        <v>11</v>
      </c>
      <c r="B26" s="53">
        <f>SUM(B19:B25)</f>
        <v>59766642</v>
      </c>
      <c r="C26" s="53">
        <f>SUM(C19:C25)</f>
        <v>46503355</v>
      </c>
    </row>
    <row r="27" spans="1:3" s="56" customFormat="1" ht="6.75" thickBot="1">
      <c r="A27" s="58"/>
      <c r="B27" s="58"/>
      <c r="C27" s="58"/>
    </row>
    <row r="28" spans="1:3" ht="12.75">
      <c r="A28" s="59"/>
      <c r="B28" s="53"/>
      <c r="C28" s="53"/>
    </row>
    <row r="29" spans="1:3" ht="12.75">
      <c r="A29" s="53" t="s">
        <v>12</v>
      </c>
      <c r="B29" s="53">
        <f>B16+B26</f>
        <v>119078577</v>
      </c>
      <c r="C29" s="53">
        <f>C16+C26</f>
        <v>99843655</v>
      </c>
    </row>
    <row r="30" spans="1:3" s="56" customFormat="1" ht="6.75" thickBot="1">
      <c r="A30" s="60"/>
      <c r="B30" s="60"/>
      <c r="C30" s="60"/>
    </row>
    <row r="31" spans="1:3" ht="13.5" thickTop="1">
      <c r="A31" s="61"/>
      <c r="B31" s="54"/>
      <c r="C31" s="54"/>
    </row>
    <row r="32" ht="12.75">
      <c r="A32" s="53" t="s">
        <v>13</v>
      </c>
    </row>
    <row r="33" ht="12.75">
      <c r="A33" s="53"/>
    </row>
    <row r="34" ht="12.75">
      <c r="A34" s="62" t="s">
        <v>14</v>
      </c>
    </row>
    <row r="35" spans="1:3" ht="12.75">
      <c r="A35" s="54" t="s">
        <v>15</v>
      </c>
      <c r="B35" s="54">
        <f>-'[3]FS'!$N$33</f>
        <v>159987.66619000002</v>
      </c>
      <c r="C35" s="54">
        <v>159988</v>
      </c>
    </row>
    <row r="36" spans="1:3" ht="12.75">
      <c r="A36" s="54" t="s">
        <v>16</v>
      </c>
      <c r="B36" s="54">
        <f>-'[3]FS'!$N$34</f>
        <v>1282400.8450000002</v>
      </c>
      <c r="C36" s="54">
        <v>1282401</v>
      </c>
    </row>
    <row r="37" spans="1:3" ht="12.75">
      <c r="A37" s="54" t="s">
        <v>84</v>
      </c>
      <c r="B37" s="54">
        <f>-48306</f>
        <v>-48306</v>
      </c>
      <c r="C37" s="54">
        <v>-48306</v>
      </c>
    </row>
    <row r="38" spans="1:3" ht="12.75">
      <c r="A38" s="54" t="s">
        <v>85</v>
      </c>
      <c r="B38" s="54">
        <v>4840467</v>
      </c>
      <c r="C38" s="54">
        <v>4835548</v>
      </c>
    </row>
    <row r="39" spans="1:3" ht="12.75">
      <c r="A39" s="54" t="s">
        <v>18</v>
      </c>
      <c r="B39" s="54">
        <v>22871347</v>
      </c>
      <c r="C39" s="54">
        <v>18752459</v>
      </c>
    </row>
    <row r="40" spans="1:3" s="56" customFormat="1" ht="6.75" thickBot="1">
      <c r="A40" s="55"/>
      <c r="B40" s="63"/>
      <c r="C40" s="63"/>
    </row>
    <row r="41" spans="1:3" ht="12.75">
      <c r="A41" s="54"/>
      <c r="B41" s="64"/>
      <c r="C41" s="64"/>
    </row>
    <row r="42" spans="1:3" ht="12.75">
      <c r="A42" s="53" t="s">
        <v>19</v>
      </c>
      <c r="B42" s="49">
        <f>SUM(B35:B41)</f>
        <v>29105896.51119</v>
      </c>
      <c r="C42" s="49">
        <f>SUM(C35:C41)</f>
        <v>24982090</v>
      </c>
    </row>
    <row r="43" spans="1:3" s="56" customFormat="1" ht="6.75" thickBot="1">
      <c r="A43" s="55"/>
      <c r="B43" s="65"/>
      <c r="C43" s="65"/>
    </row>
    <row r="44" spans="1:3" ht="12.75">
      <c r="A44" s="54"/>
      <c r="B44" s="66"/>
      <c r="C44" s="66"/>
    </row>
    <row r="45" spans="1:3" ht="12.75">
      <c r="A45" s="62" t="s">
        <v>29</v>
      </c>
      <c r="B45" s="64"/>
      <c r="C45" s="64"/>
    </row>
    <row r="46" spans="1:3" ht="12.75">
      <c r="A46" s="54" t="s">
        <v>76</v>
      </c>
      <c r="B46" s="54">
        <v>14155357</v>
      </c>
      <c r="C46" s="54">
        <v>14030102</v>
      </c>
    </row>
    <row r="47" spans="1:3" ht="12.75">
      <c r="A47" s="54" t="s">
        <v>77</v>
      </c>
      <c r="B47" s="54">
        <v>449349</v>
      </c>
      <c r="C47" s="54">
        <v>445749</v>
      </c>
    </row>
    <row r="48" spans="1:3" ht="12.75">
      <c r="A48" s="54" t="s">
        <v>78</v>
      </c>
      <c r="B48" s="54">
        <v>132991</v>
      </c>
      <c r="C48" s="54">
        <v>132991</v>
      </c>
    </row>
    <row r="49" spans="1:3" ht="12.75">
      <c r="A49" s="54" t="s">
        <v>20</v>
      </c>
      <c r="B49" s="54">
        <v>4979888</v>
      </c>
      <c r="C49" s="54">
        <v>4338719</v>
      </c>
    </row>
    <row r="50" spans="1:3" ht="12.75">
      <c r="A50" s="54" t="s">
        <v>21</v>
      </c>
      <c r="B50" s="54">
        <v>103316</v>
      </c>
      <c r="C50" s="54">
        <v>94054</v>
      </c>
    </row>
    <row r="51" spans="1:3" s="56" customFormat="1" ht="6.75" thickBot="1">
      <c r="A51" s="55"/>
      <c r="B51" s="63" t="s">
        <v>97</v>
      </c>
      <c r="C51" s="63"/>
    </row>
    <row r="52" spans="1:3" ht="12.75">
      <c r="A52" s="54"/>
      <c r="B52" s="64"/>
      <c r="C52" s="64"/>
    </row>
    <row r="53" spans="1:3" ht="12.75">
      <c r="A53" s="53" t="s">
        <v>22</v>
      </c>
      <c r="B53" s="49">
        <f>SUM(B46:B52)</f>
        <v>19820901</v>
      </c>
      <c r="C53" s="49">
        <f>SUM(C46:C52)</f>
        <v>19041615</v>
      </c>
    </row>
    <row r="54" spans="1:3" s="56" customFormat="1" ht="6.75" thickBot="1">
      <c r="A54" s="55"/>
      <c r="B54" s="63"/>
      <c r="C54" s="63"/>
    </row>
    <row r="55" spans="1:3" ht="12.75">
      <c r="A55" s="54"/>
      <c r="B55" s="64"/>
      <c r="C55" s="64"/>
    </row>
    <row r="56" spans="1:3" ht="12.75">
      <c r="A56" s="62" t="s">
        <v>23</v>
      </c>
      <c r="B56" s="64"/>
      <c r="C56" s="64"/>
    </row>
    <row r="57" spans="1:3" ht="12.75">
      <c r="A57" s="54" t="s">
        <v>76</v>
      </c>
      <c r="B57" s="54">
        <v>27700166</v>
      </c>
      <c r="C57" s="54">
        <v>14648541</v>
      </c>
    </row>
    <row r="58" spans="1:3" ht="12.75">
      <c r="A58" s="54" t="s">
        <v>79</v>
      </c>
      <c r="B58" s="54">
        <v>21336</v>
      </c>
      <c r="C58" s="54">
        <v>21336</v>
      </c>
    </row>
    <row r="59" spans="1:3" ht="12.75">
      <c r="A59" s="54" t="s">
        <v>24</v>
      </c>
      <c r="B59" s="54">
        <v>42160446</v>
      </c>
      <c r="C59" s="54">
        <v>40721644</v>
      </c>
    </row>
    <row r="60" spans="1:3" ht="12.75">
      <c r="A60" s="54" t="s">
        <v>98</v>
      </c>
      <c r="B60" s="54">
        <v>125905</v>
      </c>
      <c r="C60" s="54">
        <v>186112</v>
      </c>
    </row>
    <row r="61" spans="1:3" ht="12.75">
      <c r="A61" s="54" t="s">
        <v>25</v>
      </c>
      <c r="B61" s="54">
        <v>143926</v>
      </c>
      <c r="C61" s="54">
        <v>242317</v>
      </c>
    </row>
    <row r="62" spans="1:3" s="56" customFormat="1" ht="6.75" thickBot="1">
      <c r="A62" s="55"/>
      <c r="B62" s="63"/>
      <c r="C62" s="63"/>
    </row>
    <row r="63" spans="1:3" ht="12.75">
      <c r="A63" s="54"/>
      <c r="B63" s="64"/>
      <c r="C63" s="64"/>
    </row>
    <row r="64" spans="1:3" ht="12.75">
      <c r="A64" s="53" t="s">
        <v>26</v>
      </c>
      <c r="B64" s="49">
        <f>SUM(B57:B63)</f>
        <v>70151779</v>
      </c>
      <c r="C64" s="49">
        <f>SUM(C57:C63)</f>
        <v>55819950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27</v>
      </c>
      <c r="B67" s="49">
        <f>B53+B64</f>
        <v>89972680</v>
      </c>
      <c r="C67" s="49">
        <f>C53+C64</f>
        <v>74861565</v>
      </c>
    </row>
    <row r="68" spans="1:3" s="56" customFormat="1" ht="6.75" thickBot="1">
      <c r="A68" s="58"/>
      <c r="B68" s="63"/>
      <c r="C68" s="63"/>
    </row>
    <row r="69" spans="1:3" ht="12.75">
      <c r="A69" s="53"/>
      <c r="B69" s="64"/>
      <c r="C69" s="64"/>
    </row>
    <row r="70" spans="1:3" ht="12.75">
      <c r="A70" s="53" t="s">
        <v>28</v>
      </c>
      <c r="B70" s="49">
        <f>B42+B67</f>
        <v>119078576.51119</v>
      </c>
      <c r="C70" s="49">
        <f>C42+C67</f>
        <v>99843655</v>
      </c>
    </row>
    <row r="71" spans="1:3" s="56" customFormat="1" ht="6.75" thickBot="1">
      <c r="A71" s="67"/>
      <c r="B71" s="68"/>
      <c r="C71" s="68"/>
    </row>
    <row r="72" s="47" customFormat="1" ht="12.75" thickTop="1"/>
    <row r="73" spans="1:3" s="47" customFormat="1" ht="24" customHeight="1">
      <c r="A73" s="72" t="s">
        <v>82</v>
      </c>
      <c r="B73" s="47">
        <v>14585</v>
      </c>
      <c r="C73" s="47">
        <v>12503</v>
      </c>
    </row>
    <row r="74" spans="1:3" s="47" customFormat="1" ht="12">
      <c r="A74" s="47" t="s">
        <v>83</v>
      </c>
      <c r="B74" s="73">
        <v>20</v>
      </c>
      <c r="C74" s="73">
        <v>20</v>
      </c>
    </row>
    <row r="75" ht="12.75">
      <c r="A75" s="54"/>
    </row>
    <row r="76" ht="12.75">
      <c r="A76" s="54"/>
    </row>
    <row r="77" s="70" customFormat="1" ht="12">
      <c r="A77" s="69"/>
    </row>
    <row r="78" s="70" customFormat="1" ht="12"/>
    <row r="79" s="70" customFormat="1" ht="12"/>
    <row r="80" s="70" customFormat="1" ht="12"/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5">
      <selection activeCell="D45" sqref="D45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4" t="s">
        <v>106</v>
      </c>
      <c r="B1" s="83"/>
      <c r="C1" s="83"/>
      <c r="D1" s="83"/>
    </row>
    <row r="3" spans="1:4" s="2" customFormat="1" ht="24.75" thickBot="1">
      <c r="A3" s="1"/>
      <c r="C3" s="10" t="s">
        <v>107</v>
      </c>
      <c r="D3" s="10" t="s">
        <v>108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55081720</v>
      </c>
      <c r="D5" s="4">
        <v>26259291</v>
      </c>
    </row>
    <row r="6" spans="1:4" s="2" customFormat="1" ht="12.75">
      <c r="A6" s="4" t="s">
        <v>31</v>
      </c>
      <c r="C6" s="4">
        <f>-41144018</f>
        <v>-41144018</v>
      </c>
      <c r="D6" s="4">
        <f>-19006031</f>
        <v>-19006031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13937702</v>
      </c>
      <c r="D9" s="3">
        <f>SUM(D5:D8)</f>
        <v>7253260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86</v>
      </c>
      <c r="C11" s="4">
        <v>974571</v>
      </c>
      <c r="D11" s="4">
        <v>2963797</v>
      </c>
    </row>
    <row r="12" spans="1:4" s="2" customFormat="1" ht="12.75">
      <c r="A12" s="4" t="s">
        <v>33</v>
      </c>
      <c r="C12" s="4">
        <f>-2825194</f>
        <v>-2825194</v>
      </c>
      <c r="D12" s="4">
        <f>-2079351</f>
        <v>-2079351</v>
      </c>
    </row>
    <row r="13" spans="1:4" s="2" customFormat="1" ht="12.75">
      <c r="A13" s="4" t="s">
        <v>34</v>
      </c>
      <c r="C13" s="4">
        <f>-1999444</f>
        <v>-1999444</v>
      </c>
      <c r="D13" s="4">
        <f>-1350315</f>
        <v>-1350315</v>
      </c>
    </row>
    <row r="14" spans="1:4" s="2" customFormat="1" ht="12.75">
      <c r="A14" s="4" t="s">
        <v>92</v>
      </c>
      <c r="C14" s="4">
        <f>-191217</f>
        <v>-191217</v>
      </c>
      <c r="D14" s="4">
        <f>-529682</f>
        <v>-529682</v>
      </c>
    </row>
    <row r="15" spans="1:4" s="14" customFormat="1" ht="12.75">
      <c r="A15" s="13" t="s">
        <v>91</v>
      </c>
      <c r="C15" s="4">
        <f>-661761</f>
        <v>-661761</v>
      </c>
      <c r="D15" s="4">
        <f>-772622</f>
        <v>-772622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9234657</v>
      </c>
      <c r="D18" s="3">
        <f>SUM(D9:D17)</f>
        <v>5485087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9095</v>
      </c>
      <c r="D20" s="4">
        <v>1018</v>
      </c>
    </row>
    <row r="21" spans="1:4" s="2" customFormat="1" ht="12.75">
      <c r="A21" s="4" t="s">
        <v>37</v>
      </c>
      <c r="C21" s="4">
        <f>-1775746</f>
        <v>-1775746</v>
      </c>
      <c r="D21" s="4">
        <f>-1460849</f>
        <v>-1460849</v>
      </c>
    </row>
    <row r="22" spans="1:4" s="2" customFormat="1" ht="12.75">
      <c r="A22" s="4" t="s">
        <v>38</v>
      </c>
      <c r="C22" s="4">
        <v>397325</v>
      </c>
      <c r="D22" s="4">
        <v>79359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7865331</v>
      </c>
      <c r="D24" s="3">
        <f>SUM(D18:D23)</f>
        <v>4104615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7">
        <f>-2699716</f>
        <v>-2699716</v>
      </c>
      <c r="D26" s="4">
        <f>-1343571</f>
        <v>-1343571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5165615</v>
      </c>
      <c r="D29" s="3">
        <f>SUM(D24:D28)</f>
        <v>2761044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87</v>
      </c>
      <c r="C35" s="4">
        <v>4919</v>
      </c>
      <c r="D35" s="4">
        <v>1830986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93</v>
      </c>
      <c r="C37" s="3">
        <f>SUM(C34:C36)</f>
        <v>4919</v>
      </c>
      <c r="D37" s="3">
        <f>SUM(D34:D36)</f>
        <v>1830986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5170534</v>
      </c>
      <c r="D40" s="3">
        <f>D29+D37</f>
        <v>4592030</v>
      </c>
    </row>
    <row r="41" spans="1:4" s="6" customFormat="1" ht="6.75" thickBot="1">
      <c r="A41" s="8"/>
      <c r="C41" s="8"/>
      <c r="D41" s="8"/>
    </row>
    <row r="42" ht="13.5" thickTop="1"/>
    <row r="43" ht="12.75">
      <c r="A43" s="78" t="s">
        <v>94</v>
      </c>
    </row>
    <row r="44" spans="1:4" ht="12.75">
      <c r="A44" t="s">
        <v>45</v>
      </c>
      <c r="C44" s="3">
        <v>2519</v>
      </c>
      <c r="D44" s="3">
        <v>1347</v>
      </c>
    </row>
    <row r="45" spans="3:4" ht="12.75">
      <c r="C45" s="74"/>
      <c r="D45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="90" zoomScaleNormal="90" zoomScalePageLayoutView="0" workbookViewId="0" topLeftCell="A1">
      <selection activeCell="A31" sqref="A31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4" t="s">
        <v>112</v>
      </c>
      <c r="B1" s="83"/>
      <c r="C1" s="83"/>
      <c r="D1" s="83"/>
      <c r="E1" s="83"/>
      <c r="F1" s="83"/>
      <c r="G1" s="83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88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99</v>
      </c>
      <c r="B6" s="19">
        <v>159988</v>
      </c>
      <c r="C6" s="19">
        <v>1282401</v>
      </c>
      <c r="D6" s="19">
        <v>2520877</v>
      </c>
      <c r="E6" s="19">
        <f>-55096</f>
        <v>-55096</v>
      </c>
      <c r="F6" s="19">
        <v>13783292</v>
      </c>
      <c r="G6" s="19">
        <f>SUM(B6:F6)</f>
        <v>17691462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81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4969167</v>
      </c>
      <c r="G10" s="20">
        <f>SUM(F10)</f>
        <v>4969167</v>
      </c>
    </row>
    <row r="11" spans="1:7" ht="12">
      <c r="A11" s="20" t="s">
        <v>80</v>
      </c>
      <c r="B11" s="20">
        <v>0</v>
      </c>
      <c r="C11" s="20">
        <v>0</v>
      </c>
      <c r="D11" s="20">
        <v>2314671</v>
      </c>
      <c r="E11" s="20">
        <v>6790</v>
      </c>
      <c r="F11" s="20"/>
      <c r="G11" s="20">
        <f>SUM(B11:F11)</f>
        <v>2321461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79" t="s">
        <v>52</v>
      </c>
      <c r="B13" s="79">
        <f aca="true" t="shared" si="0" ref="B13:G13">SUM(B10:B11)</f>
        <v>0</v>
      </c>
      <c r="C13" s="79">
        <f t="shared" si="0"/>
        <v>0</v>
      </c>
      <c r="D13" s="79">
        <f t="shared" si="0"/>
        <v>2314671</v>
      </c>
      <c r="E13" s="79">
        <f t="shared" si="0"/>
        <v>6790</v>
      </c>
      <c r="F13" s="79">
        <f t="shared" si="0"/>
        <v>4969167</v>
      </c>
      <c r="G13" s="79">
        <f t="shared" si="0"/>
        <v>7290628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51</v>
      </c>
      <c r="B15" s="20">
        <v>0</v>
      </c>
      <c r="C15" s="20">
        <v>0</v>
      </c>
      <c r="D15" s="20"/>
      <c r="E15" s="20">
        <v>0</v>
      </c>
      <c r="F15" s="20">
        <v>0</v>
      </c>
      <c r="G15" s="20">
        <f>SUM(B15:F15)</f>
        <v>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8" ht="12">
      <c r="A18" s="19" t="s">
        <v>100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4835548</v>
      </c>
      <c r="E18" s="19">
        <f t="shared" si="1"/>
        <v>-48306</v>
      </c>
      <c r="F18" s="19">
        <f t="shared" si="1"/>
        <v>18752459</v>
      </c>
      <c r="G18" s="19">
        <f t="shared" si="1"/>
        <v>24982090</v>
      </c>
      <c r="H18" s="15">
        <f>G18-Баланс!C42</f>
        <v>0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3" customFormat="1" ht="12" customHeight="1">
      <c r="A20" s="80"/>
      <c r="B20" s="80"/>
      <c r="C20" s="80"/>
      <c r="D20" s="80"/>
      <c r="E20" s="80"/>
      <c r="F20" s="80"/>
      <c r="G20" s="80"/>
    </row>
    <row r="21" spans="1:7" ht="14.25" customHeight="1">
      <c r="A21" s="20" t="s">
        <v>109</v>
      </c>
      <c r="B21" s="20">
        <v>0</v>
      </c>
      <c r="C21" s="20">
        <v>0</v>
      </c>
      <c r="D21" s="20"/>
      <c r="E21" s="20">
        <v>0</v>
      </c>
      <c r="F21" s="26">
        <f>фхд!C29</f>
        <v>5165615</v>
      </c>
      <c r="G21" s="20">
        <f>SUM(B21:F21)</f>
        <v>5165615</v>
      </c>
    </row>
    <row r="22" spans="1:7" ht="21" customHeight="1">
      <c r="A22" s="20" t="s">
        <v>101</v>
      </c>
      <c r="B22" s="20">
        <v>0</v>
      </c>
      <c r="C22" s="20">
        <v>0</v>
      </c>
      <c r="D22" s="20">
        <f>фхд!C37</f>
        <v>4919</v>
      </c>
      <c r="E22" s="20"/>
      <c r="F22" s="20"/>
      <c r="G22" s="20">
        <f>SUM(B22:F22)</f>
        <v>4919</v>
      </c>
    </row>
    <row r="23" spans="1:7" s="23" customFormat="1" ht="6.75" thickBot="1">
      <c r="A23" s="25"/>
      <c r="B23" s="25"/>
      <c r="C23" s="25"/>
      <c r="D23" s="25"/>
      <c r="E23" s="25"/>
      <c r="F23" s="25"/>
      <c r="G23" s="25"/>
    </row>
    <row r="24" spans="1:7" ht="12">
      <c r="A24" s="20"/>
      <c r="B24" s="20"/>
      <c r="C24" s="20"/>
      <c r="D24" s="20"/>
      <c r="E24" s="20"/>
      <c r="F24" s="20"/>
      <c r="G24" s="20"/>
    </row>
    <row r="25" spans="1:7" s="24" customFormat="1" ht="24">
      <c r="A25" s="19" t="s">
        <v>110</v>
      </c>
      <c r="B25" s="19">
        <f>SUM(B21:B24)</f>
        <v>0</v>
      </c>
      <c r="C25" s="19">
        <f>SUM(C21:C24)</f>
        <v>0</v>
      </c>
      <c r="D25" s="19">
        <f>SUM(D21:D24)</f>
        <v>4919</v>
      </c>
      <c r="E25" s="19">
        <f>SUM(E21:E24)</f>
        <v>0</v>
      </c>
      <c r="F25" s="19">
        <f>SUM(F21:F24)</f>
        <v>5165615</v>
      </c>
      <c r="G25" s="19">
        <f>G21+G22</f>
        <v>5170534</v>
      </c>
    </row>
    <row r="26" spans="1:7" s="23" customFormat="1" ht="6.75" thickBot="1">
      <c r="A26" s="25"/>
      <c r="B26" s="25"/>
      <c r="C26" s="25"/>
      <c r="D26" s="25"/>
      <c r="E26" s="25"/>
      <c r="F26" s="25"/>
      <c r="G26" s="25"/>
    </row>
    <row r="27" spans="1:7" ht="12">
      <c r="A27" s="20"/>
      <c r="B27" s="20"/>
      <c r="C27" s="20"/>
      <c r="D27" s="20"/>
      <c r="E27" s="20"/>
      <c r="F27" s="20"/>
      <c r="G27" s="20"/>
    </row>
    <row r="28" spans="1:7" ht="12">
      <c r="A28" s="20" t="s">
        <v>51</v>
      </c>
      <c r="B28" s="20">
        <v>0</v>
      </c>
      <c r="C28" s="20">
        <v>0</v>
      </c>
      <c r="D28" s="20"/>
      <c r="E28" s="20">
        <v>0</v>
      </c>
      <c r="F28" s="20">
        <f>-1046727</f>
        <v>-1046727</v>
      </c>
      <c r="G28" s="20">
        <f>SUM(B28:F28)</f>
        <v>-1046727</v>
      </c>
    </row>
    <row r="29" spans="1:7" s="23" customFormat="1" ht="6.75" thickBot="1">
      <c r="A29" s="25"/>
      <c r="B29" s="25"/>
      <c r="C29" s="25"/>
      <c r="D29" s="25"/>
      <c r="E29" s="25"/>
      <c r="F29" s="25"/>
      <c r="G29" s="25"/>
    </row>
    <row r="30" spans="1:7" ht="12">
      <c r="A30" s="20"/>
      <c r="B30" s="20"/>
      <c r="C30" s="20"/>
      <c r="D30" s="20"/>
      <c r="E30" s="20"/>
      <c r="F30" s="20"/>
      <c r="G30" s="20"/>
    </row>
    <row r="31" spans="1:8" ht="12">
      <c r="A31" s="19" t="s">
        <v>111</v>
      </c>
      <c r="B31" s="19">
        <f aca="true" t="shared" si="2" ref="B31:G31">B18+B25+B28</f>
        <v>159988</v>
      </c>
      <c r="C31" s="19">
        <f t="shared" si="2"/>
        <v>1282401</v>
      </c>
      <c r="D31" s="19">
        <f t="shared" si="2"/>
        <v>4840467</v>
      </c>
      <c r="E31" s="19">
        <f t="shared" si="2"/>
        <v>-48306</v>
      </c>
      <c r="F31" s="19">
        <f t="shared" si="2"/>
        <v>22871347</v>
      </c>
      <c r="G31" s="19">
        <f t="shared" si="2"/>
        <v>29105897</v>
      </c>
      <c r="H31" s="15">
        <f>G31-Баланс!B42</f>
        <v>0.4888099990785122</v>
      </c>
    </row>
    <row r="32" spans="1:7" s="23" customFormat="1" ht="6.75" thickBot="1">
      <c r="A32" s="25"/>
      <c r="B32" s="25"/>
      <c r="C32" s="25"/>
      <c r="D32" s="25"/>
      <c r="E32" s="25"/>
      <c r="F32" s="25"/>
      <c r="G32" s="25"/>
    </row>
    <row r="33" spans="1:7" ht="12">
      <c r="A33" s="20"/>
      <c r="B33" s="20"/>
      <c r="C33" s="20"/>
      <c r="D33" s="20"/>
      <c r="E33" s="20"/>
      <c r="F33" s="20"/>
      <c r="G33" s="20"/>
    </row>
    <row r="34" spans="6:7" ht="12">
      <c r="F34" s="76">
        <f>F31-Баланс!B39</f>
        <v>0</v>
      </c>
      <c r="G34" s="76">
        <f>G31-Баланс!B42</f>
        <v>0.4888099990785122</v>
      </c>
    </row>
    <row r="35" ht="12">
      <c r="F35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zoomScale="90" zoomScaleNormal="90" zoomScalePageLayoutView="0" workbookViewId="0" topLeftCell="A1">
      <selection activeCell="C55" sqref="C55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13.5">
      <c r="A1" s="84" t="s">
        <v>113</v>
      </c>
      <c r="B1" s="83"/>
      <c r="C1" s="83"/>
    </row>
    <row r="4" spans="1:3" s="31" customFormat="1" ht="24.75" thickBot="1">
      <c r="A4" s="29" t="s">
        <v>53</v>
      </c>
      <c r="B4" s="30" t="s">
        <v>115</v>
      </c>
      <c r="C4" s="30" t="s">
        <v>114</v>
      </c>
    </row>
    <row r="5" spans="1:3" s="34" customFormat="1" ht="12">
      <c r="A5" s="32"/>
      <c r="B5" s="33"/>
      <c r="C5" s="33"/>
    </row>
    <row r="6" spans="1:3" s="34" customFormat="1" ht="12">
      <c r="A6" s="35" t="s">
        <v>54</v>
      </c>
      <c r="B6" s="36"/>
      <c r="C6" s="36"/>
    </row>
    <row r="7" spans="1:3" ht="12">
      <c r="A7" s="36"/>
      <c r="B7" s="36"/>
      <c r="C7" s="36"/>
    </row>
    <row r="8" spans="1:3" ht="12">
      <c r="A8" s="36" t="s">
        <v>55</v>
      </c>
      <c r="B8" s="37"/>
      <c r="C8" s="37"/>
    </row>
    <row r="9" spans="1:3" ht="12">
      <c r="A9" s="36" t="s">
        <v>56</v>
      </c>
      <c r="B9" s="37">
        <v>54170387</v>
      </c>
      <c r="C9" s="37">
        <v>29688867</v>
      </c>
    </row>
    <row r="10" spans="1:3" ht="12">
      <c r="A10" s="36" t="s">
        <v>63</v>
      </c>
      <c r="B10" s="37">
        <v>104966</v>
      </c>
      <c r="C10" s="37">
        <v>117081</v>
      </c>
    </row>
    <row r="11" spans="1:3" ht="12">
      <c r="A11" s="36" t="s">
        <v>89</v>
      </c>
      <c r="B11" s="37">
        <v>1725843</v>
      </c>
      <c r="C11" s="75">
        <v>1879951</v>
      </c>
    </row>
    <row r="12" spans="1:3" ht="12">
      <c r="A12" s="36"/>
      <c r="B12" s="37"/>
      <c r="C12" s="37"/>
    </row>
    <row r="13" spans="1:3" ht="12">
      <c r="A13" s="36" t="s">
        <v>57</v>
      </c>
      <c r="B13" s="37"/>
      <c r="C13" s="37"/>
    </row>
    <row r="14" spans="1:3" ht="12">
      <c r="A14" s="36" t="s">
        <v>58</v>
      </c>
      <c r="B14" s="28">
        <f>-46298660</f>
        <v>-46298660</v>
      </c>
      <c r="C14" s="28">
        <f>-12552891</f>
        <v>-12552891</v>
      </c>
    </row>
    <row r="15" spans="1:3" ht="12">
      <c r="A15" s="36" t="s">
        <v>59</v>
      </c>
      <c r="B15" s="28">
        <f>-4221150</f>
        <v>-4221150</v>
      </c>
      <c r="C15" s="28">
        <f>-3489001</f>
        <v>-3489001</v>
      </c>
    </row>
    <row r="16" spans="1:3" ht="12">
      <c r="A16" s="36" t="s">
        <v>60</v>
      </c>
      <c r="B16" s="28">
        <f>-7015925</f>
        <v>-7015925</v>
      </c>
      <c r="C16" s="28">
        <f>-4295055</f>
        <v>-4295055</v>
      </c>
    </row>
    <row r="17" spans="1:3" ht="12">
      <c r="A17" s="36" t="s">
        <v>61</v>
      </c>
      <c r="B17" s="28">
        <f>-1733240</f>
        <v>-1733240</v>
      </c>
      <c r="C17" s="28">
        <f>-6736367</f>
        <v>-6736367</v>
      </c>
    </row>
    <row r="18" spans="1:3" ht="12">
      <c r="A18" s="36" t="s">
        <v>62</v>
      </c>
      <c r="B18" s="28">
        <f>-1039503</f>
        <v>-1039503</v>
      </c>
      <c r="C18" s="28">
        <f>-953956</f>
        <v>-953956</v>
      </c>
    </row>
    <row r="19" spans="1:3" ht="12">
      <c r="A19" s="36" t="s">
        <v>63</v>
      </c>
      <c r="B19" s="28">
        <f>-1678698</f>
        <v>-1678698</v>
      </c>
      <c r="C19" s="28">
        <f>-1250038</f>
        <v>-1250038</v>
      </c>
    </row>
    <row r="20" spans="1:3" ht="12.75" thickBot="1">
      <c r="A20" s="38"/>
      <c r="B20" s="38"/>
      <c r="C20" s="38"/>
    </row>
    <row r="21" spans="1:3" ht="12">
      <c r="A21" s="35"/>
      <c r="B21" s="36"/>
      <c r="C21" s="36"/>
    </row>
    <row r="22" spans="1:3" ht="12">
      <c r="A22" s="35" t="s">
        <v>64</v>
      </c>
      <c r="B22" s="81">
        <f>SUM(B9:B19)</f>
        <v>-5985980</v>
      </c>
      <c r="C22" s="81">
        <f>SUM(C9:C19)</f>
        <v>2408591</v>
      </c>
    </row>
    <row r="23" spans="1:3" ht="12">
      <c r="A23" s="35" t="s">
        <v>65</v>
      </c>
      <c r="B23" s="81"/>
      <c r="C23" s="81"/>
    </row>
    <row r="24" spans="1:3" ht="12.75" thickBot="1">
      <c r="A24" s="39"/>
      <c r="B24" s="39"/>
      <c r="C24" s="39"/>
    </row>
    <row r="25" spans="1:3" ht="12">
      <c r="A25" s="35"/>
      <c r="B25" s="36"/>
      <c r="C25" s="36"/>
    </row>
    <row r="26" spans="1:3" ht="12">
      <c r="A26" s="35" t="s">
        <v>66</v>
      </c>
      <c r="B26" s="36"/>
      <c r="C26" s="36"/>
    </row>
    <row r="27" spans="1:3" ht="12">
      <c r="A27" s="36"/>
      <c r="B27" s="36"/>
      <c r="C27" s="36"/>
    </row>
    <row r="28" spans="1:3" ht="12">
      <c r="A28" s="36" t="s">
        <v>67</v>
      </c>
      <c r="B28" s="28">
        <f>-5500536</f>
        <v>-5500536</v>
      </c>
      <c r="C28" s="28">
        <f>-6894662</f>
        <v>-6894662</v>
      </c>
    </row>
    <row r="29" spans="1:3" ht="24">
      <c r="A29" s="36" t="s">
        <v>95</v>
      </c>
      <c r="B29" s="28">
        <f>-2458823</f>
        <v>-2458823</v>
      </c>
      <c r="C29" s="28">
        <f>-18002</f>
        <v>-18002</v>
      </c>
    </row>
    <row r="30" spans="1:3" ht="12.75" thickBot="1">
      <c r="A30" s="38"/>
      <c r="B30" s="38"/>
      <c r="C30" s="38"/>
    </row>
    <row r="31" spans="1:3" ht="12">
      <c r="A31" s="35"/>
      <c r="B31" s="36"/>
      <c r="C31" s="36"/>
    </row>
    <row r="32" spans="1:3" ht="24">
      <c r="A32" s="35" t="s">
        <v>68</v>
      </c>
      <c r="B32" s="19">
        <f>SUM(B28:B29)</f>
        <v>-7959359</v>
      </c>
      <c r="C32" s="19">
        <f>SUM(C28:C29)</f>
        <v>-6912664</v>
      </c>
    </row>
    <row r="33" spans="1:3" ht="12.75" thickBot="1">
      <c r="A33" s="39"/>
      <c r="B33" s="39"/>
      <c r="C33" s="38"/>
    </row>
    <row r="34" spans="1:3" ht="12">
      <c r="A34" s="35"/>
      <c r="B34" s="36"/>
      <c r="C34" s="36"/>
    </row>
    <row r="35" spans="1:3" ht="12">
      <c r="A35" s="35" t="s">
        <v>69</v>
      </c>
      <c r="B35" s="36"/>
      <c r="C35" s="36"/>
    </row>
    <row r="36" spans="1:3" ht="12">
      <c r="A36" s="36"/>
      <c r="B36" s="36"/>
      <c r="C36" s="36"/>
    </row>
    <row r="37" spans="1:3" ht="12">
      <c r="A37" s="36" t="s">
        <v>70</v>
      </c>
      <c r="B37" s="71">
        <v>17009319</v>
      </c>
      <c r="C37" s="71">
        <v>9872707</v>
      </c>
    </row>
    <row r="38" spans="1:3" ht="12">
      <c r="A38" s="36" t="s">
        <v>71</v>
      </c>
      <c r="B38" s="28">
        <f>-4725862</f>
        <v>-4725862</v>
      </c>
      <c r="C38" s="28">
        <f>-8320215</f>
        <v>-8320215</v>
      </c>
    </row>
    <row r="39" spans="1:3" ht="12">
      <c r="A39" s="36" t="s">
        <v>102</v>
      </c>
      <c r="B39" s="28">
        <f>-1025430</f>
        <v>-1025430</v>
      </c>
      <c r="C39" s="28">
        <f>-648</f>
        <v>-648</v>
      </c>
    </row>
    <row r="40" spans="1:3" ht="12.75" thickBot="1">
      <c r="A40" s="39"/>
      <c r="B40" s="38"/>
      <c r="C40" s="38"/>
    </row>
    <row r="41" spans="1:3" ht="12">
      <c r="A41" s="35"/>
      <c r="B41" s="35"/>
      <c r="C41" s="35"/>
    </row>
    <row r="42" spans="1:3" ht="12">
      <c r="A42" s="35" t="s">
        <v>72</v>
      </c>
      <c r="B42" s="86">
        <f>SUM(B37:B39)</f>
        <v>11258027</v>
      </c>
      <c r="C42" s="87">
        <f>SUM(C37:C39)</f>
        <v>1551844</v>
      </c>
    </row>
    <row r="43" spans="1:3" ht="12">
      <c r="A43" s="35" t="s">
        <v>73</v>
      </c>
      <c r="B43" s="86"/>
      <c r="C43" s="87"/>
    </row>
    <row r="44" spans="1:3" ht="12.75" thickBot="1">
      <c r="A44" s="39"/>
      <c r="B44" s="39"/>
      <c r="C44" s="39"/>
    </row>
    <row r="45" spans="1:3" ht="12">
      <c r="A45" s="36"/>
      <c r="B45" s="36"/>
      <c r="C45" s="36"/>
    </row>
    <row r="46" spans="1:3" ht="24">
      <c r="A46" s="35" t="s">
        <v>74</v>
      </c>
      <c r="B46" s="85">
        <f>B22+B32+B42</f>
        <v>-2687312</v>
      </c>
      <c r="C46" s="85">
        <f>C22+C32+C42</f>
        <v>-2952229</v>
      </c>
    </row>
    <row r="47" spans="1:3" ht="12">
      <c r="A47" s="36"/>
      <c r="B47" s="85"/>
      <c r="C47" s="85"/>
    </row>
    <row r="48" spans="1:3" ht="12">
      <c r="A48" s="36" t="s">
        <v>75</v>
      </c>
      <c r="B48" s="37">
        <f>Баланс!C23</f>
        <v>4204455</v>
      </c>
      <c r="C48" s="37">
        <v>5963108</v>
      </c>
    </row>
    <row r="49" spans="1:3" ht="12.75" thickBot="1">
      <c r="A49" s="38"/>
      <c r="B49" s="38"/>
      <c r="C49" s="38"/>
    </row>
    <row r="50" spans="1:3" ht="12">
      <c r="A50" s="35"/>
      <c r="B50" s="36"/>
      <c r="C50" s="36"/>
    </row>
    <row r="51" spans="1:3" ht="12">
      <c r="A51" s="35" t="s">
        <v>103</v>
      </c>
      <c r="B51" s="40">
        <f>B46+B48</f>
        <v>1517143</v>
      </c>
      <c r="C51" s="41">
        <f>SUM(C46:C48)</f>
        <v>3010879</v>
      </c>
    </row>
    <row r="52" spans="1:3" ht="12.75" thickBot="1">
      <c r="A52" s="42"/>
      <c r="B52" s="43"/>
      <c r="C52" s="43"/>
    </row>
    <row r="53" spans="1:3" ht="13.5" thickTop="1">
      <c r="A53" s="44"/>
      <c r="B53" s="45">
        <f>B51-Баланс!B23</f>
        <v>0</v>
      </c>
      <c r="C53"/>
    </row>
    <row r="55" ht="12">
      <c r="B55" s="28">
        <f>B46+B48-B51</f>
        <v>0</v>
      </c>
    </row>
    <row r="77" s="46" customFormat="1" ht="12"/>
  </sheetData>
  <sheetProtection/>
  <mergeCells count="5">
    <mergeCell ref="B46:B47"/>
    <mergeCell ref="B42:B43"/>
    <mergeCell ref="C42:C43"/>
    <mergeCell ref="C46:C47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2019-10-25T11:05:53Z</dcterms:modified>
  <cp:category/>
  <cp:version/>
  <cp:contentType/>
  <cp:contentStatus/>
</cp:coreProperties>
</file>