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05" windowHeight="9555" activeTab="3"/>
  </bookViews>
  <sheets>
    <sheet name="Баланс" sheetId="1" r:id="rId1"/>
    <sheet name="фхд" sheetId="2" r:id="rId2"/>
    <sheet name="капитал" sheetId="3" r:id="rId3"/>
    <sheet name="оддс" sheetId="4" r:id="rId4"/>
  </sheets>
  <externalReferences>
    <externalReference r:id="rId7"/>
    <externalReference r:id="rId8"/>
    <externalReference r:id="rId9"/>
  </externalReferences>
  <definedNames>
    <definedName name="AS2DocOpenMode" hidden="1">"AS2DocumentEdit"</definedName>
    <definedName name="AS2DocOpenMode_1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njh" localSheetId="0" hidden="1">{#N/A,#N/A,FALSE,"Aging Summary";#N/A,#N/A,FALSE,"Ratio Analysis";#N/A,#N/A,FALSE,"Test 120 Day Accts";#N/A,#N/A,FALSE,"Tickmarks"}</definedName>
    <definedName name="bnjh" localSheetId="2" hidden="1">{#N/A,#N/A,FALSE,"Aging Summary";#N/A,#N/A,FALSE,"Ratio Analysis";#N/A,#N/A,FALSE,"Test 120 Day Accts";#N/A,#N/A,FALSE,"Tickmarks"}</definedName>
    <definedName name="bnjh" localSheetId="3" hidden="1">{#N/A,#N/A,FALSE,"Aging Summary";#N/A,#N/A,FALSE,"Ratio Analysis";#N/A,#N/A,FALSE,"Test 120 Day Accts";#N/A,#N/A,FALSE,"Tickmarks"}</definedName>
    <definedName name="bnjh" localSheetId="1" hidden="1">{#N/A,#N/A,FALSE,"Aging Summary";#N/A,#N/A,FALSE,"Ratio Analysis";#N/A,#N/A,FALSE,"Test 120 Day Accts";#N/A,#N/A,FALSE,"Tickmarks"}</definedName>
    <definedName name="bnjh" hidden="1">{#N/A,#N/A,FALSE,"Aging Summary";#N/A,#N/A,FALSE,"Ratio Analysis";#N/A,#N/A,FALSE,"Test 120 Day Accts";#N/A,#N/A,FALSE,"Tickmarks"}</definedName>
    <definedName name="OLE_LINK8" localSheetId="3">'оддс'!$A$4</definedName>
    <definedName name="TextRefCopyRangeCount" hidden="1">54</definedName>
    <definedName name="TextRefCopyRangeCount_1" hidden="1">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localSheetId="0" hidden="1">{#N/A,#N/A,FALSE,"Aging Summary";#N/A,#N/A,FALSE,"Ratio Analysis";#N/A,#N/A,FALSE,"Test 120 Day Accts";#N/A,#N/A,FALSE,"Tickmarks"}</definedName>
    <definedName name="wrn.Aging._.and._.Trend._.Analysis._1" localSheetId="2" hidden="1">{#N/A,#N/A,FALSE,"Aging Summary";#N/A,#N/A,FALSE,"Ratio Analysis";#N/A,#N/A,FALSE,"Test 120 Day Accts";#N/A,#N/A,FALSE,"Tickmarks"}</definedName>
    <definedName name="wrn.Aging._.and._.Trend._.Analysis._1" localSheetId="3" hidden="1">{#N/A,#N/A,FALSE,"Aging Summary";#N/A,#N/A,FALSE,"Ratio Analysis";#N/A,#N/A,FALSE,"Test 120 Day Accts";#N/A,#N/A,FALSE,"Tickmarks"}</definedName>
    <definedName name="wrn.Aging._.and._.Trend._.Analysis._1" localSheetId="1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XREF_COLUMN_1" hidden="1">'[1]DIT'!#REF!</definedName>
    <definedName name="XREF_COLUMN_2" hidden="1">'[2]Analysis COP'!#REF!</definedName>
    <definedName name="XRefActiveRow" hidden="1">#REF!</definedName>
    <definedName name="XRefColumnsCount" hidden="1">1</definedName>
    <definedName name="XRefCopy1Row" hidden="1">'[2]XREF'!#REF!</definedName>
    <definedName name="XRefCopy2Row" hidden="1">#REF!</definedName>
    <definedName name="XRefCopyRangeCount" hidden="1">3</definedName>
    <definedName name="XRefPaste2Row" hidden="1">'[2]XREF'!#REF!</definedName>
    <definedName name="XRefPasteRangeCount" hidden="1">3</definedName>
    <definedName name="люба" localSheetId="0" hidden="1">{#N/A,#N/A,FALSE,"Aging Summary";#N/A,#N/A,FALSE,"Ratio Analysis";#N/A,#N/A,FALSE,"Test 120 Day Accts";#N/A,#N/A,FALSE,"Tickmarks"}</definedName>
    <definedName name="люба" localSheetId="2" hidden="1">{#N/A,#N/A,FALSE,"Aging Summary";#N/A,#N/A,FALSE,"Ratio Analysis";#N/A,#N/A,FALSE,"Test 120 Day Accts";#N/A,#N/A,FALSE,"Tickmarks"}</definedName>
    <definedName name="люба" localSheetId="3" hidden="1">{#N/A,#N/A,FALSE,"Aging Summary";#N/A,#N/A,FALSE,"Ratio Analysis";#N/A,#N/A,FALSE,"Test 120 Day Accts";#N/A,#N/A,FALSE,"Tickmarks"}</definedName>
    <definedName name="люба" localSheetId="1" hidden="1">{#N/A,#N/A,FALSE,"Aging Summary";#N/A,#N/A,FALSE,"Ratio Analysis";#N/A,#N/A,FALSE,"Test 120 Day Accts";#N/A,#N/A,FALSE,"Tickmarks"}</definedName>
    <definedName name="люба" hidden="1">{#N/A,#N/A,FALSE,"Aging Summary";#N/A,#N/A,FALSE,"Ratio Analysis";#N/A,#N/A,FALSE,"Test 120 Day Accts";#N/A,#N/A,FALSE,"Tickmarks"}</definedName>
    <definedName name="рпгпшо" localSheetId="0" hidden="1">{#N/A,#N/A,FALSE,"Aging Summary";#N/A,#N/A,FALSE,"Ratio Analysis";#N/A,#N/A,FALSE,"Test 120 Day Accts";#N/A,#N/A,FALSE,"Tickmarks"}</definedName>
    <definedName name="рпгпшо" localSheetId="2" hidden="1">{#N/A,#N/A,FALSE,"Aging Summary";#N/A,#N/A,FALSE,"Ratio Analysis";#N/A,#N/A,FALSE,"Test 120 Day Accts";#N/A,#N/A,FALSE,"Tickmarks"}</definedName>
    <definedName name="рпгпшо" localSheetId="3" hidden="1">{#N/A,#N/A,FALSE,"Aging Summary";#N/A,#N/A,FALSE,"Ratio Analysis";#N/A,#N/A,FALSE,"Test 120 Day Accts";#N/A,#N/A,FALSE,"Tickmarks"}</definedName>
    <definedName name="рпгпшо" localSheetId="1" hidden="1">{#N/A,#N/A,FALSE,"Aging Summary";#N/A,#N/A,FALSE,"Ratio Analysis";#N/A,#N/A,FALSE,"Test 120 Day Accts";#N/A,#N/A,FALSE,"Tickmarks"}</definedName>
    <definedName name="рпгпшо" hidden="1">{#N/A,#N/A,FALSE,"Aging Summary";#N/A,#N/A,FALSE,"Ratio Analysis";#N/A,#N/A,FALSE,"Test 120 Day Accts";#N/A,#N/A,FALSE,"Tickmarks"}</definedName>
    <definedName name="рпргшг9" localSheetId="0" hidden="1">{#N/A,#N/A,FALSE,"Aging Summary";#N/A,#N/A,FALSE,"Ratio Analysis";#N/A,#N/A,FALSE,"Test 120 Day Accts";#N/A,#N/A,FALSE,"Tickmarks"}</definedName>
    <definedName name="рпргшг9" localSheetId="2" hidden="1">{#N/A,#N/A,FALSE,"Aging Summary";#N/A,#N/A,FALSE,"Ratio Analysis";#N/A,#N/A,FALSE,"Test 120 Day Accts";#N/A,#N/A,FALSE,"Tickmarks"}</definedName>
    <definedName name="рпргшг9" localSheetId="3" hidden="1">{#N/A,#N/A,FALSE,"Aging Summary";#N/A,#N/A,FALSE,"Ratio Analysis";#N/A,#N/A,FALSE,"Test 120 Day Accts";#N/A,#N/A,FALSE,"Tickmarks"}</definedName>
    <definedName name="рпргшг9" localSheetId="1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юля" localSheetId="0" hidden="1">{#N/A,#N/A,FALSE,"Aging Summary";#N/A,#N/A,FALSE,"Ratio Analysis";#N/A,#N/A,FALSE,"Test 120 Day Accts";#N/A,#N/A,FALSE,"Tickmarks"}</definedName>
    <definedName name="юля" localSheetId="2" hidden="1">{#N/A,#N/A,FALSE,"Aging Summary";#N/A,#N/A,FALSE,"Ratio Analysis";#N/A,#N/A,FALSE,"Test 120 Day Accts";#N/A,#N/A,FALSE,"Tickmarks"}</definedName>
    <definedName name="юля" localSheetId="3" hidden="1">{#N/A,#N/A,FALSE,"Aging Summary";#N/A,#N/A,FALSE,"Ratio Analysis";#N/A,#N/A,FALSE,"Test 120 Day Accts";#N/A,#N/A,FALSE,"Tickmarks"}</definedName>
    <definedName name="юля" localSheetId="1" hidden="1">{#N/A,#N/A,FALSE,"Aging Summary";#N/A,#N/A,FALSE,"Ratio Analysis";#N/A,#N/A,FALSE,"Test 120 Day Accts";#N/A,#N/A,FALSE,"Tickmarks"}</definedName>
    <definedName name="юля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<sst xmlns="http://schemas.openxmlformats.org/spreadsheetml/2006/main" count="120" uniqueCount="116">
  <si>
    <t>АКТИВЫ</t>
  </si>
  <si>
    <t>Основные средства</t>
  </si>
  <si>
    <t>Нематериальные активы</t>
  </si>
  <si>
    <t>Инвестиции в совместное предприятие и ассоциированную компанию</t>
  </si>
  <si>
    <t>Прочие долгосрочные активы</t>
  </si>
  <si>
    <t>Итого долгосрочные активы</t>
  </si>
  <si>
    <t xml:space="preserve">Товарно-материальные запасы </t>
  </si>
  <si>
    <t>Переплата по подоходному налогу</t>
  </si>
  <si>
    <t xml:space="preserve">Налог на добавленную стоимость и прочие налоги к возмещению </t>
  </si>
  <si>
    <t>Денежные средства и их эквиваленты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</si>
  <si>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</si>
  <si>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</si>
  <si>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</si>
  <si>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капитал:</t>
  </si>
  <si>
    <t xml:space="preserve">Акционерный капитал </t>
  </si>
  <si>
    <t xml:space="preserve">Дополнительный оплаченный капитал </t>
  </si>
  <si>
    <t>Нераспределенная прибыль</t>
  </si>
  <si>
    <t>Итого собственный капитал</t>
  </si>
  <si>
    <t>Обязательства по отсроченному подоходному налогу</t>
  </si>
  <si>
    <t>Долгосрочная кредиторская задолженность</t>
  </si>
  <si>
    <t>Итого долгосрочные обязательства</t>
  </si>
  <si>
    <t>Краткосрочные обязательства: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</si>
  <si>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</si>
  <si>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</si>
  <si>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</si>
  <si>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r>
      <t>Долгосрочные обязательства:</t>
    </r>
    <r>
      <rPr>
        <sz val="9"/>
        <rFont val="Arial"/>
        <family val="2"/>
      </rPr>
      <t xml:space="preserve"> </t>
    </r>
  </si>
  <si>
    <t>Выручка</t>
  </si>
  <si>
    <t>Себестоимость реализации</t>
  </si>
  <si>
    <t>Валовая прибыль</t>
  </si>
  <si>
    <t>Общие и административные расходы</t>
  </si>
  <si>
    <t>Расходы по реализации</t>
  </si>
  <si>
    <t>Операционная прибыль</t>
  </si>
  <si>
    <t>Финансовые доходы</t>
  </si>
  <si>
    <t>Финансовые расходы</t>
  </si>
  <si>
    <t>Доля в результате совместных предприятий и ассоциированных компаний</t>
  </si>
  <si>
    <t>Прибыль до налогообложения</t>
  </si>
  <si>
    <t>ПРИБЫЛЬ ЗА ГОД</t>
  </si>
  <si>
    <t>Прочий совокупный доход</t>
  </si>
  <si>
    <t>Статьи, которые впоследствии не будут реклассифицированы в состав прибылей или убытков</t>
  </si>
  <si>
    <t>ИТОГО СОВОКУПНЫЙ ДОХОД ЗА ГОД</t>
  </si>
  <si>
    <t>Простые акции</t>
  </si>
  <si>
    <t>(в тысячах тенге)</t>
  </si>
  <si>
    <t>Уставный капитал</t>
  </si>
  <si>
    <t>Дополни-
тельный
оплаченный
капитал</t>
  </si>
  <si>
    <t>Нераспределенная
прибыль</t>
  </si>
  <si>
    <t>Итого</t>
  </si>
  <si>
    <t>В тысячах казахстанских тенге</t>
  </si>
  <si>
    <t>Реализация готовой продукции</t>
  </si>
  <si>
    <t>Платежи поставщикам и подрядчикам</t>
  </si>
  <si>
    <t>Выплаты по заработной плате</t>
  </si>
  <si>
    <t>Расчеты с бюджетом</t>
  </si>
  <si>
    <t>Получение займов</t>
  </si>
  <si>
    <t>Погашение займов</t>
  </si>
  <si>
    <t>Чистые денежные средства, полученные от /</t>
  </si>
  <si>
    <t>(использованные в) финансовой деятельности</t>
  </si>
  <si>
    <t>Денежные средства и их эквиваленты на начало года</t>
  </si>
  <si>
    <t>Займы</t>
  </si>
  <si>
    <t>Резерв на рекультивацию</t>
  </si>
  <si>
    <t>Обязательства по вознаграждению работников</t>
  </si>
  <si>
    <t>Обязательства по вознаграждениям работникам</t>
  </si>
  <si>
    <t xml:space="preserve">Прочий совокупный доход за год </t>
  </si>
  <si>
    <t xml:space="preserve">Прибыль за год </t>
  </si>
  <si>
    <t xml:space="preserve">Балансовая стоимость простой акции, тенге
</t>
  </si>
  <si>
    <t>Балансовая стоимость привилегированной акции, тенге</t>
  </si>
  <si>
    <t>Прочие резервы</t>
  </si>
  <si>
    <t>Резерв по переоценке валюты</t>
  </si>
  <si>
    <t>Прочие операционные доходы</t>
  </si>
  <si>
    <t>Прочий совокупный доход/(убыток)</t>
  </si>
  <si>
    <t>Возмещение НДС с бюджета</t>
  </si>
  <si>
    <t>Дебиторская задолженность</t>
  </si>
  <si>
    <t>Прочие операционные  расходы</t>
  </si>
  <si>
    <t>Прибыль на акцию, базовая и разводненая (в тенге на акцию)</t>
  </si>
  <si>
    <t>\</t>
  </si>
  <si>
    <t>Текцущий подоходный налог к уплате</t>
  </si>
  <si>
    <t xml:space="preserve">Прочий совокупный доход </t>
  </si>
  <si>
    <t>Выплата дивидендов за вычетом налога у источника</t>
  </si>
  <si>
    <t>Денежные средства и их эквиваленты на конец периода</t>
  </si>
  <si>
    <t>Актив на праве пользования</t>
  </si>
  <si>
    <t>Предварительный консолидированный отчет о финансовом положении по состоянию на 31 декабря  2019 года</t>
  </si>
  <si>
    <t>31 декабря   2019 г.</t>
  </si>
  <si>
    <t xml:space="preserve">Дебиторская задолженность </t>
  </si>
  <si>
    <t>Обязательства по аренде</t>
  </si>
  <si>
    <t>Краткосрочная кредиторская задолженность</t>
  </si>
  <si>
    <t>Налоги к уплате</t>
  </si>
  <si>
    <t>Предварительный консолидированный отчет о прибыли или убытке и прочем совокупном доходе за  2021 год</t>
  </si>
  <si>
    <t>Расходы по корпоративному  подоходному налогу</t>
  </si>
  <si>
    <t>Доход/(убыток), возникающий от курсовых разниц</t>
  </si>
  <si>
    <t xml:space="preserve">  2018 год (пересчитано)</t>
  </si>
  <si>
    <t>2019 год</t>
  </si>
  <si>
    <t>31 декабря  2018 г. (пересчитано)</t>
  </si>
  <si>
    <t>Предварительный консолидированный отчет об изменениях в капитале за  2019 год</t>
  </si>
  <si>
    <t>Резерв по курсовым разницам</t>
  </si>
  <si>
    <t>На 31 декабря 2018 года (пересчитано)</t>
  </si>
  <si>
    <t>Изменения в учетной политике (Примечание 2)</t>
  </si>
  <si>
    <t>На 1 января  2019 года (пересчитано)</t>
  </si>
  <si>
    <t>На 1 января 2018 года</t>
  </si>
  <si>
    <t>Прибыль за год</t>
  </si>
  <si>
    <t>Дивиденды (примечание 14)</t>
  </si>
  <si>
    <t>На  31 декабря 2019 года</t>
  </si>
  <si>
    <t>Предварительный консолидированный  отчет о движении денежных средств за 2019 год</t>
  </si>
  <si>
    <t>2018 год</t>
  </si>
  <si>
    <t>Денежные потоки от операционной деятельности</t>
  </si>
  <si>
    <t>Прочие поступления</t>
  </si>
  <si>
    <t>Проценты полученные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</si>
  <si>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</si>
  <si>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</si>
  <si>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</si>
  <si>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</si>
  <si>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</si>
  <si>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</si>
  <si>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</si>
  <si>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Увеличение/(уменьшение) денежных средств, ограниченных в использовании</t>
  </si>
  <si>
    <t>Чистое поступление/(расходование) денежных средств в инвестиционной деятельности</t>
  </si>
  <si>
    <t>Денежные потоки от финансовой деятельности</t>
  </si>
  <si>
    <t xml:space="preserve">Чистое изменение  денежных средств </t>
  </si>
  <si>
    <t>Эффект изменения обменного курса валют на денежные средства и их эквиваленты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</si>
</sst>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 * #,##0.00_ ;_ * \-#,##0.00_ ;_ * &quot;-&quot;??_ ;_ @_ "/>
    <numFmt numFmtId="177" formatCode="_ * #,##0.0_ ;_ * \-#,##0.0_ ;_ * &quot;-&quot;??_ ;_ @_ "/>
    <numFmt numFmtId="178" formatCode="_(* #,##0_);_(* \(#,##0\);_(* &quot;-&quot;??_);_(@_)"/>
    <numFmt numFmtId="179" formatCode="_(\ #,##0.00_);\(\ #,##0.00\);_(* &quot;-&quot;_)"/>
    <numFmt numFmtId="180" formatCode="_(\ #,##0.00_);\(\ #,##0.00\)"/>
    <numFmt numFmtId="181" formatCode="* \(#,##0\);* #,##0_);&quot;-&quot;??_);@"/>
    <numFmt numFmtId="182" formatCode="* #,##0_);* \(#,##0\);&quot;-&quot;??_);@"/>
    <numFmt numFmtId="183" formatCode="0%_);\(0%\)"/>
    <numFmt numFmtId="184" formatCode="_-* #,##0\ _$_-;\-* #,##0\ _$_-;_-* &quot;-&quot;\ _$_-;_-@_-"/>
    <numFmt numFmtId="185" formatCode="_-* #,##0.00\ _$_-;\-* #,##0.00\ _$_-;_-* &quot;-&quot;??\ _$_-;_-@_-"/>
    <numFmt numFmtId="186" formatCode="_(* #,##0.00_);_(* \(#,##0.00\);_(* &quot;-&quot;_);_(@_)"/>
    <numFmt numFmtId="187" formatCode="_-* #,##0_р_._-;\-* #,##0_р_._-;_-* &quot;-&quot;??_р_._-;_-@_-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#,##0.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dddd\,\ mmmm\ dd\,\ yyyy"/>
    <numFmt numFmtId="214" formatCode="_ * #,##0.000_ ;_ * \-#,##0.000_ ;_ * &quot;-&quot;??_ ;_ @_ "/>
    <numFmt numFmtId="215" formatCode="_ * #,##0.0000_ ;_ * \-#,##0.0000_ ;_ * &quot;-&quot;??_ ;_ @_ "/>
    <numFmt numFmtId="216" formatCode="_(* #,##0.0_);_(* \(#,##0.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Univers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ck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5" fillId="0" borderId="0" applyFill="0" applyBorder="0" applyProtection="0">
      <alignment/>
    </xf>
    <xf numFmtId="181" fontId="5" fillId="0" borderId="1" applyFill="0" applyProtection="0">
      <alignment/>
    </xf>
    <xf numFmtId="181" fontId="5" fillId="0" borderId="2" applyFill="0" applyProtection="0">
      <alignment/>
    </xf>
    <xf numFmtId="182" fontId="5" fillId="0" borderId="0" applyFill="0" applyBorder="0" applyProtection="0">
      <alignment/>
    </xf>
    <xf numFmtId="182" fontId="5" fillId="0" borderId="1" applyFill="0" applyProtection="0">
      <alignment/>
    </xf>
    <xf numFmtId="182" fontId="5" fillId="0" borderId="2" applyFill="0" applyProtection="0">
      <alignment/>
    </xf>
    <xf numFmtId="14" fontId="6" fillId="6" borderId="3">
      <alignment horizontal="center" vertical="center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8" fillId="0" borderId="0" applyFill="0" applyBorder="0" applyProtection="0">
      <alignment horizontal="left" vertical="top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7" borderId="4" applyNumberFormat="0" applyAlignment="0" applyProtection="0"/>
    <xf numFmtId="0" fontId="10" fillId="15" borderId="5" applyNumberFormat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0" borderId="0">
      <alignment/>
      <protection/>
    </xf>
    <xf numFmtId="0" fontId="17" fillId="16" borderId="10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11" applyNumberFormat="0" applyFont="0" applyAlignment="0" applyProtection="0"/>
    <xf numFmtId="9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0" fillId="0" borderId="0" xfId="0" applyNumberFormat="1" applyFill="1" applyAlignment="1">
      <alignment/>
    </xf>
    <xf numFmtId="174" fontId="30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31" fillId="0" borderId="3" xfId="0" applyNumberFormat="1" applyFont="1" applyFill="1" applyBorder="1" applyAlignment="1">
      <alignment vertical="center"/>
    </xf>
    <xf numFmtId="174" fontId="31" fillId="0" borderId="0" xfId="0" applyNumberFormat="1" applyFont="1" applyFill="1" applyAlignment="1">
      <alignment/>
    </xf>
    <xf numFmtId="174" fontId="32" fillId="0" borderId="3" xfId="0" applyNumberFormat="1" applyFont="1" applyFill="1" applyBorder="1" applyAlignment="1">
      <alignment vertical="center"/>
    </xf>
    <xf numFmtId="174" fontId="31" fillId="0" borderId="13" xfId="0" applyNumberFormat="1" applyFont="1" applyFill="1" applyBorder="1" applyAlignment="1">
      <alignment vertical="center"/>
    </xf>
    <xf numFmtId="174" fontId="33" fillId="0" borderId="0" xfId="0" applyNumberFormat="1" applyFont="1" applyFill="1" applyAlignment="1">
      <alignment vertical="center"/>
    </xf>
    <xf numFmtId="0" fontId="30" fillId="0" borderId="3" xfId="0" applyNumberFormat="1" applyFont="1" applyFill="1" applyBorder="1" applyAlignment="1">
      <alignment horizontal="right" vertical="center" wrapText="1"/>
    </xf>
    <xf numFmtId="174" fontId="26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Alignment="1">
      <alignment vertical="center" wrapText="1"/>
    </xf>
    <xf numFmtId="174" fontId="0" fillId="0" borderId="0" xfId="0" applyNumberFormat="1" applyFill="1" applyAlignment="1">
      <alignment wrapText="1"/>
    </xf>
    <xf numFmtId="174" fontId="27" fillId="0" borderId="0" xfId="0" applyNumberFormat="1" applyFont="1" applyAlignment="1">
      <alignment/>
    </xf>
    <xf numFmtId="174" fontId="33" fillId="0" borderId="3" xfId="0" applyNumberFormat="1" applyFont="1" applyBorder="1" applyAlignment="1">
      <alignment vertical="center" wrapText="1"/>
    </xf>
    <xf numFmtId="174" fontId="30" fillId="0" borderId="3" xfId="0" applyNumberFormat="1" applyFont="1" applyBorder="1" applyAlignment="1">
      <alignment horizontal="right" wrapText="1"/>
    </xf>
    <xf numFmtId="174" fontId="30" fillId="0" borderId="3" xfId="0" applyNumberFormat="1" applyFont="1" applyBorder="1" applyAlignment="1">
      <alignment horizontal="right" vertical="center" wrapText="1"/>
    </xf>
    <xf numFmtId="174" fontId="30" fillId="0" borderId="0" xfId="0" applyNumberFormat="1" applyFont="1" applyAlignment="1">
      <alignment vertical="center" wrapText="1"/>
    </xf>
    <xf numFmtId="174" fontId="27" fillId="0" borderId="0" xfId="0" applyNumberFormat="1" applyFont="1" applyAlignment="1">
      <alignment vertical="center" wrapText="1"/>
    </xf>
    <xf numFmtId="174" fontId="32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 vertical="center" wrapText="1"/>
    </xf>
    <xf numFmtId="174" fontId="31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174" fontId="31" fillId="0" borderId="3" xfId="0" applyNumberFormat="1" applyFont="1" applyBorder="1" applyAlignment="1">
      <alignment vertical="center" wrapText="1"/>
    </xf>
    <xf numFmtId="174" fontId="27" fillId="0" borderId="0" xfId="0" applyNumberFormat="1" applyFont="1" applyAlignment="1">
      <alignment vertical="center"/>
    </xf>
    <xf numFmtId="174" fontId="34" fillId="0" borderId="0" xfId="0" applyNumberFormat="1" applyFont="1" applyAlignment="1">
      <alignment/>
    </xf>
    <xf numFmtId="174" fontId="27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right" vertical="top" wrapText="1"/>
    </xf>
    <xf numFmtId="174" fontId="30" fillId="0" borderId="0" xfId="0" applyNumberFormat="1" applyFont="1" applyAlignment="1">
      <alignment horizontal="center"/>
    </xf>
    <xf numFmtId="0" fontId="30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74" fontId="27" fillId="0" borderId="0" xfId="0" applyNumberFormat="1" applyFont="1" applyAlignment="1">
      <alignment/>
    </xf>
    <xf numFmtId="0" fontId="30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7" fillId="0" borderId="0" xfId="0" applyNumberFormat="1" applyFont="1" applyAlignment="1">
      <alignment wrapText="1"/>
    </xf>
    <xf numFmtId="0" fontId="27" fillId="0" borderId="3" xfId="0" applyFont="1" applyBorder="1" applyAlignment="1">
      <alignment wrapText="1"/>
    </xf>
    <xf numFmtId="0" fontId="30" fillId="0" borderId="3" xfId="0" applyFont="1" applyBorder="1" applyAlignment="1">
      <alignment wrapText="1"/>
    </xf>
    <xf numFmtId="188" fontId="30" fillId="0" borderId="0" xfId="86" applyNumberFormat="1" applyFont="1" applyAlignment="1">
      <alignment wrapText="1"/>
    </xf>
    <xf numFmtId="188" fontId="30" fillId="0" borderId="0" xfId="86" applyNumberFormat="1" applyFont="1" applyBorder="1" applyAlignment="1">
      <alignment horizontal="right" wrapText="1"/>
    </xf>
    <xf numFmtId="0" fontId="30" fillId="0" borderId="13" xfId="0" applyFont="1" applyBorder="1" applyAlignment="1">
      <alignment wrapText="1"/>
    </xf>
    <xf numFmtId="0" fontId="30" fillId="0" borderId="13" xfId="0" applyFont="1" applyBorder="1" applyAlignment="1">
      <alignment horizontal="right" wrapText="1"/>
    </xf>
    <xf numFmtId="0" fontId="27" fillId="0" borderId="0" xfId="0" applyFont="1" applyAlignment="1">
      <alignment/>
    </xf>
    <xf numFmtId="188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74" fontId="27" fillId="0" borderId="0" xfId="76" applyNumberFormat="1" applyFont="1" applyFill="1" applyAlignment="1">
      <alignment/>
      <protection/>
    </xf>
    <xf numFmtId="174" fontId="29" fillId="0" borderId="0" xfId="76" applyNumberFormat="1" applyFont="1" applyFill="1" applyAlignment="1">
      <alignment vertical="center"/>
      <protection/>
    </xf>
    <xf numFmtId="174" fontId="30" fillId="0" borderId="0" xfId="76" applyNumberFormat="1" applyFont="1" applyFill="1" applyAlignment="1">
      <alignment horizontal="right" vertical="center"/>
      <protection/>
    </xf>
    <xf numFmtId="174" fontId="0" fillId="0" borderId="0" xfId="76" applyNumberFormat="1" applyFill="1" applyAlignment="1">
      <alignment/>
      <protection/>
    </xf>
    <xf numFmtId="174" fontId="29" fillId="0" borderId="3" xfId="76" applyNumberFormat="1" applyFont="1" applyFill="1" applyBorder="1" applyAlignment="1">
      <alignment vertical="center"/>
      <protection/>
    </xf>
    <xf numFmtId="174" fontId="30" fillId="0" borderId="3" xfId="76" applyNumberFormat="1" applyFont="1" applyFill="1" applyBorder="1" applyAlignment="1">
      <alignment horizontal="right" vertical="center"/>
      <protection/>
    </xf>
    <xf numFmtId="174" fontId="30" fillId="0" borderId="0" xfId="76" applyNumberFormat="1" applyFont="1" applyFill="1" applyAlignment="1">
      <alignment vertical="center"/>
      <protection/>
    </xf>
    <xf numFmtId="174" fontId="27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vertical="center"/>
      <protection/>
    </xf>
    <xf numFmtId="174" fontId="31" fillId="0" borderId="0" xfId="76" applyNumberFormat="1" applyFont="1" applyFill="1" applyAlignment="1">
      <alignment/>
      <protection/>
    </xf>
    <xf numFmtId="174" fontId="27" fillId="0" borderId="14" xfId="76" applyNumberFormat="1" applyFont="1" applyFill="1" applyBorder="1" applyAlignment="1">
      <alignment vertical="center"/>
      <protection/>
    </xf>
    <xf numFmtId="174" fontId="32" fillId="0" borderId="3" xfId="76" applyNumberFormat="1" applyFont="1" applyFill="1" applyBorder="1" applyAlignment="1">
      <alignment vertical="center"/>
      <protection/>
    </xf>
    <xf numFmtId="174" fontId="30" fillId="0" borderId="14" xfId="76" applyNumberFormat="1" applyFont="1" applyFill="1" applyBorder="1" applyAlignment="1">
      <alignment vertical="center"/>
      <protection/>
    </xf>
    <xf numFmtId="174" fontId="31" fillId="0" borderId="13" xfId="76" applyNumberFormat="1" applyFont="1" applyFill="1" applyBorder="1" applyAlignment="1">
      <alignment vertical="center"/>
      <protection/>
    </xf>
    <xf numFmtId="174" fontId="27" fillId="0" borderId="15" xfId="76" applyNumberFormat="1" applyFont="1" applyFill="1" applyBorder="1" applyAlignment="1">
      <alignment vertical="center"/>
      <protection/>
    </xf>
    <xf numFmtId="174" fontId="33" fillId="0" borderId="0" xfId="76" applyNumberFormat="1" applyFont="1" applyFill="1" applyAlignment="1">
      <alignment vertical="center"/>
      <protection/>
    </xf>
    <xf numFmtId="174" fontId="31" fillId="0" borderId="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Fill="1" applyAlignment="1">
      <alignment horizontal="right" vertical="center"/>
      <protection/>
    </xf>
    <xf numFmtId="174" fontId="31" fillId="0" borderId="0" xfId="76" applyNumberFormat="1" applyFont="1" applyFill="1" applyAlignment="1">
      <alignment horizontal="right" vertical="center"/>
      <protection/>
    </xf>
    <xf numFmtId="174" fontId="27" fillId="0" borderId="14" xfId="76" applyNumberFormat="1" applyFont="1" applyFill="1" applyBorder="1" applyAlignment="1">
      <alignment horizontal="right" vertical="center"/>
      <protection/>
    </xf>
    <xf numFmtId="174" fontId="32" fillId="0" borderId="13" xfId="76" applyNumberFormat="1" applyFont="1" applyFill="1" applyBorder="1" applyAlignment="1">
      <alignment vertical="center"/>
      <protection/>
    </xf>
    <xf numFmtId="174" fontId="32" fillId="0" borderId="13" xfId="76" applyNumberFormat="1" applyFont="1" applyFill="1" applyBorder="1" applyAlignment="1">
      <alignment horizontal="right" vertical="center"/>
      <protection/>
    </xf>
    <xf numFmtId="174" fontId="27" fillId="0" borderId="0" xfId="76" applyNumberFormat="1" applyFont="1" applyAlignment="1">
      <alignment horizontal="left"/>
      <protection/>
    </xf>
    <xf numFmtId="174" fontId="27" fillId="0" borderId="0" xfId="76" applyNumberFormat="1" applyFont="1" applyFill="1" applyAlignment="1">
      <alignment/>
      <protection/>
    </xf>
    <xf numFmtId="188" fontId="27" fillId="0" borderId="0" xfId="86" applyNumberFormat="1" applyFont="1" applyAlignment="1">
      <alignment wrapText="1"/>
    </xf>
    <xf numFmtId="174" fontId="27" fillId="0" borderId="0" xfId="76" applyNumberFormat="1" applyFont="1" applyFill="1" applyAlignment="1">
      <alignment horizontal="left" wrapText="1"/>
      <protection/>
    </xf>
    <xf numFmtId="174" fontId="27" fillId="18" borderId="0" xfId="76" applyNumberFormat="1" applyFont="1" applyFill="1" applyAlignment="1">
      <alignment/>
      <protection/>
    </xf>
    <xf numFmtId="174" fontId="3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Alignment="1">
      <alignment horizontal="right" wrapText="1"/>
    </xf>
    <xf numFmtId="174" fontId="37" fillId="0" borderId="0" xfId="0" applyNumberFormat="1" applyFont="1" applyAlignment="1">
      <alignment/>
    </xf>
    <xf numFmtId="174" fontId="2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4" fontId="30" fillId="0" borderId="16" xfId="0" applyNumberFormat="1" applyFont="1" applyBorder="1" applyAlignment="1">
      <alignment vertical="center" wrapText="1"/>
    </xf>
    <xf numFmtId="174" fontId="31" fillId="0" borderId="0" xfId="0" applyNumberFormat="1" applyFont="1" applyBorder="1" applyAlignment="1">
      <alignment vertical="center" wrapText="1"/>
    </xf>
    <xf numFmtId="174" fontId="30" fillId="0" borderId="0" xfId="0" applyNumberFormat="1" applyFont="1" applyAlignment="1">
      <alignment/>
    </xf>
    <xf numFmtId="174" fontId="30" fillId="0" borderId="0" xfId="0" applyNumberFormat="1" applyFont="1" applyAlignment="1">
      <alignment horizontal="center" vertical="center" wrapText="1"/>
    </xf>
    <xf numFmtId="0" fontId="28" fillId="0" borderId="0" xfId="76" applyNumberFormat="1" applyFont="1" applyAlignment="1">
      <alignment wrapText="1"/>
      <protection/>
    </xf>
    <xf numFmtId="0" fontId="0" fillId="0" borderId="0" xfId="0" applyAlignment="1">
      <alignment/>
    </xf>
    <xf numFmtId="0" fontId="28" fillId="0" borderId="0" xfId="0" applyNumberFormat="1" applyFont="1" applyAlignment="1">
      <alignment wrapText="1"/>
    </xf>
    <xf numFmtId="174" fontId="30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Alignment="1">
      <alignment wrapText="1"/>
    </xf>
    <xf numFmtId="174" fontId="30" fillId="0" borderId="0" xfId="76" applyNumberFormat="1" applyFont="1" applyFill="1" applyAlignment="1">
      <alignment horizontal="right" vertical="center" wrapText="1"/>
      <protection/>
    </xf>
    <xf numFmtId="174" fontId="27" fillId="0" borderId="16" xfId="0" applyNumberFormat="1" applyFont="1" applyBorder="1" applyAlignment="1">
      <alignment vertical="center" wrapText="1"/>
    </xf>
  </cellXfs>
  <cellStyles count="8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266.2 TB-TS-FS 6m 2006 in KZT" xfId="15"/>
    <cellStyle name="_Worksheet in (C) 2272 IFRS 7 -disclosure" xfId="16"/>
    <cellStyle name="_Worksheet in 5350 Aging analysis 31 12 2006 UPDATE-2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omma 2" xfId="36"/>
    <cellStyle name="Comma 3" xfId="37"/>
    <cellStyle name="Credit" xfId="38"/>
    <cellStyle name="Credit subtotal" xfId="39"/>
    <cellStyle name="Credit Total" xfId="40"/>
    <cellStyle name="Debit" xfId="41"/>
    <cellStyle name="Debit subtotal" xfId="42"/>
    <cellStyle name="Debit Total" xfId="43"/>
    <cellStyle name="Heading" xfId="44"/>
    <cellStyle name="Normal 2" xfId="45"/>
    <cellStyle name="Normal 2 2" xfId="46"/>
    <cellStyle name="Normal 2_Book8" xfId="47"/>
    <cellStyle name="Normal 3" xfId="48"/>
    <cellStyle name="Normal 6" xfId="49"/>
    <cellStyle name="Normal_SHEET" xfId="50"/>
    <cellStyle name="Percent (0)" xfId="51"/>
    <cellStyle name="Standard_acc-report-ias" xfId="52"/>
    <cellStyle name="Style 1" xfId="53"/>
    <cellStyle name="Tickmark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АНДАГАЧ тел3-33-96" xfId="72"/>
    <cellStyle name="Контрольная ячейка" xfId="73"/>
    <cellStyle name="Название" xfId="74"/>
    <cellStyle name="Нейтральный" xfId="75"/>
    <cellStyle name="Обычный_ФО Формы для заполнения 3 кв 201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01.02.98" xfId="84"/>
    <cellStyle name="Тысячи_01.02.98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67.2%20TB-TS-FS%20APC%202006%20new%20updated%20FINAL,%20REFERENCED%20TO%20ISSUED%20REPOR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246%20Production%20cost%20-%20analytical%20procedure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2;&#1085;&#1089;&#1092;&#1086;&#1088;&#1084;&#1072;&#1094;&#1080;&#1086;&#1085;&#1085;&#1099;&#1077;%20&#1090;&#1072;&#1073;&#1083;&#1080;&#1094;&#1099;%201%20&#1082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"/>
      <sheetName val="Transf_STM"/>
      <sheetName val="ОСБ 1 КВ-2015г"/>
      <sheetName val="Transf_UKTMP"/>
      <sheetName val="Кор.вх.с-до"/>
      <sheetName val="CY AJE_UKTMP2014"/>
      <sheetName val="CY AJE_STM"/>
      <sheetName val="Cons Transf"/>
      <sheetName val="CB Elimation AJE"/>
      <sheetName val="CB Elimation AJE 2008"/>
      <sheetName val="OB AJE_UKTMP"/>
      <sheetName val="OB Elimations"/>
      <sheetName val="CY RJE_UKTMP"/>
      <sheetName val="Client OB AJE_UKTMP"/>
      <sheetName val="Sheet1"/>
      <sheetName val="CY RJE_STM"/>
      <sheetName val="Tickmarks"/>
    </sheetNames>
    <sheetDataSet>
      <sheetData sheetId="0">
        <row r="33">
          <cell r="N33">
            <v>-159987.66619000002</v>
          </cell>
        </row>
        <row r="34">
          <cell r="N34">
            <v>-1282400.8450000002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0"/>
  <sheetViews>
    <sheetView showGridLines="0" zoomScale="90" zoomScaleNormal="90" zoomScalePageLayoutView="0" workbookViewId="0" topLeftCell="A1">
      <pane xSplit="1" ySplit="5" topLeftCell="B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13" sqref="C13"/>
    </sheetView>
  </sheetViews>
  <sheetFormatPr defaultColWidth="9.140625" defaultRowHeight="12.75"/>
  <cols>
    <col min="1" max="1" width="59.7109375" style="70" customWidth="1"/>
    <col min="2" max="2" width="17.00390625" style="50" customWidth="1"/>
    <col min="3" max="3" width="19.421875" style="50" customWidth="1"/>
    <col min="4" max="16384" width="9.140625" style="50" customWidth="1"/>
  </cols>
  <sheetData>
    <row r="1" s="47" customFormat="1" ht="12"/>
    <row r="2" spans="1:3" s="47" customFormat="1" ht="48.75" customHeight="1">
      <c r="A2" s="83" t="s">
        <v>78</v>
      </c>
      <c r="B2" s="84"/>
      <c r="C2" s="84"/>
    </row>
    <row r="3" s="47" customFormat="1" ht="18" customHeight="1"/>
    <row r="4" spans="1:3" ht="24">
      <c r="A4" s="48"/>
      <c r="B4" s="49" t="s">
        <v>79</v>
      </c>
      <c r="C4" s="88" t="s">
        <v>89</v>
      </c>
    </row>
    <row r="5" spans="1:3" ht="13.5" thickBot="1">
      <c r="A5" s="51"/>
      <c r="B5" s="52"/>
      <c r="C5" s="52"/>
    </row>
    <row r="6" spans="1:3" ht="12.75">
      <c r="A6" s="48"/>
      <c r="B6" s="53"/>
      <c r="C6" s="53"/>
    </row>
    <row r="7" spans="1:3" ht="12.75">
      <c r="A7" s="53" t="s">
        <v>0</v>
      </c>
      <c r="B7" s="54"/>
      <c r="C7" s="54"/>
    </row>
    <row r="8" spans="1:3" ht="12.75">
      <c r="A8" s="54"/>
      <c r="B8" s="54"/>
      <c r="C8" s="54"/>
    </row>
    <row r="9" spans="1:3" ht="12.75">
      <c r="A9" s="54" t="s">
        <v>1</v>
      </c>
      <c r="B9" s="54">
        <v>56743396</v>
      </c>
      <c r="C9" s="54">
        <v>49779430</v>
      </c>
    </row>
    <row r="10" spans="1:3" ht="12.75">
      <c r="A10" s="54" t="s">
        <v>2</v>
      </c>
      <c r="B10" s="54">
        <v>779299</v>
      </c>
      <c r="C10" s="54">
        <v>695073</v>
      </c>
    </row>
    <row r="11" spans="1:3" ht="12.75">
      <c r="A11" s="54" t="s">
        <v>77</v>
      </c>
      <c r="B11" s="54">
        <v>179873</v>
      </c>
      <c r="C11" s="54">
        <v>0</v>
      </c>
    </row>
    <row r="12" spans="1:3" ht="12.75">
      <c r="A12" s="54" t="s">
        <v>3</v>
      </c>
      <c r="B12" s="54">
        <v>817914</v>
      </c>
      <c r="C12" s="54">
        <v>70322</v>
      </c>
    </row>
    <row r="13" spans="1:3" ht="12.75">
      <c r="A13" s="54" t="s">
        <v>69</v>
      </c>
      <c r="B13" s="54">
        <v>0</v>
      </c>
      <c r="C13" s="54">
        <v>2354078</v>
      </c>
    </row>
    <row r="14" spans="1:3" ht="12.75">
      <c r="A14" s="54" t="s">
        <v>4</v>
      </c>
      <c r="B14" s="54">
        <v>960096</v>
      </c>
      <c r="C14" s="54">
        <v>441397</v>
      </c>
    </row>
    <row r="15" spans="1:3" s="56" customFormat="1" ht="6.75" thickBot="1">
      <c r="A15" s="55"/>
      <c r="B15" s="55"/>
      <c r="C15" s="55"/>
    </row>
    <row r="16" spans="1:3" ht="12.75">
      <c r="A16" s="54"/>
      <c r="B16" s="54"/>
      <c r="C16" s="54"/>
    </row>
    <row r="17" spans="1:3" ht="12.75">
      <c r="A17" s="53" t="s">
        <v>5</v>
      </c>
      <c r="B17" s="53">
        <f>SUM(B9:B16)</f>
        <v>59480578</v>
      </c>
      <c r="C17" s="53">
        <f>SUM(C9:C16)</f>
        <v>53340300</v>
      </c>
    </row>
    <row r="18" spans="1:3" s="56" customFormat="1" ht="6.75" thickBot="1">
      <c r="A18" s="55"/>
      <c r="B18" s="55"/>
      <c r="C18" s="55"/>
    </row>
    <row r="19" spans="1:3" ht="12.75">
      <c r="A19" s="54"/>
      <c r="B19" s="54"/>
      <c r="C19" s="54"/>
    </row>
    <row r="20" spans="1:3" ht="12.75">
      <c r="A20" s="54" t="s">
        <v>6</v>
      </c>
      <c r="B20" s="54">
        <v>35618489</v>
      </c>
      <c r="C20" s="54">
        <v>27000212</v>
      </c>
    </row>
    <row r="21" spans="1:3" ht="12.75">
      <c r="A21" s="54" t="s">
        <v>80</v>
      </c>
      <c r="B21" s="54">
        <v>21276086</v>
      </c>
      <c r="C21" s="54">
        <v>11530159</v>
      </c>
    </row>
    <row r="22" spans="1:3" ht="12.75">
      <c r="A22" s="54" t="s">
        <v>7</v>
      </c>
      <c r="B22" s="54">
        <v>506205</v>
      </c>
      <c r="C22" s="54">
        <v>33705</v>
      </c>
    </row>
    <row r="23" spans="1:3" ht="12.75">
      <c r="A23" s="54" t="s">
        <v>8</v>
      </c>
      <c r="B23" s="54">
        <v>7826822</v>
      </c>
      <c r="C23" s="54">
        <v>3734824</v>
      </c>
    </row>
    <row r="24" spans="1:3" ht="12.75">
      <c r="A24" s="54" t="s">
        <v>9</v>
      </c>
      <c r="B24" s="54">
        <v>3090679</v>
      </c>
      <c r="C24" s="54">
        <v>4204455</v>
      </c>
    </row>
    <row r="25" spans="1:3" s="56" customFormat="1" ht="6.75" thickBot="1">
      <c r="A25" s="55"/>
      <c r="B25" s="55"/>
      <c r="C25" s="55"/>
    </row>
    <row r="26" spans="1:3" ht="12.75">
      <c r="A26" s="57"/>
      <c r="B26" s="54"/>
      <c r="C26" s="54"/>
    </row>
    <row r="27" spans="1:3" ht="12.75">
      <c r="A27" s="53" t="s">
        <v>10</v>
      </c>
      <c r="B27" s="53">
        <f>SUM(B20:B26)</f>
        <v>68318281</v>
      </c>
      <c r="C27" s="53">
        <f>SUM(C20:C26)</f>
        <v>46503355</v>
      </c>
    </row>
    <row r="28" spans="1:3" s="56" customFormat="1" ht="6.75" thickBot="1">
      <c r="A28" s="58"/>
      <c r="B28" s="58"/>
      <c r="C28" s="58"/>
    </row>
    <row r="29" spans="1:3" ht="12.75">
      <c r="A29" s="59"/>
      <c r="B29" s="53"/>
      <c r="C29" s="53"/>
    </row>
    <row r="30" spans="1:3" ht="12.75">
      <c r="A30" s="53" t="s">
        <v>11</v>
      </c>
      <c r="B30" s="53">
        <f>B17+B27</f>
        <v>127798859</v>
      </c>
      <c r="C30" s="53">
        <f>C17+C27</f>
        <v>99843655</v>
      </c>
    </row>
    <row r="31" spans="1:3" s="56" customFormat="1" ht="6.75" thickBot="1">
      <c r="A31" s="60"/>
      <c r="B31" s="60"/>
      <c r="C31" s="60"/>
    </row>
    <row r="32" spans="1:3" ht="13.5" thickTop="1">
      <c r="A32" s="61"/>
      <c r="B32" s="54"/>
      <c r="C32" s="54"/>
    </row>
    <row r="33" ht="12.75">
      <c r="A33" s="53" t="s">
        <v>12</v>
      </c>
    </row>
    <row r="34" ht="12.75">
      <c r="A34" s="53"/>
    </row>
    <row r="35" ht="12.75">
      <c r="A35" s="62" t="s">
        <v>13</v>
      </c>
    </row>
    <row r="36" spans="1:3" ht="12.75">
      <c r="A36" s="54" t="s">
        <v>14</v>
      </c>
      <c r="B36" s="54">
        <f>-'[3]FS'!$N$33</f>
        <v>159987.66619000002</v>
      </c>
      <c r="C36" s="54">
        <v>159988</v>
      </c>
    </row>
    <row r="37" spans="1:3" ht="12.75">
      <c r="A37" s="54" t="s">
        <v>15</v>
      </c>
      <c r="B37" s="54">
        <f>-'[3]FS'!$N$34</f>
        <v>1282400.8450000002</v>
      </c>
      <c r="C37" s="54">
        <v>1282401</v>
      </c>
    </row>
    <row r="38" spans="1:3" ht="12.75">
      <c r="A38" s="54" t="s">
        <v>64</v>
      </c>
      <c r="B38" s="54">
        <f>-47552</f>
        <v>-47552</v>
      </c>
      <c r="C38" s="54">
        <f>-48306</f>
        <v>-48306</v>
      </c>
    </row>
    <row r="39" spans="1:3" ht="12.75">
      <c r="A39" s="54" t="s">
        <v>65</v>
      </c>
      <c r="B39" s="54">
        <v>5904636</v>
      </c>
      <c r="C39" s="54">
        <v>6015826</v>
      </c>
    </row>
    <row r="40" spans="1:3" ht="12.75">
      <c r="A40" s="54" t="s">
        <v>16</v>
      </c>
      <c r="B40" s="54">
        <v>25247986</v>
      </c>
      <c r="C40" s="54">
        <v>17141797</v>
      </c>
    </row>
    <row r="41" spans="1:3" s="56" customFormat="1" ht="6.75" thickBot="1">
      <c r="A41" s="55"/>
      <c r="B41" s="63"/>
      <c r="C41" s="63"/>
    </row>
    <row r="42" spans="1:3" ht="12.75">
      <c r="A42" s="54"/>
      <c r="B42" s="64"/>
      <c r="C42" s="64"/>
    </row>
    <row r="43" spans="1:3" ht="12.75">
      <c r="A43" s="53" t="s">
        <v>17</v>
      </c>
      <c r="B43" s="49">
        <f>SUM(B36:B42)</f>
        <v>32547458.51119</v>
      </c>
      <c r="C43" s="49">
        <f>SUM(C36:C42)</f>
        <v>24551706</v>
      </c>
    </row>
    <row r="44" spans="1:3" s="56" customFormat="1" ht="6.75" thickBot="1">
      <c r="A44" s="55"/>
      <c r="B44" s="65"/>
      <c r="C44" s="65"/>
    </row>
    <row r="45" spans="1:3" ht="12.75">
      <c r="A45" s="54"/>
      <c r="B45" s="66"/>
      <c r="C45" s="66"/>
    </row>
    <row r="46" spans="1:3" ht="12.75">
      <c r="A46" s="62" t="s">
        <v>25</v>
      </c>
      <c r="B46" s="64"/>
      <c r="C46" s="64"/>
    </row>
    <row r="47" spans="1:3" ht="12.75">
      <c r="A47" s="54" t="s">
        <v>56</v>
      </c>
      <c r="B47" s="54">
        <v>12282193</v>
      </c>
      <c r="C47" s="54">
        <v>14030102</v>
      </c>
    </row>
    <row r="48" spans="1:3" ht="12.75">
      <c r="A48" s="54" t="s">
        <v>57</v>
      </c>
      <c r="B48" s="54">
        <v>562169</v>
      </c>
      <c r="C48" s="54">
        <v>445749</v>
      </c>
    </row>
    <row r="49" spans="1:3" ht="12.75">
      <c r="A49" s="54" t="s">
        <v>81</v>
      </c>
      <c r="B49" s="54">
        <v>142487</v>
      </c>
      <c r="C49" s="54"/>
    </row>
    <row r="50" spans="1:3" ht="12.75">
      <c r="A50" s="54" t="s">
        <v>58</v>
      </c>
      <c r="B50" s="54">
        <v>130851</v>
      </c>
      <c r="C50" s="54">
        <v>132991</v>
      </c>
    </row>
    <row r="51" spans="1:3" ht="12.75">
      <c r="A51" s="54" t="s">
        <v>18</v>
      </c>
      <c r="B51" s="54">
        <v>4051694</v>
      </c>
      <c r="C51" s="54">
        <v>4338719</v>
      </c>
    </row>
    <row r="52" spans="1:3" ht="12.75">
      <c r="A52" s="54" t="s">
        <v>19</v>
      </c>
      <c r="B52" s="54">
        <v>114194</v>
      </c>
      <c r="C52" s="54">
        <v>94054</v>
      </c>
    </row>
    <row r="53" spans="1:3" s="56" customFormat="1" ht="6.75" thickBot="1">
      <c r="A53" s="55"/>
      <c r="B53" s="63" t="s">
        <v>72</v>
      </c>
      <c r="C53" s="63"/>
    </row>
    <row r="54" spans="1:3" ht="12.75">
      <c r="A54" s="54"/>
      <c r="B54" s="64"/>
      <c r="C54" s="64"/>
    </row>
    <row r="55" spans="1:3" ht="12.75">
      <c r="A55" s="53" t="s">
        <v>20</v>
      </c>
      <c r="B55" s="49">
        <f>SUM(B47:B54)</f>
        <v>17283588</v>
      </c>
      <c r="C55" s="49">
        <f>SUM(C47:C54)</f>
        <v>19041615</v>
      </c>
    </row>
    <row r="56" spans="1:3" s="56" customFormat="1" ht="6.75" thickBot="1">
      <c r="A56" s="55"/>
      <c r="B56" s="63"/>
      <c r="C56" s="63"/>
    </row>
    <row r="57" spans="1:3" ht="12.75">
      <c r="A57" s="54"/>
      <c r="B57" s="64"/>
      <c r="C57" s="64"/>
    </row>
    <row r="58" spans="1:3" ht="12.75">
      <c r="A58" s="62" t="s">
        <v>21</v>
      </c>
      <c r="B58" s="64"/>
      <c r="C58" s="64"/>
    </row>
    <row r="59" spans="1:3" ht="12.75">
      <c r="A59" s="54" t="s">
        <v>56</v>
      </c>
      <c r="B59" s="54">
        <v>28553645</v>
      </c>
      <c r="C59" s="54">
        <v>14648541</v>
      </c>
    </row>
    <row r="60" spans="1:3" ht="12.75">
      <c r="A60" s="54" t="s">
        <v>81</v>
      </c>
      <c r="B60" s="54">
        <v>34325</v>
      </c>
      <c r="C60" s="54"/>
    </row>
    <row r="61" spans="1:3" ht="12.75">
      <c r="A61" s="54" t="s">
        <v>59</v>
      </c>
      <c r="B61" s="54">
        <v>24230</v>
      </c>
      <c r="C61" s="54">
        <v>21336</v>
      </c>
    </row>
    <row r="62" spans="1:3" ht="12.75">
      <c r="A62" s="54" t="s">
        <v>73</v>
      </c>
      <c r="B62" s="54">
        <v>0</v>
      </c>
      <c r="C62" s="54">
        <v>110265</v>
      </c>
    </row>
    <row r="63" spans="1:3" ht="12.75">
      <c r="A63" s="54" t="s">
        <v>82</v>
      </c>
      <c r="B63" s="54">
        <v>49013188</v>
      </c>
      <c r="C63" s="54">
        <v>41227875</v>
      </c>
    </row>
    <row r="64" spans="1:3" ht="12.75">
      <c r="A64" s="54" t="s">
        <v>83</v>
      </c>
      <c r="B64" s="54">
        <v>342424</v>
      </c>
      <c r="C64" s="54">
        <v>242317</v>
      </c>
    </row>
    <row r="65" spans="1:3" s="56" customFormat="1" ht="6.75" thickBot="1">
      <c r="A65" s="55"/>
      <c r="B65" s="63"/>
      <c r="C65" s="63"/>
    </row>
    <row r="66" spans="1:3" ht="12.75">
      <c r="A66" s="54"/>
      <c r="B66" s="64"/>
      <c r="C66" s="64"/>
    </row>
    <row r="67" spans="1:3" ht="12.75">
      <c r="A67" s="53" t="s">
        <v>22</v>
      </c>
      <c r="B67" s="49">
        <f>SUM(B59:B66)</f>
        <v>77967812</v>
      </c>
      <c r="C67" s="49">
        <f>SUM(C59:C66)</f>
        <v>56250334</v>
      </c>
    </row>
    <row r="68" spans="1:3" s="56" customFormat="1" ht="6.75" thickBot="1">
      <c r="A68" s="55"/>
      <c r="B68" s="63"/>
      <c r="C68" s="63"/>
    </row>
    <row r="69" spans="1:3" ht="12.75">
      <c r="A69" s="54"/>
      <c r="B69" s="64"/>
      <c r="C69" s="64"/>
    </row>
    <row r="70" spans="1:3" ht="12.75">
      <c r="A70" s="53" t="s">
        <v>23</v>
      </c>
      <c r="B70" s="49">
        <f>B55+B67</f>
        <v>95251400</v>
      </c>
      <c r="C70" s="49">
        <f>C55+C67</f>
        <v>75291949</v>
      </c>
    </row>
    <row r="71" spans="1:3" s="56" customFormat="1" ht="6.75" thickBot="1">
      <c r="A71" s="58"/>
      <c r="B71" s="63"/>
      <c r="C71" s="63"/>
    </row>
    <row r="72" spans="1:3" ht="12.75">
      <c r="A72" s="53"/>
      <c r="B72" s="64"/>
      <c r="C72" s="64"/>
    </row>
    <row r="73" spans="1:3" ht="12.75">
      <c r="A73" s="53" t="s">
        <v>24</v>
      </c>
      <c r="B73" s="49">
        <f>B43+B70</f>
        <v>127798858.51119</v>
      </c>
      <c r="C73" s="49">
        <f>C43+C70</f>
        <v>99843655</v>
      </c>
    </row>
    <row r="74" spans="1:3" s="56" customFormat="1" ht="6.75" thickBot="1">
      <c r="A74" s="67"/>
      <c r="B74" s="68"/>
      <c r="C74" s="68"/>
    </row>
    <row r="75" s="47" customFormat="1" ht="12.75" thickTop="1"/>
    <row r="76" spans="1:3" s="47" customFormat="1" ht="24" customHeight="1">
      <c r="A76" s="72" t="s">
        <v>62</v>
      </c>
      <c r="B76" s="47">
        <v>16354</v>
      </c>
      <c r="C76" s="47">
        <v>12281</v>
      </c>
    </row>
    <row r="77" spans="1:3" s="47" customFormat="1" ht="12">
      <c r="A77" s="47" t="s">
        <v>63</v>
      </c>
      <c r="B77" s="73">
        <v>20</v>
      </c>
      <c r="C77" s="73">
        <v>20</v>
      </c>
    </row>
    <row r="78" ht="12.75">
      <c r="A78" s="54"/>
    </row>
    <row r="79" ht="12.75">
      <c r="A79" s="54"/>
    </row>
    <row r="80" s="70" customFormat="1" ht="12">
      <c r="A80" s="69"/>
    </row>
    <row r="81" s="70" customFormat="1" ht="12"/>
    <row r="82" s="70" customFormat="1" ht="12"/>
    <row r="83" s="70" customFormat="1" ht="12"/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5.28125" style="0" customWidth="1"/>
    <col min="2" max="2" width="6.8515625" style="0" customWidth="1"/>
    <col min="3" max="3" width="12.28125" style="0" customWidth="1"/>
    <col min="4" max="4" width="14.7109375" style="0" customWidth="1"/>
    <col min="6" max="6" width="14.140625" style="0" customWidth="1"/>
  </cols>
  <sheetData>
    <row r="1" spans="1:4" ht="33" customHeight="1">
      <c r="A1" s="85" t="s">
        <v>84</v>
      </c>
      <c r="B1" s="84"/>
      <c r="C1" s="84"/>
      <c r="D1" s="84"/>
    </row>
    <row r="3" spans="1:4" s="2" customFormat="1" ht="24.75" thickBot="1">
      <c r="A3" s="1"/>
      <c r="C3" s="10" t="s">
        <v>88</v>
      </c>
      <c r="D3" s="10" t="s">
        <v>87</v>
      </c>
    </row>
    <row r="4" spans="1:4" s="2" customFormat="1" ht="12.75">
      <c r="A4" s="4"/>
      <c r="C4" s="4"/>
      <c r="D4" s="4"/>
    </row>
    <row r="5" spans="1:4" s="2" customFormat="1" ht="12.75">
      <c r="A5" s="4" t="s">
        <v>26</v>
      </c>
      <c r="C5" s="4">
        <v>76470765</v>
      </c>
      <c r="D5" s="4">
        <v>57670420</v>
      </c>
    </row>
    <row r="6" spans="1:4" s="2" customFormat="1" ht="12.75">
      <c r="A6" s="4" t="s">
        <v>27</v>
      </c>
      <c r="C6" s="4">
        <f>-55511197</f>
        <v>-55511197</v>
      </c>
      <c r="D6" s="4">
        <f>-42681252</f>
        <v>-42681252</v>
      </c>
    </row>
    <row r="7" spans="1:4" s="6" customFormat="1" ht="6.75" thickBot="1">
      <c r="A7" s="5"/>
      <c r="C7" s="5"/>
      <c r="D7" s="5"/>
    </row>
    <row r="8" spans="1:4" s="2" customFormat="1" ht="12.75">
      <c r="A8" s="11"/>
      <c r="C8" s="12"/>
      <c r="D8" s="12"/>
    </row>
    <row r="9" spans="1:4" s="2" customFormat="1" ht="12.75">
      <c r="A9" s="3" t="s">
        <v>28</v>
      </c>
      <c r="C9" s="3">
        <f>SUM(C5:C8)</f>
        <v>20959568</v>
      </c>
      <c r="D9" s="3">
        <f>SUM(D5:D8)</f>
        <v>14989168</v>
      </c>
    </row>
    <row r="10" spans="1:4" s="2" customFormat="1" ht="12.75">
      <c r="A10" s="4"/>
      <c r="C10" s="4"/>
      <c r="D10" s="4"/>
    </row>
    <row r="11" spans="1:4" s="2" customFormat="1" ht="12.75">
      <c r="A11" s="4" t="s">
        <v>66</v>
      </c>
      <c r="C11" s="4">
        <v>1329418</v>
      </c>
      <c r="D11" s="4">
        <v>1252453</v>
      </c>
    </row>
    <row r="12" spans="1:4" s="2" customFormat="1" ht="12.75">
      <c r="A12" s="4" t="s">
        <v>29</v>
      </c>
      <c r="C12" s="4">
        <f>-4287958</f>
        <v>-4287958</v>
      </c>
      <c r="D12" s="4">
        <f>-3391358</f>
        <v>-3391358</v>
      </c>
    </row>
    <row r="13" spans="1:4" s="2" customFormat="1" ht="12.75">
      <c r="A13" s="4" t="s">
        <v>30</v>
      </c>
      <c r="C13" s="4">
        <f>-3100430</f>
        <v>-3100430</v>
      </c>
      <c r="D13" s="4">
        <f>-2327421</f>
        <v>-2327421</v>
      </c>
    </row>
    <row r="14" spans="1:4" s="14" customFormat="1" ht="12.75">
      <c r="A14" s="13" t="s">
        <v>70</v>
      </c>
      <c r="C14" s="4">
        <f>-1306863</f>
        <v>-1306863</v>
      </c>
      <c r="D14" s="4">
        <f>-2210010</f>
        <v>-2210010</v>
      </c>
    </row>
    <row r="15" spans="1:4" s="6" customFormat="1" ht="6.75" thickBot="1">
      <c r="A15" s="5"/>
      <c r="C15" s="5"/>
      <c r="D15" s="5"/>
    </row>
    <row r="16" spans="1:4" s="2" customFormat="1" ht="12.75">
      <c r="A16" s="11"/>
      <c r="C16" s="12"/>
      <c r="D16" s="12"/>
    </row>
    <row r="17" spans="1:4" s="2" customFormat="1" ht="12.75">
      <c r="A17" s="3" t="s">
        <v>31</v>
      </c>
      <c r="C17" s="3">
        <f>SUM(C9:C16)</f>
        <v>13593735</v>
      </c>
      <c r="D17" s="3">
        <f>SUM(D9:D16)</f>
        <v>8312832</v>
      </c>
    </row>
    <row r="18" spans="1:4" s="2" customFormat="1" ht="12.75">
      <c r="A18" s="3"/>
      <c r="C18" s="3"/>
      <c r="D18" s="3"/>
    </row>
    <row r="19" spans="1:4" s="2" customFormat="1" ht="12.75">
      <c r="A19" s="4" t="s">
        <v>32</v>
      </c>
      <c r="C19" s="4">
        <v>15184</v>
      </c>
      <c r="D19" s="4">
        <v>530301</v>
      </c>
    </row>
    <row r="20" spans="1:4" s="2" customFormat="1" ht="12.75">
      <c r="A20" s="4" t="s">
        <v>33</v>
      </c>
      <c r="C20" s="4">
        <f>-2359464</f>
        <v>-2359464</v>
      </c>
      <c r="D20" s="4">
        <f>-2133435</f>
        <v>-2133435</v>
      </c>
    </row>
    <row r="21" spans="1:4" s="2" customFormat="1" ht="12.75">
      <c r="A21" s="4" t="s">
        <v>34</v>
      </c>
      <c r="C21" s="4">
        <v>579463</v>
      </c>
      <c r="D21" s="4">
        <v>4397</v>
      </c>
    </row>
    <row r="22" spans="1:4" s="2" customFormat="1" ht="12.75">
      <c r="A22" s="4"/>
      <c r="C22" s="4"/>
      <c r="D22" s="4"/>
    </row>
    <row r="23" spans="1:4" s="2" customFormat="1" ht="12.75">
      <c r="A23" s="3" t="s">
        <v>35</v>
      </c>
      <c r="C23" s="3">
        <f>SUM(C17:C22)</f>
        <v>11828918</v>
      </c>
      <c r="D23" s="3">
        <f>SUM(D17:D22)</f>
        <v>6714095</v>
      </c>
    </row>
    <row r="24" spans="1:4" s="2" customFormat="1" ht="12.75">
      <c r="A24" s="3"/>
      <c r="C24" s="3"/>
      <c r="D24" s="3"/>
    </row>
    <row r="25" spans="1:4" s="2" customFormat="1" ht="12.75">
      <c r="A25" s="4" t="s">
        <v>85</v>
      </c>
      <c r="C25" s="77">
        <f>-2675426</f>
        <v>-2675426</v>
      </c>
      <c r="D25" s="4">
        <f>-3355590</f>
        <v>-3355590</v>
      </c>
    </row>
    <row r="26" spans="1:4" s="6" customFormat="1" ht="6.75" thickBot="1">
      <c r="A26" s="5"/>
      <c r="C26" s="5"/>
      <c r="D26" s="5"/>
    </row>
    <row r="27" spans="1:4" s="2" customFormat="1" ht="12.75">
      <c r="A27" s="4"/>
      <c r="C27" s="4"/>
      <c r="D27" s="4"/>
    </row>
    <row r="28" spans="1:4" s="2" customFormat="1" ht="12.75">
      <c r="A28" s="3" t="s">
        <v>36</v>
      </c>
      <c r="C28" s="3">
        <f>SUM(C23:C27)</f>
        <v>9153492</v>
      </c>
      <c r="D28" s="3">
        <f>SUM(D23:D27)</f>
        <v>3358505</v>
      </c>
    </row>
    <row r="29" spans="1:4" s="6" customFormat="1" ht="6.75" thickBot="1">
      <c r="A29" s="7"/>
      <c r="C29" s="7"/>
      <c r="D29" s="7"/>
    </row>
    <row r="30" spans="1:4" s="2" customFormat="1" ht="12.75">
      <c r="A30" s="4"/>
      <c r="C30" s="4"/>
      <c r="D30" s="4"/>
    </row>
    <row r="31" spans="1:4" s="2" customFormat="1" ht="12.75">
      <c r="A31" s="3" t="s">
        <v>37</v>
      </c>
      <c r="C31" s="4"/>
      <c r="D31" s="4"/>
    </row>
    <row r="32" spans="1:4" s="2" customFormat="1" ht="12.75">
      <c r="A32" s="9" t="s">
        <v>38</v>
      </c>
      <c r="C32" s="4"/>
      <c r="D32" s="4"/>
    </row>
    <row r="33" spans="1:4" s="2" customFormat="1" ht="12.75">
      <c r="A33" s="4"/>
      <c r="C33" s="4"/>
      <c r="D33" s="4"/>
    </row>
    <row r="34" spans="1:4" s="2" customFormat="1" ht="16.5" customHeight="1">
      <c r="A34" s="4" t="s">
        <v>67</v>
      </c>
      <c r="C34" s="4">
        <v>754</v>
      </c>
      <c r="D34" s="4">
        <v>6790</v>
      </c>
    </row>
    <row r="35" spans="1:4" s="2" customFormat="1" ht="12.75">
      <c r="A35" s="4" t="s">
        <v>86</v>
      </c>
      <c r="C35" s="4">
        <f>-111190</f>
        <v>-111190</v>
      </c>
      <c r="D35" s="4">
        <f>3494949</f>
        <v>3494949</v>
      </c>
    </row>
    <row r="36" spans="1:4" s="6" customFormat="1" ht="6.75" thickBot="1">
      <c r="A36" s="5"/>
      <c r="C36" s="5"/>
      <c r="D36" s="5"/>
    </row>
    <row r="37" spans="1:4" s="2" customFormat="1" ht="12.75">
      <c r="A37" s="4"/>
      <c r="C37" s="4"/>
      <c r="D37" s="4"/>
    </row>
    <row r="38" spans="1:4" s="2" customFormat="1" ht="12.75">
      <c r="A38" s="3" t="s">
        <v>39</v>
      </c>
      <c r="C38" s="3">
        <f>C28+C34+C35</f>
        <v>9043056</v>
      </c>
      <c r="D38" s="3">
        <f>D28+D34+D35</f>
        <v>6860244</v>
      </c>
    </row>
    <row r="39" spans="1:4" s="6" customFormat="1" ht="6.75" thickBot="1">
      <c r="A39" s="8"/>
      <c r="C39" s="8"/>
      <c r="D39" s="8"/>
    </row>
    <row r="40" ht="13.5" thickTop="1"/>
    <row r="41" ht="12.75">
      <c r="A41" s="78" t="s">
        <v>71</v>
      </c>
    </row>
    <row r="42" spans="1:4" ht="12.75">
      <c r="A42" t="s">
        <v>40</v>
      </c>
      <c r="C42" s="3">
        <v>4464</v>
      </c>
      <c r="D42" s="3">
        <v>1638</v>
      </c>
    </row>
    <row r="43" spans="3:4" ht="12.75">
      <c r="C43" s="74"/>
      <c r="D43" s="7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zoomScalePageLayoutView="0" workbookViewId="0" topLeftCell="A1">
      <selection activeCell="B26" sqref="B26:F26"/>
    </sheetView>
  </sheetViews>
  <sheetFormatPr defaultColWidth="9.140625" defaultRowHeight="12.75"/>
  <cols>
    <col min="1" max="1" width="44.28125" style="15" bestFit="1" customWidth="1"/>
    <col min="2" max="2" width="16.7109375" style="15" bestFit="1" customWidth="1"/>
    <col min="3" max="4" width="13.7109375" style="15" customWidth="1"/>
    <col min="5" max="5" width="16.28125" style="15" bestFit="1" customWidth="1"/>
    <col min="6" max="6" width="13.140625" style="15" customWidth="1"/>
    <col min="7" max="7" width="11.00390625" style="15" bestFit="1" customWidth="1"/>
    <col min="8" max="16384" width="9.140625" style="15" customWidth="1"/>
  </cols>
  <sheetData>
    <row r="1" spans="1:7" ht="15" customHeight="1">
      <c r="A1" s="85" t="s">
        <v>90</v>
      </c>
      <c r="B1" s="84"/>
      <c r="C1" s="84"/>
      <c r="D1" s="84"/>
      <c r="E1" s="84"/>
      <c r="F1" s="84"/>
      <c r="G1" s="84"/>
    </row>
    <row r="2" ht="15" customHeight="1"/>
    <row r="4" spans="1:7" ht="48.75" thickBot="1">
      <c r="A4" s="16" t="s">
        <v>41</v>
      </c>
      <c r="B4" s="17" t="s">
        <v>42</v>
      </c>
      <c r="C4" s="18" t="s">
        <v>43</v>
      </c>
      <c r="D4" s="18" t="s">
        <v>91</v>
      </c>
      <c r="E4" s="18" t="s">
        <v>64</v>
      </c>
      <c r="F4" s="18" t="s">
        <v>44</v>
      </c>
      <c r="G4" s="17" t="s">
        <v>45</v>
      </c>
    </row>
    <row r="5" spans="1:7" s="23" customFormat="1" ht="6">
      <c r="A5" s="21"/>
      <c r="B5" s="22"/>
      <c r="C5" s="22"/>
      <c r="D5" s="22"/>
      <c r="E5" s="22"/>
      <c r="F5" s="22"/>
      <c r="G5" s="22"/>
    </row>
    <row r="6" spans="1:7" s="24" customFormat="1" ht="12">
      <c r="A6" s="19" t="s">
        <v>95</v>
      </c>
      <c r="B6" s="19">
        <v>159988</v>
      </c>
      <c r="C6" s="19">
        <v>1282401</v>
      </c>
      <c r="D6" s="19">
        <v>2520877</v>
      </c>
      <c r="E6" s="19">
        <f>-55096</f>
        <v>-55096</v>
      </c>
      <c r="F6" s="19">
        <v>13783292</v>
      </c>
      <c r="G6" s="19">
        <f>SUM(B6:F6)</f>
        <v>17691462</v>
      </c>
    </row>
    <row r="7" spans="1:7" s="23" customFormat="1" ht="6.75" thickBot="1">
      <c r="A7" s="25"/>
      <c r="B7" s="25"/>
      <c r="C7" s="25"/>
      <c r="D7" s="25"/>
      <c r="E7" s="25"/>
      <c r="F7" s="25"/>
      <c r="G7" s="25"/>
    </row>
    <row r="8" spans="1:7" s="23" customFormat="1" ht="6.75" hidden="1" thickBot="1">
      <c r="A8" s="25"/>
      <c r="B8" s="25"/>
      <c r="C8" s="25"/>
      <c r="D8" s="25"/>
      <c r="E8" s="25"/>
      <c r="F8" s="25"/>
      <c r="G8" s="25"/>
    </row>
    <row r="9" spans="1:7" ht="12">
      <c r="A9" s="20"/>
      <c r="B9" s="20"/>
      <c r="C9" s="20"/>
      <c r="D9" s="20"/>
      <c r="E9" s="20"/>
      <c r="F9" s="20"/>
      <c r="G9" s="20"/>
    </row>
    <row r="10" spans="1:7" ht="12">
      <c r="A10" s="20" t="s">
        <v>61</v>
      </c>
      <c r="B10" s="20">
        <f>SUM(B8:B9)</f>
        <v>0</v>
      </c>
      <c r="C10" s="20">
        <f>SUM(C8:C9)</f>
        <v>0</v>
      </c>
      <c r="D10" s="20">
        <v>0</v>
      </c>
      <c r="E10" s="20">
        <f>SUM(E8:E9)</f>
        <v>0</v>
      </c>
      <c r="F10" s="20">
        <v>3358505</v>
      </c>
      <c r="G10" s="20">
        <f>SUM(F10)</f>
        <v>3358505</v>
      </c>
    </row>
    <row r="11" spans="1:7" ht="12">
      <c r="A11" s="20" t="s">
        <v>60</v>
      </c>
      <c r="B11" s="20">
        <v>0</v>
      </c>
      <c r="C11" s="20">
        <v>0</v>
      </c>
      <c r="D11" s="20">
        <v>3494949</v>
      </c>
      <c r="E11" s="20">
        <v>6790</v>
      </c>
      <c r="F11" s="20"/>
      <c r="G11" s="20">
        <f>SUM(B11:F11)</f>
        <v>3501739</v>
      </c>
    </row>
    <row r="12" spans="1:7" s="23" customFormat="1" ht="6">
      <c r="A12" s="21"/>
      <c r="B12" s="22"/>
      <c r="C12" s="22"/>
      <c r="D12" s="22"/>
      <c r="E12" s="22"/>
      <c r="F12" s="22"/>
      <c r="G12" s="22"/>
    </row>
    <row r="13" spans="1:7" s="23" customFormat="1" ht="18.75" customHeight="1">
      <c r="A13" s="79" t="s">
        <v>92</v>
      </c>
      <c r="B13" s="79">
        <f aca="true" t="shared" si="0" ref="B13:G13">SUM(B10:B11)</f>
        <v>0</v>
      </c>
      <c r="C13" s="79">
        <f t="shared" si="0"/>
        <v>0</v>
      </c>
      <c r="D13" s="79">
        <f t="shared" si="0"/>
        <v>3494949</v>
      </c>
      <c r="E13" s="79">
        <f t="shared" si="0"/>
        <v>6790</v>
      </c>
      <c r="F13" s="79">
        <f t="shared" si="0"/>
        <v>3358505</v>
      </c>
      <c r="G13" s="79">
        <f t="shared" si="0"/>
        <v>6860244</v>
      </c>
    </row>
    <row r="14" spans="1:7" ht="12">
      <c r="A14" s="20"/>
      <c r="B14" s="20"/>
      <c r="C14" s="20"/>
      <c r="D14" s="20"/>
      <c r="E14" s="20"/>
      <c r="F14" s="20"/>
      <c r="G14" s="20"/>
    </row>
    <row r="15" spans="1:7" ht="12">
      <c r="A15" s="20" t="s">
        <v>93</v>
      </c>
      <c r="B15" s="20">
        <v>0</v>
      </c>
      <c r="C15" s="20">
        <v>0</v>
      </c>
      <c r="D15" s="20"/>
      <c r="E15" s="20">
        <v>0</v>
      </c>
      <c r="F15" s="20">
        <f>-576</f>
        <v>-576</v>
      </c>
      <c r="G15" s="20">
        <f>SUM(B15:F15)</f>
        <v>-576</v>
      </c>
    </row>
    <row r="16" spans="1:7" s="23" customFormat="1" ht="6.75" thickBot="1">
      <c r="A16" s="25"/>
      <c r="B16" s="25"/>
      <c r="C16" s="25"/>
      <c r="D16" s="25"/>
      <c r="E16" s="25"/>
      <c r="F16" s="25"/>
      <c r="G16" s="25"/>
    </row>
    <row r="17" spans="1:7" ht="12">
      <c r="A17" s="20"/>
      <c r="B17" s="20"/>
      <c r="C17" s="20"/>
      <c r="D17" s="20"/>
      <c r="E17" s="20"/>
      <c r="F17" s="20"/>
      <c r="G17" s="20"/>
    </row>
    <row r="18" spans="1:7" ht="12">
      <c r="A18" s="19" t="s">
        <v>94</v>
      </c>
      <c r="B18" s="19">
        <f>B6+B13+B15</f>
        <v>159988</v>
      </c>
      <c r="C18" s="19">
        <f>C6+C13+C15</f>
        <v>1282401</v>
      </c>
      <c r="D18" s="19">
        <f>D6+D13+D15</f>
        <v>6015826</v>
      </c>
      <c r="E18" s="19">
        <f>E6+E13+E15</f>
        <v>-48306</v>
      </c>
      <c r="F18" s="19">
        <f>F6+F13+F15</f>
        <v>17141221</v>
      </c>
      <c r="G18" s="19">
        <f>G6+G13+G15</f>
        <v>24551130</v>
      </c>
    </row>
    <row r="19" spans="1:7" s="23" customFormat="1" ht="6.75" thickBot="1">
      <c r="A19" s="25"/>
      <c r="B19" s="25"/>
      <c r="C19" s="25"/>
      <c r="D19" s="25"/>
      <c r="E19" s="25"/>
      <c r="F19" s="25"/>
      <c r="G19" s="25"/>
    </row>
    <row r="20" spans="1:7" s="23" customFormat="1" ht="12" customHeight="1">
      <c r="A20" s="80"/>
      <c r="B20" s="80"/>
      <c r="C20" s="80"/>
      <c r="D20" s="80"/>
      <c r="E20" s="80"/>
      <c r="F20" s="80"/>
      <c r="G20" s="80"/>
    </row>
    <row r="21" spans="1:7" ht="14.25" customHeight="1">
      <c r="A21" s="20" t="s">
        <v>96</v>
      </c>
      <c r="B21" s="20">
        <v>0</v>
      </c>
      <c r="C21" s="20">
        <v>0</v>
      </c>
      <c r="D21" s="20"/>
      <c r="E21" s="20">
        <v>0</v>
      </c>
      <c r="F21" s="26">
        <f>фхд!C28</f>
        <v>9153492</v>
      </c>
      <c r="G21" s="20">
        <f>SUM(B21:F21)</f>
        <v>9153492</v>
      </c>
    </row>
    <row r="22" spans="1:7" ht="21" customHeight="1">
      <c r="A22" s="20" t="s">
        <v>74</v>
      </c>
      <c r="B22" s="20">
        <v>0</v>
      </c>
      <c r="C22" s="20">
        <v>0</v>
      </c>
      <c r="D22" s="20">
        <f>-111190</f>
        <v>-111190</v>
      </c>
      <c r="E22" s="20">
        <v>754</v>
      </c>
      <c r="F22" s="20"/>
      <c r="G22" s="20">
        <f>SUM(B22:F22)</f>
        <v>-110436</v>
      </c>
    </row>
    <row r="23" spans="1:7" s="23" customFormat="1" ht="13.5" customHeight="1">
      <c r="A23" s="89" t="s">
        <v>97</v>
      </c>
      <c r="B23" s="89"/>
      <c r="C23" s="89"/>
      <c r="D23" s="89"/>
      <c r="E23" s="89"/>
      <c r="F23" s="89">
        <f>-1046727</f>
        <v>-1046727</v>
      </c>
      <c r="G23" s="89">
        <f>SUM(B23:F23)</f>
        <v>-1046727</v>
      </c>
    </row>
    <row r="24" spans="1:7" ht="12">
      <c r="A24" s="20"/>
      <c r="B24" s="20"/>
      <c r="C24" s="20"/>
      <c r="D24" s="20"/>
      <c r="E24" s="20"/>
      <c r="F24" s="20"/>
      <c r="G24" s="20"/>
    </row>
    <row r="25" spans="1:7" ht="12">
      <c r="A25" s="20"/>
      <c r="B25" s="20"/>
      <c r="C25" s="20"/>
      <c r="D25" s="20"/>
      <c r="E25" s="20"/>
      <c r="F25" s="20"/>
      <c r="G25" s="20"/>
    </row>
    <row r="26" spans="1:7" ht="12">
      <c r="A26" s="19" t="s">
        <v>98</v>
      </c>
      <c r="B26" s="19">
        <f>B18+B21+B22+B23</f>
        <v>159988</v>
      </c>
      <c r="C26" s="19">
        <f>C18+C21+C22+C23</f>
        <v>1282401</v>
      </c>
      <c r="D26" s="19">
        <f>D18+D21+D22+D23</f>
        <v>5904636</v>
      </c>
      <c r="E26" s="19">
        <f>E18+E21+E22+E23</f>
        <v>-47552</v>
      </c>
      <c r="F26" s="19">
        <f>F18+F21+F22+F23</f>
        <v>25247986</v>
      </c>
      <c r="G26" s="19">
        <f>G18+G21+G22+G23</f>
        <v>32547459</v>
      </c>
    </row>
    <row r="27" spans="1:7" s="23" customFormat="1" ht="6.75" thickBot="1">
      <c r="A27" s="25"/>
      <c r="B27" s="25"/>
      <c r="C27" s="25"/>
      <c r="D27" s="25"/>
      <c r="E27" s="25"/>
      <c r="F27" s="25"/>
      <c r="G27" s="25"/>
    </row>
    <row r="28" spans="1:7" ht="12">
      <c r="A28" s="20"/>
      <c r="B28" s="20"/>
      <c r="C28" s="20"/>
      <c r="D28" s="20"/>
      <c r="E28" s="20"/>
      <c r="F28" s="20"/>
      <c r="G28" s="20"/>
    </row>
    <row r="29" spans="6:7" ht="12">
      <c r="F29" s="76">
        <f>F26-Баланс!B40</f>
        <v>0</v>
      </c>
      <c r="G29" s="76">
        <f>G26-Баланс!B43</f>
        <v>0.4888099990785122</v>
      </c>
    </row>
    <row r="30" ht="12">
      <c r="F30" s="27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tabSelected="1" zoomScale="90" zoomScaleNormal="90" zoomScalePageLayoutView="0" workbookViewId="0" topLeftCell="A1">
      <selection activeCell="B55" sqref="B55"/>
    </sheetView>
  </sheetViews>
  <sheetFormatPr defaultColWidth="9.140625" defaultRowHeight="12.75"/>
  <cols>
    <col min="1" max="1" width="57.8515625" style="28" customWidth="1"/>
    <col min="2" max="2" width="16.8515625" style="28" customWidth="1"/>
    <col min="3" max="3" width="15.7109375" style="28" customWidth="1"/>
    <col min="4" max="16384" width="9.140625" style="28" customWidth="1"/>
  </cols>
  <sheetData>
    <row r="1" spans="1:3" ht="34.5" customHeight="1">
      <c r="A1" s="85" t="s">
        <v>99</v>
      </c>
      <c r="B1" s="84"/>
      <c r="C1" s="84"/>
    </row>
    <row r="4" spans="1:3" s="31" customFormat="1" ht="12.75" thickBot="1">
      <c r="A4" s="29" t="s">
        <v>46</v>
      </c>
      <c r="B4" s="30" t="s">
        <v>88</v>
      </c>
      <c r="C4" s="30" t="s">
        <v>100</v>
      </c>
    </row>
    <row r="5" spans="1:3" s="34" customFormat="1" ht="12">
      <c r="A5" s="32"/>
      <c r="B5" s="33"/>
      <c r="C5" s="33"/>
    </row>
    <row r="6" spans="1:3" s="34" customFormat="1" ht="12">
      <c r="A6" s="35" t="s">
        <v>101</v>
      </c>
      <c r="B6" s="36"/>
      <c r="C6" s="36"/>
    </row>
    <row r="7" spans="1:3" ht="12">
      <c r="A7" s="36"/>
      <c r="B7" s="36"/>
      <c r="C7" s="36"/>
    </row>
    <row r="8" spans="1:3" ht="12">
      <c r="A8" s="36"/>
      <c r="B8" s="37"/>
      <c r="C8" s="37"/>
    </row>
    <row r="9" spans="1:3" ht="12">
      <c r="A9" s="36" t="s">
        <v>47</v>
      </c>
      <c r="B9" s="37">
        <v>63943781</v>
      </c>
      <c r="C9" s="37">
        <v>55552071</v>
      </c>
    </row>
    <row r="10" spans="1:3" ht="12">
      <c r="A10" s="36" t="s">
        <v>102</v>
      </c>
      <c r="B10" s="37">
        <v>515850</v>
      </c>
      <c r="C10" s="37">
        <v>191042</v>
      </c>
    </row>
    <row r="11" spans="1:3" ht="12">
      <c r="A11" s="36" t="s">
        <v>68</v>
      </c>
      <c r="B11" s="37">
        <v>3012477</v>
      </c>
      <c r="C11" s="75">
        <v>2734219</v>
      </c>
    </row>
    <row r="12" spans="1:3" ht="12">
      <c r="A12" s="36" t="s">
        <v>103</v>
      </c>
      <c r="B12" s="37">
        <v>15166</v>
      </c>
      <c r="C12" s="75"/>
    </row>
    <row r="13" spans="1:3" ht="12">
      <c r="A13" s="36" t="s">
        <v>48</v>
      </c>
      <c r="B13" s="28">
        <f>-45445451</f>
        <v>-45445451</v>
      </c>
      <c r="C13" s="28">
        <f>-28703312</f>
        <v>-28703312</v>
      </c>
    </row>
    <row r="14" spans="1:3" ht="12">
      <c r="A14" s="36" t="s">
        <v>49</v>
      </c>
      <c r="B14" s="28">
        <f>-6400716</f>
        <v>-6400716</v>
      </c>
      <c r="C14" s="28">
        <f>-5107878</f>
        <v>-5107878</v>
      </c>
    </row>
    <row r="15" spans="1:3" ht="12">
      <c r="A15" s="36" t="s">
        <v>50</v>
      </c>
      <c r="B15" s="28">
        <f>-6724796</f>
        <v>-6724796</v>
      </c>
      <c r="C15" s="28">
        <f>-4388250</f>
        <v>-4388250</v>
      </c>
    </row>
    <row r="16" spans="1:3" ht="12">
      <c r="A16" s="36" t="s">
        <v>104</v>
      </c>
      <c r="B16" s="28">
        <f>-3137914</f>
        <v>-3137914</v>
      </c>
      <c r="C16" s="28">
        <f>-1851454</f>
        <v>-1851454</v>
      </c>
    </row>
    <row r="17" spans="1:3" ht="12">
      <c r="A17" s="36" t="s">
        <v>105</v>
      </c>
      <c r="B17" s="28">
        <f>-1209786</f>
        <v>-1209786</v>
      </c>
      <c r="C17" s="28">
        <f>-1390970</f>
        <v>-1390970</v>
      </c>
    </row>
    <row r="18" spans="1:3" ht="12">
      <c r="A18" s="36" t="s">
        <v>106</v>
      </c>
      <c r="B18" s="28">
        <f>-1888336</f>
        <v>-1888336</v>
      </c>
      <c r="C18" s="28">
        <f>-1430681</f>
        <v>-1430681</v>
      </c>
    </row>
    <row r="19" spans="1:3" ht="12.75" thickBot="1">
      <c r="A19" s="38"/>
      <c r="B19" s="38"/>
      <c r="C19" s="38"/>
    </row>
    <row r="20" spans="1:3" ht="12">
      <c r="A20" s="35"/>
      <c r="B20" s="36"/>
      <c r="C20" s="36"/>
    </row>
    <row r="21" spans="1:3" ht="24">
      <c r="A21" s="35" t="s">
        <v>107</v>
      </c>
      <c r="B21" s="81">
        <f>SUM(B9:B18)</f>
        <v>2680275</v>
      </c>
      <c r="C21" s="81">
        <f>SUM(C9:C18)</f>
        <v>15604787</v>
      </c>
    </row>
    <row r="22" spans="1:3" ht="12.75" thickBot="1">
      <c r="A22" s="39"/>
      <c r="B22" s="39"/>
      <c r="C22" s="39"/>
    </row>
    <row r="23" spans="1:3" ht="12">
      <c r="A23" s="35"/>
      <c r="B23" s="36"/>
      <c r="C23" s="36"/>
    </row>
    <row r="24" spans="1:3" ht="12">
      <c r="A24" s="35" t="s">
        <v>108</v>
      </c>
      <c r="B24" s="36"/>
      <c r="C24" s="36"/>
    </row>
    <row r="25" spans="1:3" ht="12">
      <c r="A25" s="36"/>
      <c r="B25" s="36"/>
      <c r="C25" s="36"/>
    </row>
    <row r="26" spans="1:3" ht="12">
      <c r="A26" s="36" t="s">
        <v>109</v>
      </c>
      <c r="B26" s="28">
        <f>-13774638</f>
        <v>-13774638</v>
      </c>
      <c r="C26" s="28">
        <f>-11478929</f>
        <v>-11478929</v>
      </c>
    </row>
    <row r="27" spans="1:3" ht="24">
      <c r="A27" s="36" t="s">
        <v>110</v>
      </c>
      <c r="B27" s="28">
        <f>-169335</f>
        <v>-169335</v>
      </c>
      <c r="C27" s="28">
        <v>0</v>
      </c>
    </row>
    <row r="28" spans="1:3" ht="24">
      <c r="A28" s="36" t="s">
        <v>111</v>
      </c>
      <c r="B28" s="28">
        <v>3282</v>
      </c>
      <c r="C28" s="28">
        <f>-4824</f>
        <v>-4824</v>
      </c>
    </row>
    <row r="29" spans="1:3" ht="12.75" thickBot="1">
      <c r="A29" s="38"/>
      <c r="B29" s="38"/>
      <c r="C29" s="38"/>
    </row>
    <row r="30" spans="1:3" ht="12">
      <c r="A30" s="35"/>
      <c r="B30" s="36"/>
      <c r="C30" s="36"/>
    </row>
    <row r="31" spans="1:3" ht="24">
      <c r="A31" s="35" t="s">
        <v>112</v>
      </c>
      <c r="B31" s="19">
        <f>SUM(B26:B28)</f>
        <v>-13940691</v>
      </c>
      <c r="C31" s="19">
        <f>SUM(C26:C28)</f>
        <v>-11483753</v>
      </c>
    </row>
    <row r="32" spans="1:3" ht="12.75" thickBot="1">
      <c r="A32" s="39"/>
      <c r="B32" s="39"/>
      <c r="C32" s="38"/>
    </row>
    <row r="33" spans="1:3" ht="12">
      <c r="A33" s="35"/>
      <c r="B33" s="36"/>
      <c r="C33" s="36"/>
    </row>
    <row r="34" spans="1:3" ht="12">
      <c r="A34" s="35" t="s">
        <v>113</v>
      </c>
      <c r="B34" s="36"/>
      <c r="C34" s="36"/>
    </row>
    <row r="35" spans="1:3" ht="12">
      <c r="A35" s="36"/>
      <c r="B35" s="36"/>
      <c r="C35" s="36"/>
    </row>
    <row r="36" spans="1:3" ht="12">
      <c r="A36" s="36" t="s">
        <v>51</v>
      </c>
      <c r="B36" s="71">
        <v>75088466</v>
      </c>
      <c r="C36" s="71">
        <v>32931915</v>
      </c>
    </row>
    <row r="37" spans="1:3" ht="12">
      <c r="A37" s="36" t="s">
        <v>52</v>
      </c>
      <c r="B37" s="28">
        <f>-63720693</f>
        <v>-63720693</v>
      </c>
      <c r="C37" s="28">
        <f>-39035504</f>
        <v>-39035504</v>
      </c>
    </row>
    <row r="38" spans="1:3" ht="12">
      <c r="A38" s="36" t="s">
        <v>75</v>
      </c>
      <c r="B38" s="28">
        <f>-1034440</f>
        <v>-1034440</v>
      </c>
      <c r="C38" s="28">
        <f>-673</f>
        <v>-673</v>
      </c>
    </row>
    <row r="39" spans="1:3" ht="12.75" thickBot="1">
      <c r="A39" s="39"/>
      <c r="B39" s="38"/>
      <c r="C39" s="38"/>
    </row>
    <row r="40" spans="1:3" ht="12">
      <c r="A40" s="35"/>
      <c r="B40" s="35"/>
      <c r="C40" s="35"/>
    </row>
    <row r="41" spans="1:3" ht="12">
      <c r="A41" s="35" t="s">
        <v>53</v>
      </c>
      <c r="B41" s="81"/>
      <c r="C41" s="87">
        <f>SUM(C36:C38)</f>
        <v>-6104262</v>
      </c>
    </row>
    <row r="42" spans="1:3" ht="12">
      <c r="A42" s="35" t="s">
        <v>54</v>
      </c>
      <c r="B42" s="81">
        <f>SUM(B36:B41)</f>
        <v>10333333</v>
      </c>
      <c r="C42" s="87"/>
    </row>
    <row r="43" spans="1:3" ht="12.75" thickBot="1">
      <c r="A43" s="39"/>
      <c r="B43" s="39"/>
      <c r="C43" s="39"/>
    </row>
    <row r="44" spans="1:3" ht="12">
      <c r="A44" s="36"/>
      <c r="B44" s="36"/>
      <c r="C44" s="36"/>
    </row>
    <row r="45" spans="1:3" ht="12">
      <c r="A45" s="35" t="s">
        <v>114</v>
      </c>
      <c r="B45" s="86">
        <f>B21+B31+B42</f>
        <v>-927083</v>
      </c>
      <c r="C45" s="86">
        <f>C21+C31+C41</f>
        <v>-1983228</v>
      </c>
    </row>
    <row r="46" spans="1:3" ht="12">
      <c r="A46" s="36"/>
      <c r="B46" s="86"/>
      <c r="C46" s="86"/>
    </row>
    <row r="47" spans="1:3" ht="24">
      <c r="A47" s="36" t="s">
        <v>115</v>
      </c>
      <c r="B47" s="82">
        <f>-186693</f>
        <v>-186693</v>
      </c>
      <c r="C47" s="82">
        <f>224575</f>
        <v>224575</v>
      </c>
    </row>
    <row r="48" spans="1:3" ht="12">
      <c r="A48" s="36" t="s">
        <v>55</v>
      </c>
      <c r="B48" s="37">
        <v>4204455</v>
      </c>
      <c r="C48" s="37">
        <v>5963108</v>
      </c>
    </row>
    <row r="49" spans="1:3" ht="12.75" thickBot="1">
      <c r="A49" s="38"/>
      <c r="B49" s="38"/>
      <c r="C49" s="38"/>
    </row>
    <row r="50" spans="1:3" ht="12">
      <c r="A50" s="35"/>
      <c r="B50" s="36"/>
      <c r="C50" s="36"/>
    </row>
    <row r="51" spans="1:3" ht="12">
      <c r="A51" s="35" t="s">
        <v>76</v>
      </c>
      <c r="B51" s="40">
        <f>B45+B48+B47</f>
        <v>3090679</v>
      </c>
      <c r="C51" s="41">
        <f>SUM(C45:C48)</f>
        <v>4204455</v>
      </c>
    </row>
    <row r="52" spans="1:3" ht="12.75" thickBot="1">
      <c r="A52" s="42"/>
      <c r="B52" s="43"/>
      <c r="C52" s="43"/>
    </row>
    <row r="53" spans="1:3" ht="13.5" thickTop="1">
      <c r="A53" s="44"/>
      <c r="B53" s="45">
        <f>B51-Баланс!B24</f>
        <v>0</v>
      </c>
      <c r="C53"/>
    </row>
    <row r="77" s="46" customFormat="1" ht="12"/>
  </sheetData>
  <sheetProtection/>
  <mergeCells count="4">
    <mergeCell ref="B45:B46"/>
    <mergeCell ref="C41:C42"/>
    <mergeCell ref="C45:C46"/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buh3</dc:creator>
  <cp:keywords/>
  <dc:description/>
  <cp:lastModifiedBy>buh3</cp:lastModifiedBy>
  <cp:lastPrinted>2018-07-27T10:16:23Z</cp:lastPrinted>
  <dcterms:created xsi:type="dcterms:W3CDTF">2014-07-30T08:42:50Z</dcterms:created>
  <dcterms:modified xsi:type="dcterms:W3CDTF">2020-05-29T12:07:20Z</dcterms:modified>
  <cp:category/>
  <cp:version/>
  <cp:contentType/>
  <cp:contentStatus/>
</cp:coreProperties>
</file>