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35" windowHeight="1185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3" hidden="1">'ф.4'!$D:$D,'ф.4'!$G:$H,'ф.4'!$M:$N</definedName>
    <definedName name="Z_650DB8ED_FD03_48A1_AF5F_C6A17B786369_.wvu.PrintArea" localSheetId="1" hidden="1">'ф.2'!$A$1:$C$81</definedName>
    <definedName name="Z_650DB8ED_FD03_48A1_AF5F_C6A17B786369_.wvu.Rows" localSheetId="0" hidden="1">'ф.1'!$19:$19,'ф.1'!$47:$47,'ф.1'!$55:$56,'ф.1'!$61:$62,'ф.1'!$67:$68</definedName>
    <definedName name="Z_650DB8ED_FD03_48A1_AF5F_C6A17B786369_.wvu.Rows" localSheetId="1" hidden="1">'ф.2'!$14:$14,'ф.2'!$17:$18,'ф.2'!$50:$52,'ф.2'!$59:$63</definedName>
    <definedName name="Z_650DB8ED_FD03_48A1_AF5F_C6A17B786369_.wvu.Rows" localSheetId="3" hidden="1">'ф.4'!$31:$31,'ф.4'!$44:$46,'ф.4'!$52:$52</definedName>
    <definedName name="Z_6F1EF12F_9811_40B2_B251_CE607831BA04_.wvu.Rows" localSheetId="1" hidden="1">'ф.2'!$69:$69</definedName>
    <definedName name="Z_E062E976_5C69_4170_B000_953CF0486F6B_.wvu.Cols" localSheetId="2" hidden="1">'ф.3'!#REF!</definedName>
    <definedName name="Z_E062E976_5C69_4170_B000_953CF0486F6B_.wvu.Cols" localSheetId="3" hidden="1">'ф.4'!$D:$D</definedName>
    <definedName name="Z_E062E976_5C69_4170_B000_953CF0486F6B_.wvu.PrintArea" localSheetId="1" hidden="1">'ф.2'!$A$1:$C$81</definedName>
    <definedName name="Z_E062E976_5C69_4170_B000_953CF0486F6B_.wvu.Rows" localSheetId="0" hidden="1">'ф.1'!$61:$62</definedName>
    <definedName name="Z_E062E976_5C69_4170_B000_953CF0486F6B_.wvu.Rows" localSheetId="1" hidden="1">'ф.2'!$18:$18,'ф.2'!$50:$52,'ф.2'!$68:$70</definedName>
    <definedName name="Z_E062E976_5C69_4170_B000_953CF0486F6B_.wvu.Rows" localSheetId="2" hidden="1">'ф.3'!#REF!,'ф.3'!#REF!,'ф.3'!#REF!,'ф.3'!#REF!,'ф.3'!#REF!</definedName>
    <definedName name="Z_E062E976_5C69_4170_B000_953CF0486F6B_.wvu.Rows" localSheetId="3" hidden="1">'ф.4'!$31:$31,'ф.4'!$54:$54,'ф.4'!$56:$56</definedName>
    <definedName name="_xlnm.Print_Area" localSheetId="1">'ф.2'!$A$1:$C$81</definedName>
  </definedNames>
  <calcPr fullCalcOnLoad="1"/>
</workbook>
</file>

<file path=xl/sharedStrings.xml><?xml version="1.0" encoding="utf-8"?>
<sst xmlns="http://schemas.openxmlformats.org/spreadsheetml/2006/main" count="274" uniqueCount="207">
  <si>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</si>
  <si>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</si>
  <si>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</si>
  <si>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</si>
  <si>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</si>
  <si>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</si>
  <si>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</si>
  <si>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</si>
  <si>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</si>
  <si>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</si>
  <si>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</si>
  <si>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</si>
  <si>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</si>
  <si>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</si>
  <si>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</si>
  <si>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</si>
  <si>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</si>
  <si>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</si>
  <si>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</si>
  <si>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</si>
  <si>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</si>
  <si>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</si>
  <si>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</si>
  <si>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</si>
  <si>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</si>
  <si>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</si>
  <si>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</si>
  <si>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</si>
  <si>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</si>
  <si>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</si>
  <si>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</si>
  <si>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</si>
  <si>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</si>
  <si>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</si>
  <si>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</si>
  <si>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</si>
  <si>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</si>
  <si>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</si>
  <si>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</si>
  <si>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</si>
  <si>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</si>
  <si>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</si>
  <si>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</si>
  <si>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</si>
  <si>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</si>
  <si>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</si>
  <si>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</si>
  <si>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</si>
  <si>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</si>
  <si>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</si>
  <si>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</si>
  <si>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</si>
  <si>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</si>
  <si>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</si>
  <si>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</si>
  <si>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</si>
  <si>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</si>
  <si>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</si>
  <si>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</si>
  <si>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</si>
  <si>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</si>
  <si>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</si>
  <si>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</si>
  <si>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</si>
  <si>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</si>
  <si>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</si>
  <si>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</si>
  <si>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</si>
  <si>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</si>
  <si>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</si>
  <si>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</si>
  <si>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</si>
  <si>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</si>
  <si>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</si>
  <si>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</si>
  <si>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</si>
  <si>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</si>
  <si>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</si>
  <si>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</si>
  <si>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</si>
  <si>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</si>
  <si>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</si>
  <si>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</si>
  <si>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</si>
  <si>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</si>
  <si>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</si>
  <si>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</si>
  <si>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</si>
  <si>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</si>
  <si>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</si>
  <si>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</si>
  <si>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</si>
  <si>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</si>
  <si>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</si>
  <si>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</si>
  <si>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</si>
  <si>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</si>
  <si>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</si>
  <si>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</si>
  <si>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</si>
  <si>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</si>
  <si>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</si>
  <si>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</si>
  <si>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</si>
  <si>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</si>
  <si>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</si>
  <si>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</si>
  <si>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</si>
  <si>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</si>
  <si>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</si>
  <si>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</si>
  <si>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</si>
  <si>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</si>
  <si>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</si>
  <si>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</si>
  <si>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</si>
  <si>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</si>
  <si>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</si>
  <si>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</si>
  <si>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</si>
  <si>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</si>
  <si>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</si>
  <si>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</si>
  <si>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</si>
  <si>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</si>
  <si>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</si>
  <si>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</si>
  <si>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</si>
  <si>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</si>
  <si>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</si>
  <si>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</si>
  <si>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</si>
  <si>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</si>
  <si>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</si>
  <si>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</si>
  <si>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>Изменения доли перестраховщиков в резервах по договорам страхования</t>
  </si>
  <si>
    <t>Кредиторская задолженность по сделкам "репо"</t>
  </si>
  <si>
    <t>в т.ч. дивиденды по привилегированным акциям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</si>
  <si>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</si>
  <si>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</si>
  <si>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</si>
  <si>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 xml:space="preserve"> - акционерам Банка</t>
  </si>
  <si>
    <t>Общий совокупный доход за период</t>
  </si>
  <si>
    <t>Поступления от продажи долгосрочных активов, предназначенных для продажи</t>
  </si>
  <si>
    <t xml:space="preserve">Главный бухгалтер                                                        </t>
  </si>
  <si>
    <t>Багаутдинова Н.М.</t>
  </si>
  <si>
    <t>млн.тенге</t>
  </si>
  <si>
    <t>млн тенге</t>
  </si>
  <si>
    <t>Чистое изменение справедливой стоимости  финансовых активов, имеющихся в наличии для продажи, перенесенное в состав прибыли или убытка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</si>
  <si>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</si>
  <si>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</si>
  <si>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</si>
  <si>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</si>
  <si>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</si>
  <si>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</si>
  <si>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</si>
  <si>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Денежные средства и их эквиваленты на начало года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</si>
  <si>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</si>
  <si>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от операций с финансовыми активами, имеющимися в наличии для продажи</t>
  </si>
  <si>
    <t>Приобретение инвестиций в ассоциированные компании</t>
  </si>
  <si>
    <t>Прибыль за период</t>
  </si>
  <si>
    <t>Прочий совокупный доход (убыток) доход за период</t>
  </si>
  <si>
    <t>Всего совокупного дохода за период</t>
  </si>
  <si>
    <t xml:space="preserve"> - неконтролирующим акционерам</t>
  </si>
  <si>
    <t>Денежные средства и их эквиваленты на конец периода</t>
  </si>
  <si>
    <t>Инвестиции в ассоциированные компании</t>
  </si>
  <si>
    <t>Доход от инвестиции в ассоциированное предприятие</t>
  </si>
  <si>
    <t>Чистая прибыль (убыток) от операций с иностранной валютой и драгоценными металлами</t>
  </si>
  <si>
    <t>(без учета заключительных оборотов)</t>
  </si>
  <si>
    <t>Доход от выбытия инвестиций в дочерние и ассоциированные компании</t>
  </si>
  <si>
    <t>Эффект от перехода на МСФО 9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</si>
  <si>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</si>
  <si>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</si>
  <si>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Резерв (провизии) на покрытие ожидаемых кредитных убытков по финансовым активам, имеющимся в наличии для продажи</t>
  </si>
  <si>
    <t>Чистое изменения резерва на покрытие ожидаемых кредитных убытков по финансовым активам, имеющимся в наличии для продажи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</si>
  <si>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</si>
  <si>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</si>
  <si>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Перевод из обязательного резерва</t>
  </si>
  <si>
    <t>Расформирование динамического резерва</t>
  </si>
  <si>
    <t>Поступления от выбытия инвестиций ассоциированных компаний</t>
  </si>
  <si>
    <t>**- включает эффекты от пересчета курсовых разниц в отчете о прибыли или убытке  на сумму 510 млн.тг. и пересчета курсовых разниц в прочем совокупном доходе на сумму 120 млн.тг.</t>
  </si>
  <si>
    <t xml:space="preserve">  по состоянию на 30.06.2018 года</t>
  </si>
  <si>
    <t>30.06.2018г.*</t>
  </si>
  <si>
    <t>Чистое изменение резерва по переоценке финансовых активов, имеющихся в наличии для продажи</t>
  </si>
  <si>
    <t>Чистое изменение резерва на покрытие убытков по финансовым активам, имеющимся в наличии для продажи</t>
  </si>
  <si>
    <t>Остаток по состоянию на 30 июня 2018 года*</t>
  </si>
  <si>
    <t>Остаток по состоянию на 30 июня 2017 года*</t>
  </si>
  <si>
    <t>за период, закончившийся 30.06.2018 года</t>
  </si>
  <si>
    <t>6 месяцев 2018г.*</t>
  </si>
  <si>
    <t>6 месяцев 2017г.*</t>
  </si>
  <si>
    <t>Чистые поступления по операциям с иностранной валютой и драгоценными металлами</t>
  </si>
  <si>
    <t>Остаток по состоянию на 1 января 2018 года с учетом МСФО 9*</t>
  </si>
  <si>
    <t>Дивиденды по акциям</t>
  </si>
  <si>
    <t>Остаток по состоянию на 1 января 2017 года*</t>
  </si>
  <si>
    <t>Остаток по состоянию на 1 января 2018 года*</t>
  </si>
  <si>
    <t>Всего совокупного дохода за периол</t>
  </si>
  <si>
    <t xml:space="preserve">Выкуп собственных простых акций </t>
  </si>
  <si>
    <t>Продажа собственных привилегированных акций</t>
  </si>
  <si>
    <t>Погашение долговых ценных бумаг выпущенных</t>
  </si>
  <si>
    <t>31.12.2017г.*</t>
  </si>
  <si>
    <t>Продажа (выкуп) собственных акций</t>
  </si>
  <si>
    <t>Балансовая стоимость одной простой акции по состоянию на 30.06.2018г. составляет 2,967 тенге</t>
  </si>
  <si>
    <t>Базовая прибыль на простую акцию (в тенге)</t>
  </si>
  <si>
    <t>Разводненная прибыль на простую акцию (в тенге)</t>
  </si>
  <si>
    <t xml:space="preserve">И.о. Председателя Правления                                              </t>
  </si>
  <si>
    <t>Бойко О.А.</t>
  </si>
  <si>
    <t>Балансовая стоимость одной привилегированной акции по состоянию на 30.06.2018г. составляет 1,050 тенге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</si>
</sst>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_ ;[Red]\-#,##0\ "/>
    <numFmt numFmtId="213" formatCode="#,##0\ _₽"/>
    <numFmt numFmtId="214" formatCode="_-* #,##0\ _₽_-;\-* #,##0\ _₽_-;_-* &quot;-&quot;??\ _₽_-;_-@_-"/>
    <numFmt numFmtId="215" formatCode="[$-2]###,000_);\([$-2]#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Arial Cyr"/>
      <family val="0"/>
    </font>
    <font>
      <b/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5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5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medium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80" fillId="28" borderId="0" applyNumberFormat="0" applyBorder="0" applyAlignment="0" applyProtection="0"/>
    <xf numFmtId="0" fontId="33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33" fillId="15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33" fillId="16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33" fillId="25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33" fillId="26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33" fillId="27" borderId="0" applyNumberFormat="0" applyBorder="0" applyAlignment="0" applyProtection="0"/>
    <xf numFmtId="0" fontId="8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185" fontId="58" fillId="0" borderId="0" applyFill="0" applyBorder="0" applyAlignment="0">
      <protection/>
    </xf>
    <xf numFmtId="0" fontId="36" fillId="38" borderId="1" applyNumberFormat="0" applyAlignment="0" applyProtection="0"/>
    <xf numFmtId="0" fontId="36" fillId="38" borderId="1" applyNumberFormat="0" applyAlignment="0" applyProtection="0"/>
    <xf numFmtId="0" fontId="41" fillId="39" borderId="2" applyNumberFormat="0" applyAlignment="0" applyProtection="0"/>
    <xf numFmtId="172" fontId="3" fillId="0" borderId="0" applyFont="0" applyFill="0" applyBorder="0" applyAlignment="0" applyProtection="0"/>
    <xf numFmtId="0" fontId="59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0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54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4" fillId="7" borderId="1" applyNumberFormat="0" applyAlignment="0" applyProtection="0"/>
    <xf numFmtId="10" fontId="54" fillId="40" borderId="10" applyNumberFormat="0" applyBorder="0" applyAlignment="0" applyProtection="0"/>
    <xf numFmtId="10" fontId="54" fillId="40" borderId="1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38" fontId="53" fillId="0" borderId="0">
      <alignment/>
      <protection/>
    </xf>
    <xf numFmtId="38" fontId="7" fillId="0" borderId="0">
      <alignment/>
      <protection/>
    </xf>
    <xf numFmtId="38" fontId="52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11" applyNumberFormat="0" applyFill="0" applyAlignment="0" applyProtection="0"/>
    <xf numFmtId="0" fontId="43" fillId="41" borderId="0" applyNumberFormat="0" applyBorder="0" applyAlignment="0" applyProtection="0"/>
    <xf numFmtId="186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1" fillId="0" borderId="0" applyNumberFormat="0" applyFill="0" applyBorder="0" applyAlignment="0" applyProtection="0"/>
    <xf numFmtId="40" fontId="62" fillId="0" borderId="0" applyBorder="0">
      <alignment horizontal="right"/>
      <protection/>
    </xf>
    <xf numFmtId="0" fontId="4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0" fillId="42" borderId="0" applyNumberFormat="0" applyBorder="0" applyAlignment="0" applyProtection="0"/>
    <xf numFmtId="0" fontId="33" fillId="34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33" fillId="35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33" fillId="36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33" fillId="25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33" fillId="26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33" fillId="37" borderId="0" applyNumberFormat="0" applyBorder="0" applyAlignment="0" applyProtection="0"/>
    <xf numFmtId="0" fontId="80" fillId="47" borderId="0" applyNumberFormat="0" applyBorder="0" applyAlignment="0" applyProtection="0"/>
    <xf numFmtId="0" fontId="81" fillId="48" borderId="15" applyNumberFormat="0" applyAlignment="0" applyProtection="0"/>
    <xf numFmtId="0" fontId="81" fillId="48" borderId="15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82" fillId="49" borderId="16" applyNumberFormat="0" applyAlignment="0" applyProtection="0"/>
    <xf numFmtId="0" fontId="82" fillId="49" borderId="16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83" fillId="49" borderId="15" applyNumberFormat="0" applyAlignment="0" applyProtection="0"/>
    <xf numFmtId="0" fontId="83" fillId="49" borderId="15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8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88" fillId="0" borderId="20" applyNumberFormat="0" applyFill="0" applyAlignment="0" applyProtection="0"/>
    <xf numFmtId="0" fontId="40" fillId="0" borderId="14" applyNumberFormat="0" applyFill="0" applyAlignment="0" applyProtection="0"/>
    <xf numFmtId="0" fontId="89" fillId="50" borderId="21" applyNumberFormat="0" applyAlignment="0" applyProtection="0"/>
    <xf numFmtId="0" fontId="41" fillId="39" borderId="2" applyNumberFormat="0" applyAlignment="0" applyProtection="0"/>
    <xf numFmtId="0" fontId="89" fillId="50" borderId="21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4" fillId="0" borderId="0">
      <alignment horizontal="left"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5" fillId="0" borderId="0">
      <alignment/>
      <protection/>
    </xf>
    <xf numFmtId="39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39" fontId="6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3" fillId="0" borderId="0" applyNumberFormat="0" applyFill="0" applyBorder="0" applyAlignment="0" applyProtection="0"/>
    <xf numFmtId="0" fontId="94" fillId="52" borderId="0" applyNumberFormat="0" applyBorder="0" applyAlignment="0" applyProtection="0"/>
    <xf numFmtId="0" fontId="44" fillId="3" borderId="0" applyNumberFormat="0" applyBorder="0" applyAlignment="0" applyProtection="0"/>
    <xf numFmtId="0" fontId="94" fillId="52" borderId="0" applyNumberFormat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8" fillId="54" borderId="0" applyNumberFormat="0" applyBorder="0" applyAlignment="0" applyProtection="0"/>
    <xf numFmtId="0" fontId="48" fillId="4" borderId="0" applyNumberFormat="0" applyBorder="0" applyAlignment="0" applyProtection="0"/>
    <xf numFmtId="0" fontId="98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74" fontId="4" fillId="0" borderId="28" xfId="0" applyNumberFormat="1" applyFont="1" applyFill="1" applyBorder="1" applyAlignment="1">
      <alignment horizontal="right" wrapText="1" indent="1"/>
    </xf>
    <xf numFmtId="3" fontId="2" fillId="0" borderId="26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0" fontId="4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75" fontId="4" fillId="0" borderId="28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5" xfId="0" applyFont="1" applyBorder="1" applyAlignment="1">
      <alignment vertical="center" wrapText="1"/>
    </xf>
    <xf numFmtId="177" fontId="25" fillId="0" borderId="0" xfId="0" applyNumberFormat="1" applyFont="1" applyAlignment="1">
      <alignment/>
    </xf>
    <xf numFmtId="177" fontId="18" fillId="0" borderId="0" xfId="508" applyNumberFormat="1" applyFont="1" applyAlignment="1">
      <alignment horizontal="center" vertical="center" wrapText="1"/>
      <protection/>
    </xf>
    <xf numFmtId="177" fontId="28" fillId="0" borderId="0" xfId="0" applyNumberFormat="1" applyFont="1" applyAlignment="1">
      <alignment/>
    </xf>
    <xf numFmtId="177" fontId="18" fillId="55" borderId="0" xfId="508" applyNumberFormat="1" applyFont="1" applyFill="1" applyAlignment="1">
      <alignment horizontal="left" vertical="top" wrapText="1"/>
      <protection/>
    </xf>
    <xf numFmtId="177" fontId="20" fillId="0" borderId="10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7" fontId="20" fillId="0" borderId="30" xfId="0" applyNumberFormat="1" applyFont="1" applyFill="1" applyBorder="1" applyAlignment="1">
      <alignment horizontal="right" vertical="top"/>
    </xf>
    <xf numFmtId="177" fontId="25" fillId="0" borderId="0" xfId="0" applyNumberFormat="1" applyFont="1" applyFill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175" fontId="18" fillId="0" borderId="10" xfId="0" applyNumberFormat="1" applyFont="1" applyFill="1" applyBorder="1" applyAlignment="1">
      <alignment horizontal="right" vertical="top"/>
    </xf>
    <xf numFmtId="0" fontId="30" fillId="0" borderId="31" xfId="0" applyFont="1" applyFill="1" applyBorder="1" applyAlignment="1">
      <alignment vertical="center" wrapText="1"/>
    </xf>
    <xf numFmtId="177" fontId="20" fillId="0" borderId="32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vertical="center" wrapText="1"/>
    </xf>
    <xf numFmtId="177" fontId="18" fillId="0" borderId="34" xfId="0" applyNumberFormat="1" applyFont="1" applyFill="1" applyBorder="1" applyAlignment="1">
      <alignment horizontal="right" vertical="top"/>
    </xf>
    <xf numFmtId="177" fontId="20" fillId="0" borderId="35" xfId="0" applyNumberFormat="1" applyFont="1" applyFill="1" applyBorder="1" applyAlignment="1">
      <alignment horizontal="right" vertical="top"/>
    </xf>
    <xf numFmtId="177" fontId="20" fillId="0" borderId="34" xfId="0" applyNumberFormat="1" applyFont="1" applyFill="1" applyBorder="1" applyAlignment="1">
      <alignment horizontal="right" vertical="top"/>
    </xf>
    <xf numFmtId="177" fontId="20" fillId="0" borderId="36" xfId="0" applyNumberFormat="1" applyFont="1" applyFill="1" applyBorder="1" applyAlignment="1">
      <alignment horizontal="right" vertical="top"/>
    </xf>
    <xf numFmtId="0" fontId="20" fillId="0" borderId="31" xfId="0" applyFont="1" applyFill="1" applyBorder="1" applyAlignment="1">
      <alignment wrapText="1"/>
    </xf>
    <xf numFmtId="177" fontId="27" fillId="0" borderId="0" xfId="0" applyNumberFormat="1" applyFont="1" applyFill="1" applyAlignment="1">
      <alignment/>
    </xf>
    <xf numFmtId="0" fontId="20" fillId="0" borderId="37" xfId="0" applyFont="1" applyFill="1" applyBorder="1" applyAlignment="1">
      <alignment wrapText="1"/>
    </xf>
    <xf numFmtId="177" fontId="20" fillId="0" borderId="38" xfId="0" applyNumberFormat="1" applyFont="1" applyFill="1" applyBorder="1" applyAlignment="1">
      <alignment horizontal="right" vertical="top"/>
    </xf>
    <xf numFmtId="177" fontId="20" fillId="0" borderId="39" xfId="0" applyNumberFormat="1" applyFont="1" applyFill="1" applyBorder="1" applyAlignment="1">
      <alignment horizontal="right" vertical="top"/>
    </xf>
    <xf numFmtId="177" fontId="20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5" fillId="0" borderId="0" xfId="0" applyNumberFormat="1" applyFont="1" applyAlignment="1">
      <alignment horizontal="left" vertical="top" wrapText="1"/>
    </xf>
    <xf numFmtId="177" fontId="18" fillId="55" borderId="33" xfId="508" applyNumberFormat="1" applyFont="1" applyFill="1" applyBorder="1" applyAlignment="1">
      <alignment horizontal="left" vertical="top" wrapText="1"/>
      <protection/>
    </xf>
    <xf numFmtId="0" fontId="18" fillId="0" borderId="40" xfId="0" applyFont="1" applyFill="1" applyBorder="1" applyAlignment="1">
      <alignment vertical="center" wrapText="1"/>
    </xf>
    <xf numFmtId="177" fontId="18" fillId="0" borderId="36" xfId="0" applyNumberFormat="1" applyFont="1" applyFill="1" applyBorder="1" applyAlignment="1">
      <alignment horizontal="right" vertical="top"/>
    </xf>
    <xf numFmtId="177" fontId="20" fillId="0" borderId="41" xfId="0" applyNumberFormat="1" applyFont="1" applyFill="1" applyBorder="1" applyAlignment="1">
      <alignment horizontal="right" vertical="top"/>
    </xf>
    <xf numFmtId="0" fontId="20" fillId="0" borderId="4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177" fontId="29" fillId="0" borderId="36" xfId="0" applyNumberFormat="1" applyFont="1" applyFill="1" applyBorder="1" applyAlignment="1">
      <alignment horizontal="right" vertical="top"/>
    </xf>
    <xf numFmtId="0" fontId="20" fillId="0" borderId="43" xfId="0" applyFont="1" applyFill="1" applyBorder="1" applyAlignment="1">
      <alignment wrapText="1"/>
    </xf>
    <xf numFmtId="177" fontId="20" fillId="0" borderId="44" xfId="0" applyNumberFormat="1" applyFont="1" applyFill="1" applyBorder="1" applyAlignment="1">
      <alignment horizontal="right" vertical="top"/>
    </xf>
    <xf numFmtId="177" fontId="18" fillId="0" borderId="45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wrapText="1"/>
    </xf>
    <xf numFmtId="0" fontId="2" fillId="0" borderId="46" xfId="0" applyFont="1" applyBorder="1" applyAlignment="1">
      <alignment wrapText="1"/>
    </xf>
    <xf numFmtId="177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49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5" fontId="2" fillId="0" borderId="46" xfId="0" applyNumberFormat="1" applyFont="1" applyFill="1" applyBorder="1" applyAlignment="1">
      <alignment horizontal="right" wrapText="1" indent="1"/>
    </xf>
    <xf numFmtId="3" fontId="2" fillId="0" borderId="28" xfId="0" applyNumberFormat="1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2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1" fillId="0" borderId="27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77" fontId="20" fillId="0" borderId="34" xfId="510" applyNumberFormat="1" applyFont="1" applyFill="1" applyBorder="1" applyAlignment="1">
      <alignment horizontal="center" vertical="center" wrapText="1"/>
      <protection/>
    </xf>
    <xf numFmtId="177" fontId="31" fillId="0" borderId="42" xfId="0" applyNumberFormat="1" applyFont="1" applyFill="1" applyBorder="1" applyAlignment="1">
      <alignment horizontal="left" vertical="top" wrapText="1"/>
    </xf>
    <xf numFmtId="177" fontId="18" fillId="0" borderId="48" xfId="0" applyNumberFormat="1" applyFont="1" applyFill="1" applyBorder="1" applyAlignment="1">
      <alignment horizontal="right" vertical="top"/>
    </xf>
    <xf numFmtId="177" fontId="18" fillId="0" borderId="49" xfId="0" applyNumberFormat="1" applyFont="1" applyFill="1" applyBorder="1" applyAlignment="1">
      <alignment horizontal="right" vertical="top"/>
    </xf>
    <xf numFmtId="177" fontId="18" fillId="0" borderId="0" xfId="508" applyNumberFormat="1" applyFont="1" applyFill="1" applyAlignment="1">
      <alignment horizontal="right" vertical="top"/>
      <protection/>
    </xf>
    <xf numFmtId="177" fontId="20" fillId="0" borderId="34" xfId="508" applyNumberFormat="1" applyFont="1" applyFill="1" applyBorder="1" applyAlignment="1">
      <alignment horizontal="center" vertical="center" wrapText="1"/>
      <protection/>
    </xf>
    <xf numFmtId="177" fontId="25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vertical="top" wrapText="1"/>
    </xf>
    <xf numFmtId="175" fontId="5" fillId="0" borderId="28" xfId="1075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26" fillId="0" borderId="28" xfId="0" applyNumberFormat="1" applyFont="1" applyFill="1" applyBorder="1" applyAlignment="1">
      <alignment horizontal="center" vertical="top" wrapText="1"/>
    </xf>
    <xf numFmtId="175" fontId="10" fillId="0" borderId="27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50" xfId="0" applyFill="1" applyBorder="1" applyAlignment="1">
      <alignment/>
    </xf>
    <xf numFmtId="174" fontId="2" fillId="0" borderId="51" xfId="0" applyNumberFormat="1" applyFont="1" applyFill="1" applyBorder="1" applyAlignment="1">
      <alignment horizontal="right" wrapText="1" indent="1"/>
    </xf>
    <xf numFmtId="177" fontId="4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wrapText="1"/>
    </xf>
    <xf numFmtId="174" fontId="2" fillId="0" borderId="0" xfId="0" applyNumberFormat="1" applyFont="1" applyFill="1" applyAlignment="1">
      <alignment/>
    </xf>
    <xf numFmtId="49" fontId="2" fillId="0" borderId="27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18" fillId="0" borderId="36" xfId="0" applyNumberFormat="1" applyFont="1" applyFill="1" applyBorder="1" applyAlignment="1">
      <alignment horizontal="right" vertical="top"/>
    </xf>
    <xf numFmtId="0" fontId="4" fillId="0" borderId="53" xfId="0" applyFont="1" applyBorder="1" applyAlignment="1">
      <alignment wrapText="1"/>
    </xf>
    <xf numFmtId="0" fontId="0" fillId="0" borderId="29" xfId="0" applyFill="1" applyBorder="1" applyAlignment="1">
      <alignment/>
    </xf>
    <xf numFmtId="0" fontId="25" fillId="0" borderId="0" xfId="0" applyFont="1" applyFill="1" applyAlignment="1">
      <alignment vertical="top"/>
    </xf>
    <xf numFmtId="177" fontId="28" fillId="0" borderId="0" xfId="0" applyNumberFormat="1" applyFont="1" applyFill="1" applyAlignment="1">
      <alignment/>
    </xf>
    <xf numFmtId="177" fontId="50" fillId="0" borderId="0" xfId="0" applyNumberFormat="1" applyFont="1" applyFill="1" applyAlignment="1">
      <alignment/>
    </xf>
    <xf numFmtId="177" fontId="20" fillId="0" borderId="54" xfId="510" applyNumberFormat="1" applyFont="1" applyFill="1" applyBorder="1" applyAlignment="1">
      <alignment horizontal="center" vertical="center" wrapText="1"/>
      <protection/>
    </xf>
    <xf numFmtId="177" fontId="20" fillId="0" borderId="35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horizontal="center" vertical="top"/>
    </xf>
    <xf numFmtId="177" fontId="51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171" fontId="0" fillId="0" borderId="0" xfId="0" applyNumberFormat="1" applyFill="1" applyAlignment="1">
      <alignment/>
    </xf>
    <xf numFmtId="3" fontId="97" fillId="0" borderId="0" xfId="0" applyNumberFormat="1" applyFont="1" applyFill="1" applyAlignment="1">
      <alignment/>
    </xf>
    <xf numFmtId="0" fontId="97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7" fontId="99" fillId="0" borderId="0" xfId="0" applyNumberFormat="1" applyFont="1" applyFill="1" applyAlignment="1">
      <alignment/>
    </xf>
    <xf numFmtId="0" fontId="5" fillId="0" borderId="55" xfId="0" applyFont="1" applyBorder="1" applyAlignment="1">
      <alignment horizontal="center" wrapText="1"/>
    </xf>
    <xf numFmtId="0" fontId="2" fillId="0" borderId="55" xfId="0" applyFont="1" applyBorder="1" applyAlignment="1">
      <alignment wrapText="1"/>
    </xf>
    <xf numFmtId="0" fontId="2" fillId="55" borderId="55" xfId="0" applyFont="1" applyFill="1" applyBorder="1" applyAlignment="1">
      <alignment wrapText="1"/>
    </xf>
    <xf numFmtId="0" fontId="2" fillId="0" borderId="55" xfId="0" applyFont="1" applyBorder="1" applyAlignment="1">
      <alignment vertical="center" wrapText="1"/>
    </xf>
    <xf numFmtId="0" fontId="5" fillId="0" borderId="28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49" fontId="18" fillId="0" borderId="43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 applyProtection="1">
      <alignment horizontal="center" vertical="center"/>
      <protection locked="0"/>
    </xf>
    <xf numFmtId="49" fontId="18" fillId="0" borderId="44" xfId="508" applyNumberFormat="1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18" fillId="0" borderId="31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56" xfId="0" applyFont="1" applyFill="1" applyBorder="1" applyAlignment="1">
      <alignment wrapText="1"/>
    </xf>
    <xf numFmtId="3" fontId="0" fillId="0" borderId="0" xfId="0" applyNumberFormat="1" applyAlignment="1">
      <alignment/>
    </xf>
    <xf numFmtId="173" fontId="0" fillId="0" borderId="0" xfId="553" applyNumberFormat="1" applyFont="1" applyAlignment="1">
      <alignment/>
    </xf>
    <xf numFmtId="0" fontId="0" fillId="0" borderId="0" xfId="0" applyAlignment="1">
      <alignment/>
    </xf>
    <xf numFmtId="0" fontId="100" fillId="0" borderId="0" xfId="0" applyFont="1" applyFill="1" applyBorder="1" applyAlignment="1">
      <alignment wrapText="1"/>
    </xf>
    <xf numFmtId="177" fontId="101" fillId="0" borderId="0" xfId="0" applyNumberFormat="1" applyFont="1" applyFill="1" applyBorder="1" applyAlignment="1">
      <alignment horizontal="right" vertical="top"/>
    </xf>
    <xf numFmtId="177" fontId="102" fillId="0" borderId="0" xfId="0" applyNumberFormat="1" applyFont="1" applyFill="1" applyAlignment="1">
      <alignment/>
    </xf>
    <xf numFmtId="175" fontId="26" fillId="0" borderId="57" xfId="0" applyNumberFormat="1" applyFont="1" applyFill="1" applyBorder="1" applyAlignment="1">
      <alignment wrapText="1"/>
    </xf>
    <xf numFmtId="175" fontId="26" fillId="0" borderId="58" xfId="0" applyNumberFormat="1" applyFont="1" applyFill="1" applyBorder="1" applyAlignment="1">
      <alignment wrapText="1"/>
    </xf>
    <xf numFmtId="0" fontId="80" fillId="0" borderId="0" xfId="0" applyFont="1" applyAlignment="1">
      <alignment/>
    </xf>
    <xf numFmtId="0" fontId="21" fillId="0" borderId="27" xfId="0" applyFont="1" applyBorder="1" applyAlignment="1">
      <alignment horizontal="left" wrapText="1"/>
    </xf>
    <xf numFmtId="0" fontId="24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174" fontId="97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25" xfId="0" applyFont="1" applyFill="1" applyBorder="1" applyAlignment="1">
      <alignment wrapText="1"/>
    </xf>
    <xf numFmtId="0" fontId="24" fillId="0" borderId="27" xfId="0" applyFont="1" applyBorder="1" applyAlignment="1">
      <alignment vertical="center" wrapText="1"/>
    </xf>
    <xf numFmtId="0" fontId="103" fillId="0" borderId="27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24" fillId="0" borderId="52" xfId="0" applyFont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175" fontId="9" fillId="0" borderId="0" xfId="553" applyNumberFormat="1" applyFont="1" applyFill="1" applyBorder="1" applyAlignment="1">
      <alignment vertical="center" wrapText="1"/>
    </xf>
    <xf numFmtId="173" fontId="2" fillId="0" borderId="51" xfId="0" applyNumberFormat="1" applyFont="1" applyFill="1" applyBorder="1" applyAlignment="1">
      <alignment horizontal="right" wrapText="1" indent="1"/>
    </xf>
    <xf numFmtId="175" fontId="2" fillId="0" borderId="51" xfId="298" applyNumberFormat="1" applyFont="1" applyFill="1" applyBorder="1" applyAlignment="1">
      <alignment horizontal="right" wrapText="1" inden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wrapText="1"/>
    </xf>
    <xf numFmtId="175" fontId="9" fillId="0" borderId="6" xfId="0" applyNumberFormat="1" applyFont="1" applyFill="1" applyBorder="1" applyAlignment="1">
      <alignment vertical="center"/>
    </xf>
    <xf numFmtId="175" fontId="9" fillId="0" borderId="61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7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7" fontId="18" fillId="0" borderId="0" xfId="508" applyNumberFormat="1" applyFont="1" applyFill="1" applyAlignment="1">
      <alignment horizontal="left" vertical="top" wrapText="1"/>
      <protection/>
    </xf>
    <xf numFmtId="0" fontId="24" fillId="0" borderId="62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173" fontId="24" fillId="0" borderId="6" xfId="0" applyNumberFormat="1" applyFont="1" applyFill="1" applyBorder="1" applyAlignment="1">
      <alignment vertical="center" wrapText="1"/>
    </xf>
    <xf numFmtId="175" fontId="9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7" fontId="20" fillId="0" borderId="45" xfId="0" applyNumberFormat="1" applyFont="1" applyFill="1" applyBorder="1" applyAlignment="1">
      <alignment horizontal="right" vertical="top"/>
    </xf>
    <xf numFmtId="0" fontId="18" fillId="0" borderId="42" xfId="0" applyFont="1" applyFill="1" applyBorder="1" applyAlignment="1">
      <alignment/>
    </xf>
    <xf numFmtId="177" fontId="71" fillId="0" borderId="0" xfId="0" applyNumberFormat="1" applyFont="1" applyFill="1" applyAlignment="1">
      <alignment/>
    </xf>
    <xf numFmtId="177" fontId="72" fillId="0" borderId="0" xfId="0" applyNumberFormat="1" applyFont="1" applyFill="1" applyAlignment="1">
      <alignment/>
    </xf>
    <xf numFmtId="174" fontId="2" fillId="0" borderId="27" xfId="0" applyNumberFormat="1" applyFont="1" applyFill="1" applyBorder="1" applyAlignment="1">
      <alignment horizontal="right" wrapText="1" indent="1"/>
    </xf>
    <xf numFmtId="175" fontId="2" fillId="0" borderId="27" xfId="298" applyNumberFormat="1" applyFont="1" applyFill="1" applyBorder="1" applyAlignment="1">
      <alignment horizontal="right" wrapText="1" indent="1"/>
      <protection/>
    </xf>
    <xf numFmtId="174" fontId="2" fillId="0" borderId="46" xfId="0" applyNumberFormat="1" applyFont="1" applyFill="1" applyBorder="1" applyAlignment="1">
      <alignment horizontal="right" wrapText="1" indent="1"/>
    </xf>
    <xf numFmtId="174" fontId="2" fillId="0" borderId="52" xfId="0" applyNumberFormat="1" applyFont="1" applyFill="1" applyBorder="1" applyAlignment="1">
      <alignment horizontal="right" wrapText="1" indent="1"/>
    </xf>
    <xf numFmtId="175" fontId="2" fillId="0" borderId="27" xfId="0" applyNumberFormat="1" applyFont="1" applyFill="1" applyBorder="1" applyAlignment="1">
      <alignment horizontal="right" wrapText="1" indent="1"/>
    </xf>
    <xf numFmtId="175" fontId="2" fillId="0" borderId="51" xfId="0" applyNumberFormat="1" applyFont="1" applyFill="1" applyBorder="1" applyAlignment="1">
      <alignment horizontal="right" wrapText="1" indent="1"/>
    </xf>
    <xf numFmtId="173" fontId="2" fillId="0" borderId="51" xfId="553" applyNumberFormat="1" applyFont="1" applyFill="1" applyBorder="1" applyAlignment="1">
      <alignment horizontal="right" wrapText="1" indent="1"/>
    </xf>
    <xf numFmtId="175" fontId="9" fillId="0" borderId="55" xfId="1236" applyNumberFormat="1" applyFont="1" applyFill="1" applyBorder="1" applyAlignment="1">
      <alignment vertical="center" wrapText="1"/>
    </xf>
    <xf numFmtId="175" fontId="4" fillId="0" borderId="28" xfId="553" applyNumberFormat="1" applyFont="1" applyFill="1" applyBorder="1" applyAlignment="1">
      <alignment vertical="center" wrapText="1"/>
    </xf>
    <xf numFmtId="175" fontId="9" fillId="0" borderId="55" xfId="553" applyNumberFormat="1" applyFont="1" applyFill="1" applyBorder="1" applyAlignment="1">
      <alignment vertical="center" wrapText="1"/>
    </xf>
    <xf numFmtId="175" fontId="4" fillId="0" borderId="28" xfId="553" applyNumberFormat="1" applyFont="1" applyFill="1" applyBorder="1" applyAlignment="1">
      <alignment vertical="center"/>
    </xf>
    <xf numFmtId="175" fontId="4" fillId="0" borderId="27" xfId="0" applyNumberFormat="1" applyFont="1" applyFill="1" applyBorder="1" applyAlignment="1">
      <alignment horizontal="right" wrapText="1"/>
    </xf>
    <xf numFmtId="175" fontId="4" fillId="0" borderId="28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75" fontId="9" fillId="0" borderId="6" xfId="1236" applyNumberFormat="1" applyFont="1" applyFill="1" applyBorder="1" applyAlignment="1">
      <alignment vertical="center" wrapText="1"/>
    </xf>
    <xf numFmtId="175" fontId="9" fillId="0" borderId="61" xfId="553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7" fillId="0" borderId="28" xfId="0" applyFont="1" applyFill="1" applyBorder="1" applyAlignment="1">
      <alignment horizontal="center" wrapText="1"/>
    </xf>
    <xf numFmtId="174" fontId="2" fillId="0" borderId="63" xfId="0" applyNumberFormat="1" applyFont="1" applyFill="1" applyBorder="1" applyAlignment="1">
      <alignment horizontal="right" wrapText="1" indent="1"/>
    </xf>
    <xf numFmtId="0" fontId="104" fillId="0" borderId="0" xfId="0" applyFont="1" applyFill="1" applyBorder="1" applyAlignment="1">
      <alignment/>
    </xf>
    <xf numFmtId="177" fontId="29" fillId="0" borderId="32" xfId="0" applyNumberFormat="1" applyFont="1" applyFill="1" applyBorder="1" applyAlignment="1">
      <alignment horizontal="right" vertical="top"/>
    </xf>
    <xf numFmtId="177" fontId="18" fillId="0" borderId="35" xfId="0" applyNumberFormat="1" applyFont="1" applyFill="1" applyBorder="1" applyAlignment="1">
      <alignment horizontal="right" vertical="top"/>
    </xf>
    <xf numFmtId="173" fontId="24" fillId="0" borderId="27" xfId="0" applyNumberFormat="1" applyFont="1" applyFill="1" applyBorder="1" applyAlignment="1">
      <alignment vertical="center" wrapText="1"/>
    </xf>
    <xf numFmtId="173" fontId="23" fillId="0" borderId="6" xfId="0" applyNumberFormat="1" applyFont="1" applyFill="1" applyBorder="1" applyAlignment="1">
      <alignment vertical="center"/>
    </xf>
    <xf numFmtId="173" fontId="23" fillId="0" borderId="27" xfId="0" applyNumberFormat="1" applyFont="1" applyFill="1" applyBorder="1" applyAlignment="1">
      <alignment vertical="center"/>
    </xf>
    <xf numFmtId="175" fontId="10" fillId="0" borderId="27" xfId="0" applyNumberFormat="1" applyFont="1" applyFill="1" applyBorder="1" applyAlignment="1">
      <alignment vertical="top" wrapText="1"/>
    </xf>
    <xf numFmtId="175" fontId="9" fillId="0" borderId="59" xfId="1236" applyNumberFormat="1" applyFont="1" applyFill="1" applyBorder="1" applyAlignment="1">
      <alignment vertical="center" wrapText="1"/>
    </xf>
    <xf numFmtId="175" fontId="2" fillId="0" borderId="55" xfId="0" applyNumberFormat="1" applyFont="1" applyFill="1" applyBorder="1" applyAlignment="1">
      <alignment vertical="center" wrapText="1"/>
    </xf>
    <xf numFmtId="175" fontId="2" fillId="0" borderId="59" xfId="0" applyNumberFormat="1" applyFont="1" applyFill="1" applyBorder="1" applyAlignment="1">
      <alignment vertical="center" wrapText="1"/>
    </xf>
    <xf numFmtId="0" fontId="2" fillId="0" borderId="64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175" fontId="9" fillId="0" borderId="27" xfId="0" applyNumberFormat="1" applyFont="1" applyFill="1" applyBorder="1" applyAlignment="1">
      <alignment vertical="center"/>
    </xf>
    <xf numFmtId="175" fontId="9" fillId="0" borderId="55" xfId="0" applyNumberFormat="1" applyFont="1" applyFill="1" applyBorder="1" applyAlignment="1">
      <alignment vertical="center" wrapText="1"/>
    </xf>
    <xf numFmtId="0" fontId="21" fillId="0" borderId="27" xfId="0" applyFont="1" applyFill="1" applyBorder="1" applyAlignment="1">
      <alignment wrapText="1"/>
    </xf>
    <xf numFmtId="175" fontId="9" fillId="0" borderId="27" xfId="1236" applyNumberFormat="1" applyFont="1" applyFill="1" applyBorder="1" applyAlignment="1">
      <alignment vertical="center" wrapText="1"/>
    </xf>
    <xf numFmtId="175" fontId="5" fillId="0" borderId="28" xfId="553" applyNumberFormat="1" applyFont="1" applyFill="1" applyBorder="1" applyAlignment="1">
      <alignment vertical="center" wrapText="1"/>
    </xf>
    <xf numFmtId="177" fontId="29" fillId="0" borderId="10" xfId="0" applyNumberFormat="1" applyFont="1" applyFill="1" applyBorder="1" applyAlignment="1">
      <alignment horizontal="right" vertical="top"/>
    </xf>
    <xf numFmtId="177" fontId="20" fillId="0" borderId="65" xfId="0" applyNumberFormat="1" applyFont="1" applyFill="1" applyBorder="1" applyAlignment="1">
      <alignment horizontal="right" vertical="top"/>
    </xf>
    <xf numFmtId="177" fontId="20" fillId="0" borderId="66" xfId="0" applyNumberFormat="1" applyFont="1" applyFill="1" applyBorder="1" applyAlignment="1">
      <alignment horizontal="right" vertical="top"/>
    </xf>
    <xf numFmtId="177" fontId="20" fillId="0" borderId="67" xfId="0" applyNumberFormat="1" applyFont="1" applyFill="1" applyBorder="1" applyAlignment="1">
      <alignment horizontal="right" vertical="top"/>
    </xf>
    <xf numFmtId="177" fontId="105" fillId="0" borderId="0" xfId="0" applyNumberFormat="1" applyFont="1" applyFill="1" applyBorder="1" applyAlignment="1">
      <alignment horizontal="right" vertical="top"/>
    </xf>
    <xf numFmtId="175" fontId="4" fillId="0" borderId="55" xfId="0" applyNumberFormat="1" applyFont="1" applyFill="1" applyBorder="1" applyAlignment="1">
      <alignment wrapText="1"/>
    </xf>
    <xf numFmtId="175" fontId="5" fillId="0" borderId="55" xfId="553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25" xfId="0" applyFont="1" applyFill="1" applyBorder="1" applyAlignment="1">
      <alignment wrapText="1"/>
    </xf>
    <xf numFmtId="0" fontId="4" fillId="0" borderId="68" xfId="0" applyFont="1" applyFill="1" applyBorder="1" applyAlignment="1">
      <alignment wrapText="1"/>
    </xf>
    <xf numFmtId="175" fontId="9" fillId="0" borderId="28" xfId="1236" applyNumberFormat="1" applyFont="1" applyFill="1" applyBorder="1" applyAlignment="1">
      <alignment vertical="center" wrapText="1"/>
    </xf>
    <xf numFmtId="175" fontId="9" fillId="0" borderId="28" xfId="553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 horizontal="center" wrapText="1"/>
    </xf>
    <xf numFmtId="0" fontId="10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7" fontId="18" fillId="0" borderId="0" xfId="508" applyNumberFormat="1" applyFont="1" applyAlignment="1">
      <alignment horizontal="left" vertical="top" wrapText="1"/>
      <protection/>
    </xf>
    <xf numFmtId="177" fontId="104" fillId="55" borderId="0" xfId="509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 wrapText="1"/>
      <protection/>
    </xf>
    <xf numFmtId="177" fontId="20" fillId="55" borderId="0" xfId="508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/>
      <protection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79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92.140625" style="2" customWidth="1"/>
    <col min="2" max="2" width="23.8515625" style="18" customWidth="1"/>
    <col min="3" max="3" width="22.7109375" style="1" customWidth="1"/>
    <col min="4" max="4" width="18.7109375" style="2" customWidth="1"/>
    <col min="5" max="5" width="19.57421875" style="2" customWidth="1"/>
    <col min="6" max="6" width="21.00390625" style="2" customWidth="1"/>
    <col min="7" max="7" width="14.00390625" style="2" customWidth="1"/>
    <col min="8" max="8" width="12.140625" style="2" bestFit="1" customWidth="1"/>
    <col min="9" max="16384" width="9.140625" style="2" customWidth="1"/>
  </cols>
  <sheetData>
    <row r="1" spans="1:3" ht="18.75">
      <c r="A1" s="66" t="s">
        <v>97</v>
      </c>
      <c r="B1" s="67" t="s">
        <v>117</v>
      </c>
      <c r="C1" s="209"/>
    </row>
    <row r="2" ht="18.75">
      <c r="A2" s="68" t="s">
        <v>98</v>
      </c>
    </row>
    <row r="3" ht="18.75">
      <c r="A3" s="68" t="s">
        <v>99</v>
      </c>
    </row>
    <row r="4" ht="18.75">
      <c r="A4" s="68" t="s">
        <v>100</v>
      </c>
    </row>
    <row r="5" ht="18.75" customHeight="1">
      <c r="A5" s="69" t="s">
        <v>101</v>
      </c>
    </row>
    <row r="7" spans="1:3" ht="18.75">
      <c r="A7" s="262" t="s">
        <v>0</v>
      </c>
      <c r="B7" s="262"/>
      <c r="C7" s="262"/>
    </row>
    <row r="8" spans="1:3" ht="18.75">
      <c r="A8" s="262" t="s">
        <v>1</v>
      </c>
      <c r="B8" s="262"/>
      <c r="C8" s="262"/>
    </row>
    <row r="9" spans="1:5" ht="18.75">
      <c r="A9" s="262" t="s">
        <v>68</v>
      </c>
      <c r="B9" s="262"/>
      <c r="C9" s="262"/>
      <c r="D9" s="173"/>
      <c r="E9" s="173"/>
    </row>
    <row r="10" spans="1:3" ht="18.75">
      <c r="A10" s="262" t="s">
        <v>181</v>
      </c>
      <c r="B10" s="262"/>
      <c r="C10" s="262"/>
    </row>
    <row r="11" spans="1:3" ht="18.75">
      <c r="A11" s="263" t="s">
        <v>168</v>
      </c>
      <c r="B11" s="263"/>
      <c r="C11" s="263"/>
    </row>
    <row r="12" ht="19.5" thickBot="1">
      <c r="C12" s="177" t="s">
        <v>147</v>
      </c>
    </row>
    <row r="13" spans="1:3" ht="18.75" customHeight="1" thickBot="1">
      <c r="A13" s="3"/>
      <c r="B13" s="4" t="s">
        <v>182</v>
      </c>
      <c r="C13" s="231" t="s">
        <v>199</v>
      </c>
    </row>
    <row r="14" spans="1:3" ht="18.75">
      <c r="A14" s="5" t="s">
        <v>2</v>
      </c>
      <c r="B14" s="104"/>
      <c r="C14" s="119"/>
    </row>
    <row r="15" spans="1:3" s="1" customFormat="1" ht="18.75">
      <c r="A15" s="107" t="s">
        <v>3</v>
      </c>
      <c r="B15" s="105">
        <v>104572</v>
      </c>
      <c r="C15" s="214">
        <v>131338</v>
      </c>
    </row>
    <row r="16" spans="1:6" s="1" customFormat="1" ht="18.75">
      <c r="A16" s="107" t="s">
        <v>4</v>
      </c>
      <c r="B16" s="105">
        <v>4881</v>
      </c>
      <c r="C16" s="214">
        <v>5222</v>
      </c>
      <c r="D16" s="108"/>
      <c r="F16" s="108"/>
    </row>
    <row r="17" spans="1:3" s="1" customFormat="1" ht="37.5">
      <c r="A17" s="107" t="s">
        <v>118</v>
      </c>
      <c r="B17" s="105"/>
      <c r="C17" s="214"/>
    </row>
    <row r="18" spans="1:4" s="1" customFormat="1" ht="18.75">
      <c r="A18" s="109" t="s">
        <v>5</v>
      </c>
      <c r="B18" s="105">
        <v>28685</v>
      </c>
      <c r="C18" s="214">
        <v>23543</v>
      </c>
      <c r="D18" s="108"/>
    </row>
    <row r="19" spans="1:4" s="1" customFormat="1" ht="18.75" hidden="1">
      <c r="A19" s="109" t="s">
        <v>119</v>
      </c>
      <c r="B19" s="183">
        <v>0</v>
      </c>
      <c r="C19" s="70">
        <v>0</v>
      </c>
      <c r="D19" s="18"/>
    </row>
    <row r="20" spans="1:9" s="1" customFormat="1" ht="18.75">
      <c r="A20" s="107" t="s">
        <v>6</v>
      </c>
      <c r="B20" s="105"/>
      <c r="C20" s="214"/>
      <c r="D20" s="18"/>
      <c r="E20" s="18"/>
      <c r="F20" s="18"/>
      <c r="G20" s="18"/>
      <c r="H20" s="18"/>
      <c r="I20" s="18"/>
    </row>
    <row r="21" spans="1:9" s="1" customFormat="1" ht="18.75">
      <c r="A21" s="109" t="s">
        <v>5</v>
      </c>
      <c r="B21" s="105">
        <v>1515</v>
      </c>
      <c r="C21" s="214">
        <v>29386</v>
      </c>
      <c r="D21" s="108"/>
      <c r="E21" s="18"/>
      <c r="F21" s="18"/>
      <c r="G21" s="18"/>
      <c r="H21" s="18"/>
      <c r="I21" s="18"/>
    </row>
    <row r="22" spans="1:9" s="1" customFormat="1" ht="18.75">
      <c r="A22" s="109" t="s">
        <v>119</v>
      </c>
      <c r="B22" s="183">
        <v>34941</v>
      </c>
      <c r="C22" s="70">
        <v>33362</v>
      </c>
      <c r="D22" s="18"/>
      <c r="E22" s="18"/>
      <c r="F22" s="116"/>
      <c r="G22" s="18"/>
      <c r="H22" s="18"/>
      <c r="I22" s="18"/>
    </row>
    <row r="23" spans="1:9" s="1" customFormat="1" ht="18.75">
      <c r="A23" s="107" t="s">
        <v>7</v>
      </c>
      <c r="B23" s="105">
        <v>1795809</v>
      </c>
      <c r="C23" s="214">
        <v>1808797</v>
      </c>
      <c r="D23" s="108"/>
      <c r="E23" s="18"/>
      <c r="F23" s="18"/>
      <c r="G23" s="18"/>
      <c r="H23" s="18"/>
      <c r="I23" s="18"/>
    </row>
    <row r="24" spans="1:9" s="1" customFormat="1" ht="18.75">
      <c r="A24" s="107" t="s">
        <v>8</v>
      </c>
      <c r="B24" s="105"/>
      <c r="C24" s="70"/>
      <c r="D24" s="18"/>
      <c r="E24" s="18"/>
      <c r="F24" s="18"/>
      <c r="G24" s="18"/>
      <c r="H24" s="18"/>
      <c r="I24" s="18"/>
    </row>
    <row r="25" spans="1:9" s="1" customFormat="1" ht="18.75">
      <c r="A25" s="109" t="s">
        <v>5</v>
      </c>
      <c r="B25" s="105">
        <v>42729</v>
      </c>
      <c r="C25" s="214">
        <v>70534</v>
      </c>
      <c r="D25" s="108"/>
      <c r="E25" s="18"/>
      <c r="F25" s="18"/>
      <c r="G25" s="18"/>
      <c r="H25" s="18"/>
      <c r="I25" s="18"/>
    </row>
    <row r="26" spans="1:9" s="1" customFormat="1" ht="18.75">
      <c r="A26" s="109" t="s">
        <v>119</v>
      </c>
      <c r="B26" s="215">
        <v>49667</v>
      </c>
      <c r="C26" s="70">
        <v>18139</v>
      </c>
      <c r="D26" s="18"/>
      <c r="E26" s="18"/>
      <c r="F26" s="116"/>
      <c r="G26" s="18"/>
      <c r="H26" s="18"/>
      <c r="I26" s="18"/>
    </row>
    <row r="27" spans="1:9" s="1" customFormat="1" ht="18.75">
      <c r="A27" s="109" t="s">
        <v>165</v>
      </c>
      <c r="B27" s="184">
        <v>0</v>
      </c>
      <c r="C27" s="70">
        <v>23718</v>
      </c>
      <c r="D27" s="18"/>
      <c r="E27" s="18"/>
      <c r="F27" s="116"/>
      <c r="G27" s="18"/>
      <c r="H27" s="18"/>
      <c r="I27" s="18"/>
    </row>
    <row r="28" spans="1:9" s="1" customFormat="1" ht="18.75">
      <c r="A28" s="109" t="s">
        <v>77</v>
      </c>
      <c r="B28" s="105">
        <v>42770</v>
      </c>
      <c r="C28" s="214">
        <v>45290</v>
      </c>
      <c r="D28" s="108"/>
      <c r="E28" s="18"/>
      <c r="F28" s="18"/>
      <c r="G28" s="18"/>
      <c r="H28" s="18"/>
      <c r="I28" s="18"/>
    </row>
    <row r="29" spans="1:3" s="1" customFormat="1" ht="18.75">
      <c r="A29" s="107" t="s">
        <v>9</v>
      </c>
      <c r="B29" s="105">
        <v>47254</v>
      </c>
      <c r="C29" s="214">
        <v>47928</v>
      </c>
    </row>
    <row r="30" spans="1:3" s="1" customFormat="1" ht="18.75">
      <c r="A30" s="107" t="s">
        <v>10</v>
      </c>
      <c r="B30" s="105">
        <v>14532</v>
      </c>
      <c r="C30" s="70">
        <v>14290</v>
      </c>
    </row>
    <row r="31" spans="1:4" s="1" customFormat="1" ht="18.75">
      <c r="A31" s="110" t="s">
        <v>103</v>
      </c>
      <c r="B31" s="105">
        <v>2230</v>
      </c>
      <c r="C31" s="216">
        <v>2759</v>
      </c>
      <c r="D31" s="108"/>
    </row>
    <row r="32" spans="1:3" s="1" customFormat="1" ht="18.75">
      <c r="A32" s="107" t="s">
        <v>102</v>
      </c>
      <c r="B32" s="105">
        <v>17571</v>
      </c>
      <c r="C32" s="70">
        <v>18120</v>
      </c>
    </row>
    <row r="33" spans="1:4" s="1" customFormat="1" ht="18.75">
      <c r="A33" s="107" t="s">
        <v>11</v>
      </c>
      <c r="B33" s="105">
        <v>3128</v>
      </c>
      <c r="C33" s="214">
        <v>2646</v>
      </c>
      <c r="D33" s="18"/>
    </row>
    <row r="34" spans="1:3" s="1" customFormat="1" ht="18.75">
      <c r="A34" s="107" t="s">
        <v>132</v>
      </c>
      <c r="B34" s="105">
        <v>1560</v>
      </c>
      <c r="C34" s="214">
        <v>669</v>
      </c>
    </row>
    <row r="35" spans="1:4" s="1" customFormat="1" ht="19.5" thickBot="1">
      <c r="A35" s="111" t="s">
        <v>12</v>
      </c>
      <c r="B35" s="105">
        <v>20910</v>
      </c>
      <c r="C35" s="217">
        <v>15369</v>
      </c>
      <c r="D35" s="108"/>
    </row>
    <row r="36" spans="1:3" s="1" customFormat="1" ht="19.5" thickBot="1">
      <c r="A36" s="112" t="s">
        <v>120</v>
      </c>
      <c r="B36" s="7">
        <f>SUM(B15:B35)</f>
        <v>2212754</v>
      </c>
      <c r="C36" s="7">
        <f>SUM(C15:C35)</f>
        <v>2291110</v>
      </c>
    </row>
    <row r="37" spans="1:3" ht="19.5" thickBot="1">
      <c r="A37" s="10" t="s">
        <v>13</v>
      </c>
      <c r="B37" s="71"/>
      <c r="C37" s="71"/>
    </row>
    <row r="38" spans="1:7" ht="18.75">
      <c r="A38" s="72" t="s">
        <v>104</v>
      </c>
      <c r="B38" s="105">
        <v>26716</v>
      </c>
      <c r="C38" s="70">
        <v>30691</v>
      </c>
      <c r="D38" s="85"/>
      <c r="G38" s="9"/>
    </row>
    <row r="39" spans="1:7" ht="18.75">
      <c r="A39" s="6" t="s">
        <v>14</v>
      </c>
      <c r="B39" s="105">
        <v>112536</v>
      </c>
      <c r="C39" s="214">
        <v>108278</v>
      </c>
      <c r="D39" s="85"/>
      <c r="E39" s="9"/>
      <c r="G39" s="9"/>
    </row>
    <row r="40" spans="1:7" ht="37.5">
      <c r="A40" s="6" t="s">
        <v>118</v>
      </c>
      <c r="B40" s="105">
        <v>15326</v>
      </c>
      <c r="C40" s="214">
        <v>14041</v>
      </c>
      <c r="D40" s="85"/>
      <c r="G40" s="9"/>
    </row>
    <row r="41" spans="1:7" ht="18.75">
      <c r="A41" s="6" t="s">
        <v>15</v>
      </c>
      <c r="B41" s="105">
        <v>1621126</v>
      </c>
      <c r="C41" s="214">
        <v>1683704</v>
      </c>
      <c r="D41" s="85"/>
      <c r="G41" s="9"/>
    </row>
    <row r="42" spans="1:7" ht="18.75">
      <c r="A42" s="6" t="s">
        <v>27</v>
      </c>
      <c r="B42" s="105">
        <v>19448</v>
      </c>
      <c r="C42" s="214">
        <v>25240</v>
      </c>
      <c r="D42" s="85"/>
      <c r="G42" s="9"/>
    </row>
    <row r="43" spans="1:7" ht="18.75">
      <c r="A43" s="6" t="s">
        <v>16</v>
      </c>
      <c r="B43" s="105">
        <v>90905</v>
      </c>
      <c r="C43" s="214">
        <v>93705</v>
      </c>
      <c r="D43" s="85"/>
      <c r="G43" s="9"/>
    </row>
    <row r="44" spans="1:7" ht="18.75">
      <c r="A44" s="63" t="s">
        <v>136</v>
      </c>
      <c r="B44" s="105">
        <v>114244</v>
      </c>
      <c r="C44" s="70">
        <v>83636</v>
      </c>
      <c r="D44" s="85"/>
      <c r="G44" s="9"/>
    </row>
    <row r="45" spans="1:7" ht="18.75">
      <c r="A45" s="63" t="s">
        <v>121</v>
      </c>
      <c r="B45" s="105">
        <v>4845</v>
      </c>
      <c r="C45" s="70">
        <v>5494</v>
      </c>
      <c r="D45" s="85"/>
      <c r="G45" s="9"/>
    </row>
    <row r="46" spans="1:7" ht="18.75">
      <c r="A46" s="73" t="s">
        <v>133</v>
      </c>
      <c r="B46" s="105">
        <v>11832</v>
      </c>
      <c r="C46" s="70">
        <v>16721</v>
      </c>
      <c r="D46" s="85"/>
      <c r="G46" s="9"/>
    </row>
    <row r="47" spans="1:7" ht="18.75" hidden="1">
      <c r="A47" s="63" t="s">
        <v>65</v>
      </c>
      <c r="B47" s="70">
        <v>0</v>
      </c>
      <c r="C47" s="70">
        <v>0</v>
      </c>
      <c r="D47" s="85"/>
      <c r="G47" s="9"/>
    </row>
    <row r="48" spans="1:7" ht="18.75" customHeight="1" thickBot="1">
      <c r="A48" s="74" t="s">
        <v>17</v>
      </c>
      <c r="B48" s="105">
        <v>11485</v>
      </c>
      <c r="C48" s="214">
        <v>7698</v>
      </c>
      <c r="D48" s="85"/>
      <c r="G48" s="9"/>
    </row>
    <row r="49" spans="1:3" ht="18.75" customHeight="1" thickBot="1">
      <c r="A49" s="10" t="s">
        <v>122</v>
      </c>
      <c r="B49" s="7">
        <f>SUM(B38:B48)</f>
        <v>2028463</v>
      </c>
      <c r="C49" s="7">
        <f>SUM(C38:C48)</f>
        <v>2069208</v>
      </c>
    </row>
    <row r="50" spans="1:3" ht="18.75">
      <c r="A50" s="5" t="s">
        <v>18</v>
      </c>
      <c r="B50" s="8"/>
      <c r="C50" s="8"/>
    </row>
    <row r="51" spans="1:5" ht="18.75">
      <c r="A51" s="6" t="s">
        <v>19</v>
      </c>
      <c r="B51" s="105">
        <v>93029</v>
      </c>
      <c r="C51" s="214">
        <v>93017</v>
      </c>
      <c r="D51" s="9"/>
      <c r="E51" s="9"/>
    </row>
    <row r="52" spans="1:6" ht="18.75">
      <c r="A52" s="6" t="s">
        <v>20</v>
      </c>
      <c r="B52" s="105">
        <v>234</v>
      </c>
      <c r="C52" s="214">
        <v>234</v>
      </c>
      <c r="D52" s="9"/>
      <c r="E52" s="9"/>
      <c r="F52" s="9"/>
    </row>
    <row r="53" spans="1:6" ht="36.75" customHeight="1">
      <c r="A53" s="6" t="s">
        <v>21</v>
      </c>
      <c r="B53" s="218">
        <v>-159</v>
      </c>
      <c r="C53" s="218">
        <v>-376</v>
      </c>
      <c r="D53" s="9"/>
      <c r="E53" s="9"/>
      <c r="F53" s="9"/>
    </row>
    <row r="54" spans="1:6" ht="42.75" customHeight="1">
      <c r="A54" s="6" t="s">
        <v>173</v>
      </c>
      <c r="B54" s="219">
        <v>87</v>
      </c>
      <c r="C54" s="70">
        <v>0</v>
      </c>
      <c r="D54" s="9"/>
      <c r="E54" s="9"/>
      <c r="F54" s="9"/>
    </row>
    <row r="55" spans="1:6" ht="54" customHeight="1" hidden="1">
      <c r="A55" s="6" t="s">
        <v>171</v>
      </c>
      <c r="B55" s="219">
        <v>0</v>
      </c>
      <c r="C55" s="70">
        <v>0</v>
      </c>
      <c r="D55" s="9"/>
      <c r="E55" s="9"/>
      <c r="F55" s="9"/>
    </row>
    <row r="56" spans="1:6" ht="39.75" customHeight="1" hidden="1">
      <c r="A56" s="6" t="s">
        <v>172</v>
      </c>
      <c r="B56" s="219">
        <v>0</v>
      </c>
      <c r="C56" s="70">
        <v>0</v>
      </c>
      <c r="D56" s="9"/>
      <c r="E56" s="9"/>
      <c r="F56" s="9"/>
    </row>
    <row r="57" spans="1:5" ht="18.75">
      <c r="A57" s="6" t="s">
        <v>138</v>
      </c>
      <c r="B57" s="220">
        <v>1210</v>
      </c>
      <c r="C57" s="70">
        <v>2242</v>
      </c>
      <c r="D57" s="9"/>
      <c r="E57" s="9"/>
    </row>
    <row r="58" spans="1:5" ht="19.5" customHeight="1">
      <c r="A58" s="6" t="s">
        <v>72</v>
      </c>
      <c r="B58" s="105">
        <f>143-1</f>
        <v>142</v>
      </c>
      <c r="C58" s="214">
        <v>12142</v>
      </c>
      <c r="D58" s="9"/>
      <c r="E58" s="9"/>
    </row>
    <row r="59" spans="1:5" ht="18.75">
      <c r="A59" s="6" t="s">
        <v>78</v>
      </c>
      <c r="B59" s="70">
        <v>0</v>
      </c>
      <c r="C59" s="70">
        <v>16631</v>
      </c>
      <c r="D59" s="9"/>
      <c r="E59" s="9"/>
    </row>
    <row r="60" spans="1:5" ht="19.5" thickBot="1">
      <c r="A60" s="6" t="s">
        <v>26</v>
      </c>
      <c r="B60" s="232">
        <v>89748</v>
      </c>
      <c r="C60" s="217">
        <v>98012</v>
      </c>
      <c r="D60" s="9"/>
      <c r="E60" s="9"/>
    </row>
    <row r="61" spans="1:3" ht="19.5" hidden="1" thickBot="1">
      <c r="A61" s="10" t="s">
        <v>22</v>
      </c>
      <c r="B61" s="7">
        <f>SUM(B51:B60)</f>
        <v>184291</v>
      </c>
      <c r="C61" s="7">
        <f>SUM(C51:C60)</f>
        <v>221902</v>
      </c>
    </row>
    <row r="62" spans="1:3" ht="19.5" hidden="1" thickBot="1">
      <c r="A62" s="11" t="s">
        <v>23</v>
      </c>
      <c r="B62" s="70">
        <v>0</v>
      </c>
      <c r="C62" s="70">
        <v>0</v>
      </c>
    </row>
    <row r="63" spans="1:3" ht="19.5" thickBot="1">
      <c r="A63" s="10" t="s">
        <v>24</v>
      </c>
      <c r="B63" s="12">
        <f>B61+B62</f>
        <v>184291</v>
      </c>
      <c r="C63" s="12">
        <f>C61+C62</f>
        <v>221902</v>
      </c>
    </row>
    <row r="64" spans="1:3" ht="19.5" thickBot="1">
      <c r="A64" s="10" t="s">
        <v>25</v>
      </c>
      <c r="B64" s="7">
        <f>B63+B49</f>
        <v>2212754</v>
      </c>
      <c r="C64" s="7">
        <f>C63+C49</f>
        <v>2291110</v>
      </c>
    </row>
    <row r="65" spans="1:3" ht="18.75">
      <c r="A65" s="181" t="s">
        <v>43</v>
      </c>
      <c r="B65" s="172">
        <f>B36-B64</f>
        <v>0</v>
      </c>
      <c r="C65" s="172">
        <f>C36-C64</f>
        <v>0</v>
      </c>
    </row>
    <row r="67" ht="18.75" hidden="1">
      <c r="A67" s="257" t="s">
        <v>201</v>
      </c>
    </row>
    <row r="68" ht="18.75" hidden="1">
      <c r="A68" s="257" t="s">
        <v>206</v>
      </c>
    </row>
    <row r="70" spans="1:2" ht="18.75">
      <c r="A70" s="75" t="s">
        <v>204</v>
      </c>
      <c r="B70" s="99" t="s">
        <v>205</v>
      </c>
    </row>
    <row r="71" spans="1:9" s="1" customFormat="1" ht="18.75">
      <c r="A71" s="48"/>
      <c r="B71" s="18"/>
      <c r="D71" s="2"/>
      <c r="E71" s="2"/>
      <c r="F71" s="2"/>
      <c r="G71" s="2"/>
      <c r="H71" s="2"/>
      <c r="I71" s="2"/>
    </row>
    <row r="72" spans="1:9" s="1" customFormat="1" ht="18.75">
      <c r="A72" s="49"/>
      <c r="B72" s="18"/>
      <c r="D72" s="2"/>
      <c r="E72" s="2"/>
      <c r="F72" s="2"/>
      <c r="G72" s="2"/>
      <c r="H72" s="2"/>
      <c r="I72" s="2"/>
    </row>
    <row r="73" spans="1:9" s="1" customFormat="1" ht="18.75">
      <c r="A73" s="50" t="s">
        <v>144</v>
      </c>
      <c r="B73" s="106" t="s">
        <v>145</v>
      </c>
      <c r="D73" s="2"/>
      <c r="E73" s="2"/>
      <c r="F73" s="2"/>
      <c r="G73" s="2"/>
      <c r="H73" s="2"/>
      <c r="I73" s="2"/>
    </row>
    <row r="74" spans="1:9" s="1" customFormat="1" ht="18.75">
      <c r="A74" s="50"/>
      <c r="B74" s="106"/>
      <c r="D74" s="2"/>
      <c r="E74" s="2"/>
      <c r="F74" s="2"/>
      <c r="G74" s="2"/>
      <c r="H74" s="2"/>
      <c r="I74" s="2"/>
    </row>
    <row r="75" spans="1:9" s="1" customFormat="1" ht="18.75">
      <c r="A75" s="50"/>
      <c r="B75" s="106"/>
      <c r="D75" s="2"/>
      <c r="E75" s="2"/>
      <c r="F75" s="2"/>
      <c r="G75" s="2"/>
      <c r="H75" s="2"/>
      <c r="I75" s="2"/>
    </row>
    <row r="76" spans="1:9" s="1" customFormat="1" ht="18.75">
      <c r="A76" s="76" t="s">
        <v>105</v>
      </c>
      <c r="B76" s="18"/>
      <c r="D76" s="2"/>
      <c r="E76" s="2"/>
      <c r="F76" s="2"/>
      <c r="G76" s="2"/>
      <c r="H76" s="2"/>
      <c r="I76" s="2"/>
    </row>
    <row r="77" spans="1:9" s="1" customFormat="1" ht="19.5">
      <c r="A77" s="77" t="s">
        <v>106</v>
      </c>
      <c r="B77" s="18"/>
      <c r="D77" s="2"/>
      <c r="E77" s="2"/>
      <c r="F77" s="2"/>
      <c r="G77" s="2"/>
      <c r="H77" s="2"/>
      <c r="I77" s="2"/>
    </row>
    <row r="78" spans="1:9" s="1" customFormat="1" ht="18.75">
      <c r="A78" s="78" t="s">
        <v>107</v>
      </c>
      <c r="B78" s="18"/>
      <c r="D78" s="2"/>
      <c r="E78" s="2"/>
      <c r="F78" s="2"/>
      <c r="G78" s="2"/>
      <c r="H78" s="2"/>
      <c r="I78" s="2"/>
    </row>
    <row r="79" spans="1:9" s="1" customFormat="1" ht="18.75">
      <c r="A79" s="15"/>
      <c r="B79" s="18"/>
      <c r="D79" s="2"/>
      <c r="E79" s="2"/>
      <c r="F79" s="2"/>
      <c r="G79" s="2"/>
      <c r="H79" s="2"/>
      <c r="I79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8" max="2" man="1"/>
  </rowBreaks>
  <colBreaks count="4" manualBreakCount="4">
    <brk id="3" max="65535" man="1"/>
    <brk id="16" max="65535" man="1"/>
    <brk id="3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3"/>
  <sheetViews>
    <sheetView zoomScaleSheetLayoutView="80" zoomScalePageLayoutView="0" workbookViewId="0" topLeftCell="A10">
      <selection activeCell="B16" sqref="B16"/>
    </sheetView>
  </sheetViews>
  <sheetFormatPr defaultColWidth="9.140625" defaultRowHeight="15"/>
  <cols>
    <col min="1" max="1" width="91.140625" style="81" customWidth="1"/>
    <col min="2" max="2" width="29.140625" style="114" customWidth="1"/>
    <col min="3" max="3" width="29.57421875" style="114" customWidth="1"/>
    <col min="4" max="4" width="9.140625" style="81" customWidth="1"/>
    <col min="5" max="5" width="21.140625" style="81" customWidth="1"/>
    <col min="6" max="6" width="13.421875" style="81" bestFit="1" customWidth="1"/>
    <col min="7" max="16384" width="9.140625" style="81" customWidth="1"/>
  </cols>
  <sheetData>
    <row r="1" spans="1:3" s="68" customFormat="1" ht="18.75">
      <c r="A1" s="66" t="str">
        <f>'[2]ф.1 конс.'!A1</f>
        <v>БИН                920140000084</v>
      </c>
      <c r="B1" s="185"/>
      <c r="C1" s="209"/>
    </row>
    <row r="2" spans="1:3" s="68" customFormat="1" ht="18.75">
      <c r="A2" s="68" t="str">
        <f>'[2]ф.1 конс.'!A2</f>
        <v>Код ОКПО             19924793</v>
      </c>
      <c r="B2" s="186"/>
      <c r="C2" s="186"/>
    </row>
    <row r="3" spans="1:3" s="68" customFormat="1" ht="18.75">
      <c r="A3" s="68" t="str">
        <f>'[2]ф.1 конс.'!A3</f>
        <v>БИК                   TSESKZKA</v>
      </c>
      <c r="B3" s="186"/>
      <c r="C3" s="186"/>
    </row>
    <row r="4" spans="1:3" s="68" customFormat="1" ht="18.75">
      <c r="A4" s="68" t="str">
        <f>'[2]ф.1 конс.'!A4</f>
        <v>ИИК KZ48125KZT1001300336 в НБ РК</v>
      </c>
      <c r="B4" s="186"/>
      <c r="C4" s="186"/>
    </row>
    <row r="5" spans="1:3" s="68" customFormat="1" ht="18.75">
      <c r="A5" s="66" t="str">
        <f>'[2]ф.1 конс.'!A5</f>
        <v>Место нахождения головного банка: г.Астана, район Есиль, ул. Сығанақ, д. 24</v>
      </c>
      <c r="B5" s="185"/>
      <c r="C5" s="185"/>
    </row>
    <row r="6" spans="1:3" s="80" customFormat="1" ht="16.5">
      <c r="A6" s="79"/>
      <c r="B6" s="187"/>
      <c r="C6" s="187"/>
    </row>
    <row r="7" spans="1:3" s="80" customFormat="1" ht="19.5">
      <c r="A7" s="265" t="s">
        <v>28</v>
      </c>
      <c r="B7" s="265"/>
      <c r="C7" s="265"/>
    </row>
    <row r="8" spans="1:3" s="80" customFormat="1" ht="19.5">
      <c r="A8" s="265" t="s">
        <v>1</v>
      </c>
      <c r="B8" s="265"/>
      <c r="C8" s="265"/>
    </row>
    <row r="9" spans="1:3" s="80" customFormat="1" ht="19.5">
      <c r="A9" s="265" t="s">
        <v>68</v>
      </c>
      <c r="B9" s="265"/>
      <c r="C9" s="265"/>
    </row>
    <row r="10" spans="1:3" s="80" customFormat="1" ht="19.5">
      <c r="A10" s="265" t="s">
        <v>187</v>
      </c>
      <c r="B10" s="265"/>
      <c r="C10" s="265"/>
    </row>
    <row r="11" spans="1:3" ht="19.5" customHeight="1">
      <c r="A11" s="264" t="str">
        <f>'ф.1'!A11</f>
        <v>(без учета заключительных оборотов)</v>
      </c>
      <c r="B11" s="264"/>
      <c r="C11" s="264"/>
    </row>
    <row r="12" spans="1:3" ht="17.25" thickBot="1">
      <c r="A12" s="83"/>
      <c r="B12" s="188"/>
      <c r="C12" s="189" t="str">
        <f>'ф.1'!C12</f>
        <v>млн тенге</v>
      </c>
    </row>
    <row r="13" spans="1:6" s="2" customFormat="1" ht="24.75" customHeight="1" thickBot="1">
      <c r="A13" s="144"/>
      <c r="B13" s="98" t="s">
        <v>188</v>
      </c>
      <c r="C13" s="98" t="s">
        <v>189</v>
      </c>
      <c r="F13" s="84"/>
    </row>
    <row r="14" spans="1:3" s="2" customFormat="1" ht="18.75" hidden="1">
      <c r="A14" s="140"/>
      <c r="B14" s="190"/>
      <c r="C14" s="191"/>
    </row>
    <row r="15" spans="1:3" s="2" customFormat="1" ht="18.75">
      <c r="A15" s="141" t="s">
        <v>29</v>
      </c>
      <c r="B15" s="221">
        <v>96128</v>
      </c>
      <c r="C15" s="221">
        <v>99978</v>
      </c>
    </row>
    <row r="16" spans="1:3" s="2" customFormat="1" ht="19.5" thickBot="1">
      <c r="A16" s="6" t="s">
        <v>30</v>
      </c>
      <c r="B16" s="221">
        <v>-60882</v>
      </c>
      <c r="C16" s="240">
        <v>-60303</v>
      </c>
    </row>
    <row r="17" spans="1:3" s="2" customFormat="1" ht="18.75" hidden="1">
      <c r="A17" s="63" t="s">
        <v>137</v>
      </c>
      <c r="B17" s="241">
        <f>-125+5</f>
        <v>-120</v>
      </c>
      <c r="C17" s="242">
        <v>-126</v>
      </c>
    </row>
    <row r="18" spans="1:3" s="2" customFormat="1" ht="19.5" hidden="1" thickBot="1">
      <c r="A18" s="63"/>
      <c r="B18" s="110"/>
      <c r="C18" s="243"/>
    </row>
    <row r="19" spans="1:3" s="2" customFormat="1" ht="19.5" thickBot="1">
      <c r="A19" s="10" t="s">
        <v>31</v>
      </c>
      <c r="B19" s="222">
        <f>B15+B16</f>
        <v>35246</v>
      </c>
      <c r="C19" s="222">
        <f>C15+C16</f>
        <v>39675</v>
      </c>
    </row>
    <row r="20" spans="1:3" s="2" customFormat="1" ht="18.75">
      <c r="A20" s="6" t="s">
        <v>32</v>
      </c>
      <c r="B20" s="221">
        <v>6235</v>
      </c>
      <c r="C20" s="240">
        <v>8354</v>
      </c>
    </row>
    <row r="21" spans="1:3" s="2" customFormat="1" ht="19.5" thickBot="1">
      <c r="A21" s="6" t="s">
        <v>33</v>
      </c>
      <c r="B21" s="221">
        <v>-1951</v>
      </c>
      <c r="C21" s="240">
        <v>-1658</v>
      </c>
    </row>
    <row r="22" spans="1:3" s="2" customFormat="1" ht="19.5" thickBot="1">
      <c r="A22" s="10" t="s">
        <v>34</v>
      </c>
      <c r="B22" s="222">
        <f>SUM(B20:B21)</f>
        <v>4284</v>
      </c>
      <c r="C22" s="222">
        <f>SUM(C20:C21)</f>
        <v>6696</v>
      </c>
    </row>
    <row r="23" spans="1:3" s="2" customFormat="1" ht="18.75">
      <c r="A23" s="142" t="s">
        <v>89</v>
      </c>
      <c r="B23" s="221">
        <v>3093</v>
      </c>
      <c r="C23" s="240">
        <v>2755</v>
      </c>
    </row>
    <row r="24" spans="1:3" s="2" customFormat="1" ht="18.75">
      <c r="A24" s="142" t="s">
        <v>108</v>
      </c>
      <c r="B24" s="221">
        <v>-1079</v>
      </c>
      <c r="C24" s="240">
        <v>-1167</v>
      </c>
    </row>
    <row r="25" spans="1:3" s="2" customFormat="1" ht="18.75">
      <c r="A25" s="141" t="s">
        <v>109</v>
      </c>
      <c r="B25" s="256">
        <f>B23+B24</f>
        <v>2014</v>
      </c>
      <c r="C25" s="256">
        <f>C23+C24</f>
        <v>1588</v>
      </c>
    </row>
    <row r="26" spans="1:3" s="2" customFormat="1" ht="18.75">
      <c r="A26" s="141" t="s">
        <v>110</v>
      </c>
      <c r="B26" s="221">
        <v>-243</v>
      </c>
      <c r="C26" s="240">
        <v>-408</v>
      </c>
    </row>
    <row r="27" spans="1:3" s="2" customFormat="1" ht="38.25" thickBot="1">
      <c r="A27" s="143" t="s">
        <v>111</v>
      </c>
      <c r="B27" s="221">
        <v>299</v>
      </c>
      <c r="C27" s="240">
        <v>736</v>
      </c>
    </row>
    <row r="28" spans="1:3" s="2" customFormat="1" ht="19.5" thickBot="1">
      <c r="A28" s="10" t="s">
        <v>112</v>
      </c>
      <c r="B28" s="222">
        <f>B25+B26+B27</f>
        <v>2070</v>
      </c>
      <c r="C28" s="222">
        <f>C25+C26+C27</f>
        <v>1916</v>
      </c>
    </row>
    <row r="29" spans="1:3" s="2" customFormat="1" ht="18.75">
      <c r="A29" s="141" t="s">
        <v>85</v>
      </c>
      <c r="B29" s="221">
        <v>-1277</v>
      </c>
      <c r="C29" s="240">
        <v>-892</v>
      </c>
    </row>
    <row r="30" spans="1:3" s="2" customFormat="1" ht="18.75">
      <c r="A30" s="141" t="s">
        <v>86</v>
      </c>
      <c r="B30" s="221">
        <v>678</v>
      </c>
      <c r="C30" s="240">
        <v>0</v>
      </c>
    </row>
    <row r="31" spans="1:3" s="2" customFormat="1" ht="18.75">
      <c r="A31" s="141" t="s">
        <v>87</v>
      </c>
      <c r="B31" s="255">
        <f>B29+B30</f>
        <v>-599</v>
      </c>
      <c r="C31" s="255">
        <f>C29+C30</f>
        <v>-892</v>
      </c>
    </row>
    <row r="32" spans="1:3" s="2" customFormat="1" ht="18.75">
      <c r="A32" s="141" t="s">
        <v>123</v>
      </c>
      <c r="B32" s="221">
        <v>893</v>
      </c>
      <c r="C32" s="240">
        <v>-31</v>
      </c>
    </row>
    <row r="33" spans="1:3" s="2" customFormat="1" ht="19.5" thickBot="1">
      <c r="A33" s="141" t="s">
        <v>135</v>
      </c>
      <c r="B33" s="221">
        <v>-931</v>
      </c>
      <c r="C33" s="240">
        <v>19</v>
      </c>
    </row>
    <row r="34" spans="1:3" s="2" customFormat="1" ht="19.5" thickBot="1">
      <c r="A34" s="10" t="s">
        <v>88</v>
      </c>
      <c r="B34" s="222">
        <f>B31+B32+B33</f>
        <v>-637</v>
      </c>
      <c r="C34" s="222">
        <f>C31+C32+C33</f>
        <v>-904</v>
      </c>
    </row>
    <row r="35" spans="1:3" s="2" customFormat="1" ht="59.25" customHeight="1">
      <c r="A35" s="6" t="s">
        <v>157</v>
      </c>
      <c r="B35" s="221">
        <v>-142</v>
      </c>
      <c r="C35" s="240">
        <v>-293</v>
      </c>
    </row>
    <row r="36" spans="1:3" s="2" customFormat="1" ht="39" customHeight="1">
      <c r="A36" s="6" t="s">
        <v>167</v>
      </c>
      <c r="B36" s="221">
        <v>4937</v>
      </c>
      <c r="C36" s="240">
        <v>1415</v>
      </c>
    </row>
    <row r="37" spans="1:3" s="2" customFormat="1" ht="36" customHeight="1">
      <c r="A37" s="6" t="s">
        <v>158</v>
      </c>
      <c r="B37" s="221">
        <v>-13</v>
      </c>
      <c r="C37" s="240">
        <v>24</v>
      </c>
    </row>
    <row r="38" spans="1:3" s="2" customFormat="1" ht="18.75">
      <c r="A38" s="6" t="s">
        <v>166</v>
      </c>
      <c r="B38" s="221">
        <v>0</v>
      </c>
      <c r="C38" s="240">
        <v>285</v>
      </c>
    </row>
    <row r="39" spans="1:3" s="2" customFormat="1" ht="18.75">
      <c r="A39" s="6" t="s">
        <v>35</v>
      </c>
      <c r="B39" s="221">
        <v>55</v>
      </c>
      <c r="C39" s="240">
        <v>4</v>
      </c>
    </row>
    <row r="40" spans="1:3" s="2" customFormat="1" ht="18.75">
      <c r="A40" s="6" t="s">
        <v>169</v>
      </c>
      <c r="B40" s="221">
        <v>808</v>
      </c>
      <c r="C40" s="240">
        <v>0</v>
      </c>
    </row>
    <row r="41" spans="1:5" s="2" customFormat="1" ht="19.5" thickBot="1">
      <c r="A41" s="6" t="s">
        <v>113</v>
      </c>
      <c r="B41" s="221">
        <v>1833</v>
      </c>
      <c r="C41" s="240">
        <v>2005</v>
      </c>
      <c r="E41" s="182"/>
    </row>
    <row r="42" spans="1:3" s="2" customFormat="1" ht="19.5" thickBot="1">
      <c r="A42" s="10" t="s">
        <v>83</v>
      </c>
      <c r="B42" s="224">
        <f>SUM(B35:B41)</f>
        <v>7478</v>
      </c>
      <c r="C42" s="224">
        <f>C35+C36+C39+C41+C37+C38</f>
        <v>3440</v>
      </c>
    </row>
    <row r="43" spans="1:3" s="2" customFormat="1" ht="18.75">
      <c r="A43" s="6" t="s">
        <v>36</v>
      </c>
      <c r="B43" s="221">
        <v>-20664</v>
      </c>
      <c r="C43" s="240">
        <v>-15018</v>
      </c>
    </row>
    <row r="44" spans="1:3" s="2" customFormat="1" ht="18.75">
      <c r="A44" s="6" t="s">
        <v>114</v>
      </c>
      <c r="B44" s="221">
        <v>-13352</v>
      </c>
      <c r="C44" s="240">
        <v>-12103</v>
      </c>
    </row>
    <row r="45" spans="1:3" s="2" customFormat="1" ht="19.5" thickBot="1">
      <c r="A45" s="6" t="s">
        <v>115</v>
      </c>
      <c r="B45" s="221">
        <v>-16450</v>
      </c>
      <c r="C45" s="240">
        <v>-13516</v>
      </c>
    </row>
    <row r="46" spans="1:3" s="2" customFormat="1" ht="19.5" thickBot="1">
      <c r="A46" s="10" t="s">
        <v>37</v>
      </c>
      <c r="B46" s="224">
        <f>SUM(B43:B45)</f>
        <v>-50466</v>
      </c>
      <c r="C46" s="224">
        <f>SUM(C43:C45)</f>
        <v>-40637</v>
      </c>
    </row>
    <row r="47" spans="1:3" s="2" customFormat="1" ht="18.75">
      <c r="A47" s="87" t="s">
        <v>38</v>
      </c>
      <c r="B47" s="225">
        <f>B19+B22+B28+B34+B42+B46</f>
        <v>-2025</v>
      </c>
      <c r="C47" s="225">
        <f>C19+C22+C28+C34+C42+C46</f>
        <v>10186</v>
      </c>
    </row>
    <row r="48" spans="1:3" s="2" customFormat="1" ht="19.5" thickBot="1">
      <c r="A48" s="6" t="s">
        <v>39</v>
      </c>
      <c r="B48" s="221">
        <v>5080</v>
      </c>
      <c r="C48" s="240">
        <v>-750</v>
      </c>
    </row>
    <row r="49" spans="1:3" s="2" customFormat="1" ht="19.5" thickBot="1">
      <c r="A49" s="10" t="s">
        <v>160</v>
      </c>
      <c r="B49" s="226">
        <f>SUM(B47:B48)</f>
        <v>3055</v>
      </c>
      <c r="C49" s="226">
        <f>SUM(C47:C48)</f>
        <v>9436</v>
      </c>
    </row>
    <row r="50" spans="1:3" s="2" customFormat="1" ht="21.75" customHeight="1" hidden="1">
      <c r="A50" s="118" t="s">
        <v>140</v>
      </c>
      <c r="B50" s="192"/>
      <c r="C50" s="244"/>
    </row>
    <row r="51" spans="1:3" s="2" customFormat="1" ht="18.75" hidden="1">
      <c r="A51" s="6" t="s">
        <v>141</v>
      </c>
      <c r="B51" s="193">
        <f>B49</f>
        <v>3055</v>
      </c>
      <c r="C51" s="245">
        <f>C49</f>
        <v>9436</v>
      </c>
    </row>
    <row r="52" spans="1:3" s="2" customFormat="1" ht="19.5" hidden="1" thickBot="1">
      <c r="A52" s="141" t="s">
        <v>163</v>
      </c>
      <c r="B52" s="194">
        <v>0</v>
      </c>
      <c r="C52" s="246">
        <v>0</v>
      </c>
    </row>
    <row r="53" spans="1:3" s="2" customFormat="1" ht="19.5" thickBot="1">
      <c r="A53" s="118"/>
      <c r="B53" s="192"/>
      <c r="C53" s="244"/>
    </row>
    <row r="54" spans="1:3" s="115" customFormat="1" ht="19.5" thickBot="1">
      <c r="A54" s="113" t="s">
        <v>74</v>
      </c>
      <c r="B54" s="180"/>
      <c r="C54" s="113"/>
    </row>
    <row r="55" spans="1:3" ht="37.5">
      <c r="A55" s="86" t="s">
        <v>84</v>
      </c>
      <c r="B55" s="195"/>
      <c r="C55" s="247"/>
    </row>
    <row r="56" spans="1:3" ht="37.5">
      <c r="A56" s="6" t="s">
        <v>40</v>
      </c>
      <c r="B56" s="227"/>
      <c r="C56" s="107"/>
    </row>
    <row r="57" spans="1:3" ht="18.75">
      <c r="A57" s="6" t="s">
        <v>41</v>
      </c>
      <c r="B57" s="228">
        <v>204</v>
      </c>
      <c r="C57" s="248">
        <v>355</v>
      </c>
    </row>
    <row r="58" spans="1:3" ht="37.5">
      <c r="A58" s="88" t="s">
        <v>42</v>
      </c>
      <c r="B58" s="228">
        <v>13</v>
      </c>
      <c r="C58" s="248">
        <v>40</v>
      </c>
    </row>
    <row r="59" spans="1:3" ht="41.25" customHeight="1" hidden="1">
      <c r="A59" s="88" t="s">
        <v>174</v>
      </c>
      <c r="B59" s="228">
        <v>0</v>
      </c>
      <c r="C59" s="248">
        <v>0</v>
      </c>
    </row>
    <row r="60" spans="1:3" ht="63" customHeight="1" hidden="1">
      <c r="A60" s="88" t="s">
        <v>175</v>
      </c>
      <c r="B60" s="228">
        <v>0</v>
      </c>
      <c r="C60" s="248">
        <v>0</v>
      </c>
    </row>
    <row r="61" spans="1:3" ht="42.75" customHeight="1" hidden="1">
      <c r="A61" s="88" t="s">
        <v>176</v>
      </c>
      <c r="B61" s="228">
        <v>0</v>
      </c>
      <c r="C61" s="248">
        <v>0</v>
      </c>
    </row>
    <row r="62" spans="1:3" ht="42.75" customHeight="1" hidden="1">
      <c r="A62" s="88" t="s">
        <v>183</v>
      </c>
      <c r="B62" s="228">
        <f>-2*0</f>
        <v>0</v>
      </c>
      <c r="C62" s="248"/>
    </row>
    <row r="63" spans="1:3" ht="42.75" customHeight="1" hidden="1">
      <c r="A63" s="88" t="s">
        <v>184</v>
      </c>
      <c r="B63" s="228">
        <v>0</v>
      </c>
      <c r="C63" s="248"/>
    </row>
    <row r="64" spans="1:3" ht="37.5">
      <c r="A64" s="145" t="s">
        <v>139</v>
      </c>
      <c r="B64" s="228">
        <v>-1032</v>
      </c>
      <c r="C64" s="248">
        <v>90</v>
      </c>
    </row>
    <row r="65" spans="1:3" ht="38.25" thickBot="1">
      <c r="A65" s="165" t="s">
        <v>80</v>
      </c>
      <c r="B65" s="229">
        <f>SUM(B57:B64)</f>
        <v>-815</v>
      </c>
      <c r="C65" s="223">
        <f>C57+C58+C64</f>
        <v>485</v>
      </c>
    </row>
    <row r="66" spans="1:3" s="114" customFormat="1" ht="19.5" thickBot="1">
      <c r="A66" s="258" t="s">
        <v>161</v>
      </c>
      <c r="B66" s="249">
        <f>B65</f>
        <v>-815</v>
      </c>
      <c r="C66" s="249">
        <f>C65</f>
        <v>485</v>
      </c>
    </row>
    <row r="67" spans="1:3" s="114" customFormat="1" ht="19.5" thickBot="1">
      <c r="A67" s="259" t="s">
        <v>142</v>
      </c>
      <c r="B67" s="249">
        <f>B49+B66</f>
        <v>2240</v>
      </c>
      <c r="C67" s="249">
        <f>C49+C66</f>
        <v>9921</v>
      </c>
    </row>
    <row r="68" spans="1:3" s="114" customFormat="1" ht="19.5" thickBot="1">
      <c r="A68" s="174" t="s">
        <v>202</v>
      </c>
      <c r="B68" s="261">
        <v>51</v>
      </c>
      <c r="C68" s="261">
        <v>160</v>
      </c>
    </row>
    <row r="69" spans="1:3" s="114" customFormat="1" ht="19.5" thickBot="1">
      <c r="A69" s="174" t="s">
        <v>203</v>
      </c>
      <c r="B69" s="261">
        <v>51</v>
      </c>
      <c r="C69" s="260">
        <v>0</v>
      </c>
    </row>
    <row r="70" spans="1:3" ht="18.75">
      <c r="A70" s="65"/>
      <c r="B70" s="17"/>
      <c r="C70" s="17"/>
    </row>
    <row r="71" spans="1:3" ht="18.75">
      <c r="A71" s="89" t="s">
        <v>43</v>
      </c>
      <c r="B71" s="196"/>
      <c r="C71" s="196"/>
    </row>
    <row r="72" spans="1:3" ht="19.5">
      <c r="A72" s="16"/>
      <c r="B72" s="16"/>
      <c r="C72" s="16"/>
    </row>
    <row r="73" spans="1:3" ht="18.75">
      <c r="A73" s="75" t="str">
        <f>'ф.1'!A70</f>
        <v>И.о. Председателя Правления                                              </v>
      </c>
      <c r="B73" s="99" t="str">
        <f>'ф.1'!B70</f>
        <v>Бойко О.А.</v>
      </c>
      <c r="C73" s="99"/>
    </row>
    <row r="74" spans="1:3" ht="18.75">
      <c r="A74" s="48"/>
      <c r="B74" s="134"/>
      <c r="C74" s="127"/>
    </row>
    <row r="75" spans="1:3" ht="18.75">
      <c r="A75" s="49"/>
      <c r="B75" s="18"/>
      <c r="C75" s="128"/>
    </row>
    <row r="76" spans="1:3" ht="18.75" customHeight="1">
      <c r="A76" s="50" t="str">
        <f>'ф.1'!A73</f>
        <v>Главный бухгалтер                                                        </v>
      </c>
      <c r="B76" s="99" t="str">
        <f>'ф.1'!B73</f>
        <v>Багаутдинова Н.М.</v>
      </c>
      <c r="C76" s="197"/>
    </row>
    <row r="77" spans="1:3" ht="20.25">
      <c r="A77" s="13"/>
      <c r="B77" s="198"/>
      <c r="C77" s="198"/>
    </row>
    <row r="78" spans="1:3" ht="18.75">
      <c r="A78" s="17"/>
      <c r="B78" s="17"/>
      <c r="C78" s="17"/>
    </row>
    <row r="79" spans="1:3" ht="16.5">
      <c r="A79" s="76" t="s">
        <v>105</v>
      </c>
      <c r="B79" s="199"/>
      <c r="C79" s="199"/>
    </row>
    <row r="80" spans="1:3" ht="19.5">
      <c r="A80" s="77" t="s">
        <v>106</v>
      </c>
      <c r="B80" s="200"/>
      <c r="C80" s="200"/>
    </row>
    <row r="81" spans="1:3" ht="16.5">
      <c r="A81" s="78" t="s">
        <v>107</v>
      </c>
      <c r="B81" s="201"/>
      <c r="C81" s="201"/>
    </row>
    <row r="83" spans="1:3" ht="16.5">
      <c r="A83" s="15"/>
      <c r="B83" s="202"/>
      <c r="C83" s="202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L80"/>
  <sheetViews>
    <sheetView zoomScalePageLayoutView="0" workbookViewId="0" topLeftCell="A47">
      <selection activeCell="A63" sqref="A63:IV65"/>
    </sheetView>
  </sheetViews>
  <sheetFormatPr defaultColWidth="9.140625" defaultRowHeight="15"/>
  <cols>
    <col min="1" max="1" width="9.140625" style="158" customWidth="1"/>
    <col min="2" max="2" width="73.421875" style="0" customWidth="1"/>
    <col min="3" max="3" width="22.28125" style="18" customWidth="1"/>
    <col min="4" max="4" width="21.00390625" style="18" customWidth="1"/>
    <col min="7" max="7" width="13.7109375" style="0" customWidth="1"/>
    <col min="12" max="12" width="15.7109375" style="0" bestFit="1" customWidth="1"/>
  </cols>
  <sheetData>
    <row r="1" spans="2:4" ht="15.75">
      <c r="B1" s="64" t="str">
        <f>'[1]ф.1 конс.'!A1</f>
        <v>БИН                920140000084</v>
      </c>
      <c r="C1" s="203"/>
      <c r="D1" s="230"/>
    </row>
    <row r="2" spans="2:4" ht="15.75">
      <c r="B2" s="64" t="str">
        <f>'[1]ф.1 конс.'!A2</f>
        <v>Код ОКПО             19924793</v>
      </c>
      <c r="C2" s="203"/>
      <c r="D2" s="203"/>
    </row>
    <row r="3" spans="2:4" ht="15.75">
      <c r="B3" s="64" t="str">
        <f>'[1]ф.1 конс.'!A3</f>
        <v>БИК                   TSESKZKA</v>
      </c>
      <c r="C3" s="203"/>
      <c r="D3" s="203"/>
    </row>
    <row r="4" spans="2:4" ht="15.75">
      <c r="B4" s="270" t="str">
        <f>'[1]ф.1 конс.'!A4</f>
        <v>ИИК KZ48125KZT1001300336 в НБ РК</v>
      </c>
      <c r="C4" s="270"/>
      <c r="D4" s="270"/>
    </row>
    <row r="5" spans="2:4" ht="15.75">
      <c r="B5" s="270" t="str">
        <f>'[1]ф.1 конс.'!A5</f>
        <v>Место нахождения головного банка: г.Астана, район Есиль, ул. Сығанақ, д. 24</v>
      </c>
      <c r="C5" s="270"/>
      <c r="D5" s="270"/>
    </row>
    <row r="6" ht="15">
      <c r="B6" s="18"/>
    </row>
    <row r="7" spans="2:12" ht="15">
      <c r="B7" s="267" t="s">
        <v>154</v>
      </c>
      <c r="C7" s="267"/>
      <c r="D7" s="267"/>
      <c r="L7" s="157"/>
    </row>
    <row r="8" spans="1:4" s="103" customFormat="1" ht="15">
      <c r="A8" s="158"/>
      <c r="B8" s="268" t="s">
        <v>67</v>
      </c>
      <c r="C8" s="268"/>
      <c r="D8" s="268"/>
    </row>
    <row r="9" spans="2:4" ht="15">
      <c r="B9" s="268" t="s">
        <v>68</v>
      </c>
      <c r="C9" s="268"/>
      <c r="D9" s="268"/>
    </row>
    <row r="10" spans="2:4" ht="15.75">
      <c r="B10" s="269" t="str">
        <f>'ф.2'!A10</f>
        <v>за период, закончившийся 30.06.2018 года</v>
      </c>
      <c r="C10" s="269"/>
      <c r="D10" s="269"/>
    </row>
    <row r="11" spans="2:4" ht="15.75">
      <c r="B11" s="266" t="str">
        <f>'ф.1'!A11</f>
        <v>(без учета заключительных оборотов)</v>
      </c>
      <c r="C11" s="266"/>
      <c r="D11" s="266"/>
    </row>
    <row r="12" ht="15.75" thickBot="1">
      <c r="D12" s="100" t="s">
        <v>146</v>
      </c>
    </row>
    <row r="13" spans="2:4" ht="15.75" thickBot="1">
      <c r="B13" s="22"/>
      <c r="C13" s="101" t="str">
        <f>'ф.2'!B13</f>
        <v>6 месяцев 2018г.*</v>
      </c>
      <c r="D13" s="101" t="str">
        <f>'ф.2'!C13</f>
        <v>6 месяцев 2017г.*</v>
      </c>
    </row>
    <row r="14" spans="2:4" ht="28.5">
      <c r="B14" s="166" t="s">
        <v>44</v>
      </c>
      <c r="C14" s="204"/>
      <c r="D14" s="205"/>
    </row>
    <row r="15" spans="2:9" ht="15">
      <c r="B15" s="167" t="s">
        <v>29</v>
      </c>
      <c r="C15" s="102">
        <v>64862</v>
      </c>
      <c r="D15" s="102">
        <v>72408</v>
      </c>
      <c r="G15" s="156"/>
      <c r="I15" s="156"/>
    </row>
    <row r="16" spans="2:9" ht="15">
      <c r="B16" s="167" t="s">
        <v>30</v>
      </c>
      <c r="C16" s="102">
        <v>-57517</v>
      </c>
      <c r="D16" s="102">
        <v>-62976</v>
      </c>
      <c r="G16" s="156"/>
      <c r="I16" s="156"/>
    </row>
    <row r="17" spans="2:9" ht="15">
      <c r="B17" s="167" t="s">
        <v>32</v>
      </c>
      <c r="C17" s="102">
        <v>6200</v>
      </c>
      <c r="D17" s="102">
        <v>7751</v>
      </c>
      <c r="G17" s="156"/>
      <c r="I17" s="156"/>
    </row>
    <row r="18" spans="2:9" ht="15">
      <c r="B18" s="167" t="s">
        <v>33</v>
      </c>
      <c r="C18" s="102">
        <v>-1942</v>
      </c>
      <c r="D18" s="102">
        <v>-1688</v>
      </c>
      <c r="G18" s="156"/>
      <c r="I18" s="156"/>
    </row>
    <row r="19" spans="2:9" ht="15">
      <c r="B19" s="167" t="s">
        <v>90</v>
      </c>
      <c r="C19" s="102">
        <v>2688</v>
      </c>
      <c r="D19" s="102">
        <v>1708</v>
      </c>
      <c r="G19" s="156"/>
      <c r="I19" s="156"/>
    </row>
    <row r="20" spans="2:9" ht="15">
      <c r="B20" s="167" t="s">
        <v>91</v>
      </c>
      <c r="C20" s="102">
        <v>-311</v>
      </c>
      <c r="D20" s="102">
        <v>-250</v>
      </c>
      <c r="G20" s="156"/>
      <c r="I20" s="156"/>
    </row>
    <row r="21" spans="2:9" ht="15">
      <c r="B21" s="167" t="s">
        <v>124</v>
      </c>
      <c r="C21" s="102">
        <v>-592</v>
      </c>
      <c r="D21" s="102">
        <v>-936</v>
      </c>
      <c r="G21" s="156"/>
      <c r="I21" s="156"/>
    </row>
    <row r="22" spans="2:9" ht="45">
      <c r="B22" s="169" t="s">
        <v>149</v>
      </c>
      <c r="C22" s="102">
        <v>308</v>
      </c>
      <c r="D22" s="102">
        <v>703</v>
      </c>
      <c r="G22" s="156"/>
      <c r="I22" s="156"/>
    </row>
    <row r="23" spans="2:9" ht="30">
      <c r="B23" s="169" t="s">
        <v>190</v>
      </c>
      <c r="C23" s="102">
        <v>2534</v>
      </c>
      <c r="D23" s="102">
        <v>2039</v>
      </c>
      <c r="G23" s="156"/>
      <c r="I23" s="156"/>
    </row>
    <row r="24" spans="2:9" ht="15">
      <c r="B24" s="167" t="s">
        <v>45</v>
      </c>
      <c r="C24" s="102">
        <v>55</v>
      </c>
      <c r="D24" s="102">
        <v>3</v>
      </c>
      <c r="G24" s="156"/>
      <c r="I24" s="156"/>
    </row>
    <row r="25" spans="2:9" ht="15">
      <c r="B25" s="167" t="s">
        <v>46</v>
      </c>
      <c r="C25" s="102">
        <v>2222</v>
      </c>
      <c r="D25" s="102">
        <v>1512</v>
      </c>
      <c r="G25" s="156"/>
      <c r="I25" s="156"/>
    </row>
    <row r="26" spans="2:9" ht="15">
      <c r="B26" s="167" t="s">
        <v>47</v>
      </c>
      <c r="C26" s="102">
        <v>-30040</v>
      </c>
      <c r="D26" s="102">
        <v>-22257</v>
      </c>
      <c r="G26" s="156"/>
      <c r="I26" s="156"/>
    </row>
    <row r="27" spans="2:9" ht="15">
      <c r="B27" s="168"/>
      <c r="C27" s="102"/>
      <c r="D27" s="102"/>
      <c r="G27" s="156"/>
      <c r="I27" s="156"/>
    </row>
    <row r="28" spans="2:9" ht="15">
      <c r="B28" s="168" t="s">
        <v>48</v>
      </c>
      <c r="C28" s="102"/>
      <c r="D28" s="102"/>
      <c r="G28" s="156"/>
      <c r="I28" s="156"/>
    </row>
    <row r="29" spans="2:9" ht="15">
      <c r="B29" s="167" t="s">
        <v>4</v>
      </c>
      <c r="C29" s="102">
        <v>226</v>
      </c>
      <c r="D29" s="102">
        <v>4403</v>
      </c>
      <c r="G29" s="156"/>
      <c r="I29" s="156"/>
    </row>
    <row r="30" spans="2:9" ht="15">
      <c r="B30" s="167" t="s">
        <v>82</v>
      </c>
      <c r="C30" s="102">
        <v>297</v>
      </c>
      <c r="D30" s="102">
        <v>533</v>
      </c>
      <c r="G30" s="156"/>
      <c r="I30" s="156"/>
    </row>
    <row r="31" spans="2:9" ht="30">
      <c r="B31" s="167" t="s">
        <v>125</v>
      </c>
      <c r="C31" s="102">
        <v>-4341</v>
      </c>
      <c r="D31" s="102">
        <v>41466</v>
      </c>
      <c r="G31" s="156"/>
      <c r="I31" s="156"/>
    </row>
    <row r="32" spans="2:9" ht="15">
      <c r="B32" s="167" t="s">
        <v>7</v>
      </c>
      <c r="C32" s="102">
        <v>-8358</v>
      </c>
      <c r="D32" s="102">
        <v>-50983</v>
      </c>
      <c r="G32" s="156"/>
      <c r="I32" s="156"/>
    </row>
    <row r="33" spans="2:9" ht="15">
      <c r="B33" s="167" t="s">
        <v>12</v>
      </c>
      <c r="C33" s="102">
        <v>-360</v>
      </c>
      <c r="D33" s="102">
        <v>-1718</v>
      </c>
      <c r="G33" s="156"/>
      <c r="I33" s="156"/>
    </row>
    <row r="34" spans="2:9" ht="15">
      <c r="B34" s="168"/>
      <c r="C34" s="102"/>
      <c r="D34" s="102"/>
      <c r="G34" s="156"/>
      <c r="I34" s="156"/>
    </row>
    <row r="35" spans="2:9" ht="15">
      <c r="B35" s="168" t="s">
        <v>49</v>
      </c>
      <c r="C35" s="102"/>
      <c r="D35" s="102"/>
      <c r="G35" s="156"/>
      <c r="I35" s="156"/>
    </row>
    <row r="36" spans="2:9" ht="15">
      <c r="B36" s="167" t="s">
        <v>104</v>
      </c>
      <c r="C36" s="102">
        <v>-4043</v>
      </c>
      <c r="D36" s="102">
        <v>-3489</v>
      </c>
      <c r="G36" s="156"/>
      <c r="I36" s="156"/>
    </row>
    <row r="37" spans="2:9" ht="15">
      <c r="B37" s="167" t="s">
        <v>14</v>
      </c>
      <c r="C37" s="102">
        <v>3458</v>
      </c>
      <c r="D37" s="102">
        <v>-6028</v>
      </c>
      <c r="G37" s="156"/>
      <c r="I37" s="156"/>
    </row>
    <row r="38" spans="2:9" ht="15">
      <c r="B38" s="167" t="s">
        <v>50</v>
      </c>
      <c r="C38" s="102">
        <v>-74824</v>
      </c>
      <c r="D38" s="102">
        <v>14065</v>
      </c>
      <c r="G38" s="156"/>
      <c r="I38" s="156"/>
    </row>
    <row r="39" spans="2:9" ht="15">
      <c r="B39" s="167" t="s">
        <v>51</v>
      </c>
      <c r="C39" s="102">
        <v>32857</v>
      </c>
      <c r="D39" s="102">
        <v>81055</v>
      </c>
      <c r="G39" s="156"/>
      <c r="I39" s="156"/>
    </row>
    <row r="40" spans="2:9" ht="15">
      <c r="B40" s="167" t="s">
        <v>52</v>
      </c>
      <c r="C40" s="102">
        <v>875</v>
      </c>
      <c r="D40" s="102">
        <v>-41</v>
      </c>
      <c r="G40" s="156"/>
      <c r="I40" s="156"/>
    </row>
    <row r="41" spans="2:9" ht="31.5">
      <c r="B41" s="176" t="s">
        <v>150</v>
      </c>
      <c r="C41" s="162">
        <f>SUM(C15:C40)</f>
        <v>-65746</v>
      </c>
      <c r="D41" s="162">
        <f>SUM(D15:D40)</f>
        <v>77280</v>
      </c>
      <c r="G41" s="156"/>
      <c r="I41" s="156"/>
    </row>
    <row r="42" spans="2:9" ht="15">
      <c r="B42" s="167" t="s">
        <v>53</v>
      </c>
      <c r="C42" s="102">
        <v>-661</v>
      </c>
      <c r="D42" s="102">
        <v>-2213</v>
      </c>
      <c r="G42" s="156"/>
      <c r="I42" s="156"/>
    </row>
    <row r="43" spans="2:9" ht="28.5">
      <c r="B43" s="175" t="s">
        <v>151</v>
      </c>
      <c r="C43" s="162">
        <f>C41+C42</f>
        <v>-66407</v>
      </c>
      <c r="D43" s="162">
        <f>D41+D42</f>
        <v>75067</v>
      </c>
      <c r="G43" s="156"/>
      <c r="I43" s="156"/>
    </row>
    <row r="44" spans="2:9" ht="28.5">
      <c r="B44" s="168" t="s">
        <v>54</v>
      </c>
      <c r="C44" s="206"/>
      <c r="D44" s="236"/>
      <c r="G44" s="156"/>
      <c r="I44" s="156"/>
    </row>
    <row r="45" spans="2:9" ht="15">
      <c r="B45" s="167" t="s">
        <v>130</v>
      </c>
      <c r="C45" s="102">
        <v>-6</v>
      </c>
      <c r="D45" s="102">
        <v>-785453</v>
      </c>
      <c r="G45" s="156"/>
      <c r="I45" s="156"/>
    </row>
    <row r="46" spans="2:9" ht="30">
      <c r="B46" s="167" t="s">
        <v>55</v>
      </c>
      <c r="C46" s="102">
        <v>28356</v>
      </c>
      <c r="D46" s="102">
        <v>720053</v>
      </c>
      <c r="G46" s="156"/>
      <c r="I46" s="156"/>
    </row>
    <row r="47" spans="2:9" ht="15">
      <c r="B47" s="167" t="s">
        <v>56</v>
      </c>
      <c r="C47" s="102">
        <v>-1189</v>
      </c>
      <c r="D47" s="102">
        <v>0</v>
      </c>
      <c r="G47" s="156"/>
      <c r="I47" s="156"/>
    </row>
    <row r="48" spans="2:9" ht="15">
      <c r="B48" s="167" t="s">
        <v>57</v>
      </c>
      <c r="C48" s="102">
        <v>312</v>
      </c>
      <c r="D48" s="102">
        <v>4006</v>
      </c>
      <c r="G48" s="156"/>
      <c r="I48" s="156"/>
    </row>
    <row r="49" spans="1:9" s="133" customFormat="1" ht="15.75" customHeight="1">
      <c r="A49" s="158"/>
      <c r="B49" s="167" t="s">
        <v>143</v>
      </c>
      <c r="C49" s="102">
        <v>32</v>
      </c>
      <c r="D49" s="102">
        <v>22</v>
      </c>
      <c r="G49" s="156"/>
      <c r="I49" s="156"/>
    </row>
    <row r="50" spans="2:9" ht="15">
      <c r="B50" s="169" t="s">
        <v>58</v>
      </c>
      <c r="C50" s="102">
        <v>-1966</v>
      </c>
      <c r="D50" s="102">
        <v>-1778</v>
      </c>
      <c r="G50" s="156"/>
      <c r="I50" s="156"/>
    </row>
    <row r="51" spans="2:9" ht="15">
      <c r="B51" s="170" t="s">
        <v>126</v>
      </c>
      <c r="C51" s="102">
        <v>21</v>
      </c>
      <c r="D51" s="102">
        <v>16</v>
      </c>
      <c r="G51" s="156"/>
      <c r="I51" s="156"/>
    </row>
    <row r="52" spans="2:9" s="158" customFormat="1" ht="15">
      <c r="B52" s="169" t="s">
        <v>179</v>
      </c>
      <c r="C52" s="102">
        <v>24540</v>
      </c>
      <c r="D52" s="102">
        <v>0</v>
      </c>
      <c r="G52" s="156"/>
      <c r="I52" s="156"/>
    </row>
    <row r="53" spans="2:9" ht="15">
      <c r="B53" s="169" t="s">
        <v>159</v>
      </c>
      <c r="C53" s="102">
        <v>0</v>
      </c>
      <c r="D53" s="102">
        <v>-15717</v>
      </c>
      <c r="G53" s="156"/>
      <c r="I53" s="156"/>
    </row>
    <row r="54" spans="2:9" ht="28.5">
      <c r="B54" s="175" t="s">
        <v>152</v>
      </c>
      <c r="C54" s="162">
        <f>SUM(C45:C53)</f>
        <v>50100</v>
      </c>
      <c r="D54" s="162">
        <f>SUM(D45:D53)</f>
        <v>-78851</v>
      </c>
      <c r="G54" s="156"/>
      <c r="I54" s="156"/>
    </row>
    <row r="55" spans="2:9" ht="15">
      <c r="B55" s="171"/>
      <c r="C55" s="237"/>
      <c r="D55" s="238"/>
      <c r="G55" s="156"/>
      <c r="I55" s="156"/>
    </row>
    <row r="56" spans="2:9" ht="28.5">
      <c r="B56" s="168" t="s">
        <v>59</v>
      </c>
      <c r="C56" s="206"/>
      <c r="D56" s="236"/>
      <c r="G56" s="156"/>
      <c r="I56" s="156"/>
    </row>
    <row r="57" spans="2:9" s="158" customFormat="1" ht="15">
      <c r="B57" s="167" t="s">
        <v>61</v>
      </c>
      <c r="C57" s="102">
        <v>0</v>
      </c>
      <c r="D57" s="102">
        <v>2100</v>
      </c>
      <c r="G57" s="156"/>
      <c r="I57" s="156"/>
    </row>
    <row r="58" spans="2:9" s="158" customFormat="1" ht="15">
      <c r="B58" s="169" t="s">
        <v>196</v>
      </c>
      <c r="C58" s="102">
        <v>-5</v>
      </c>
      <c r="D58" s="102">
        <v>-1</v>
      </c>
      <c r="G58" s="156"/>
      <c r="I58" s="156"/>
    </row>
    <row r="59" spans="2:9" ht="15">
      <c r="B59" s="167" t="s">
        <v>131</v>
      </c>
      <c r="C59" s="102">
        <v>-5452</v>
      </c>
      <c r="D59" s="102">
        <v>0</v>
      </c>
      <c r="G59" s="156"/>
      <c r="I59" s="156"/>
    </row>
    <row r="60" spans="2:9" s="158" customFormat="1" ht="15">
      <c r="B60" s="169" t="s">
        <v>197</v>
      </c>
      <c r="C60" s="102">
        <f>18-1</f>
        <v>17</v>
      </c>
      <c r="D60" s="102">
        <v>28</v>
      </c>
      <c r="G60" s="156"/>
      <c r="I60" s="156"/>
    </row>
    <row r="61" spans="2:9" ht="15">
      <c r="B61" s="167" t="s">
        <v>60</v>
      </c>
      <c r="C61" s="102">
        <v>3998</v>
      </c>
      <c r="D61" s="102">
        <v>0</v>
      </c>
      <c r="G61" s="156"/>
      <c r="I61" s="156"/>
    </row>
    <row r="62" spans="2:9" ht="15">
      <c r="B62" s="169" t="s">
        <v>198</v>
      </c>
      <c r="C62" s="102">
        <v>-10000</v>
      </c>
      <c r="D62" s="102">
        <v>-10440</v>
      </c>
      <c r="G62" s="156"/>
      <c r="I62" s="156"/>
    </row>
    <row r="63" spans="2:9" ht="28.5">
      <c r="B63" s="175" t="s">
        <v>155</v>
      </c>
      <c r="C63" s="162">
        <f>SUM(C57:C62)</f>
        <v>-11442</v>
      </c>
      <c r="D63" s="162">
        <f>SUM(D57:D62)</f>
        <v>-8313</v>
      </c>
      <c r="G63" s="156"/>
      <c r="I63" s="156"/>
    </row>
    <row r="64" spans="2:9" ht="15">
      <c r="B64" s="168"/>
      <c r="C64" s="206"/>
      <c r="D64" s="236"/>
      <c r="G64" s="156"/>
      <c r="I64" s="156"/>
    </row>
    <row r="65" spans="2:9" ht="28.5">
      <c r="B65" s="175" t="s">
        <v>153</v>
      </c>
      <c r="C65" s="162">
        <f>C63+C54+C43</f>
        <v>-27749</v>
      </c>
      <c r="D65" s="162">
        <f>D63+D54+D43</f>
        <v>-12097</v>
      </c>
      <c r="G65" s="156"/>
      <c r="I65" s="156"/>
    </row>
    <row r="66" spans="2:9" ht="15">
      <c r="B66" s="167" t="s">
        <v>62</v>
      </c>
      <c r="C66" s="102">
        <v>983</v>
      </c>
      <c r="D66" s="239">
        <v>-1077</v>
      </c>
      <c r="G66" s="156"/>
      <c r="I66" s="156"/>
    </row>
    <row r="67" spans="2:9" ht="15">
      <c r="B67" s="169" t="s">
        <v>156</v>
      </c>
      <c r="C67" s="102">
        <v>131338</v>
      </c>
      <c r="D67" s="239">
        <v>213793</v>
      </c>
      <c r="G67" s="156"/>
      <c r="I67" s="156"/>
    </row>
    <row r="68" spans="2:9" ht="15.75" thickBot="1">
      <c r="B68" s="178" t="s">
        <v>164</v>
      </c>
      <c r="C68" s="163">
        <f>C65+C66+C67</f>
        <v>104572</v>
      </c>
      <c r="D68" s="163">
        <f>D65+D66+D67</f>
        <v>200619</v>
      </c>
      <c r="G68" s="156"/>
      <c r="I68" s="156"/>
    </row>
    <row r="69" spans="3:4" s="164" customFormat="1" ht="15">
      <c r="C69" s="207"/>
      <c r="D69" s="207"/>
    </row>
    <row r="70" spans="2:4" s="136" customFormat="1" ht="15">
      <c r="B70" s="179" t="str">
        <f>'ф.2'!A71</f>
        <v>* неаудированный </v>
      </c>
      <c r="C70" s="135"/>
      <c r="D70" s="135"/>
    </row>
    <row r="71" spans="2:4" ht="15">
      <c r="B71" s="19"/>
      <c r="C71" s="19"/>
      <c r="D71" s="19"/>
    </row>
    <row r="72" spans="2:4" ht="15">
      <c r="B72" s="20" t="str">
        <f>'ф.1'!A70</f>
        <v>И.о. Председателя Правления                                              </v>
      </c>
      <c r="C72" s="20" t="str">
        <f>'ф.1'!B70</f>
        <v>Бойко О.А.</v>
      </c>
      <c r="D72" s="20"/>
    </row>
    <row r="73" spans="2:4" ht="15">
      <c r="B73" s="20"/>
      <c r="C73" s="20"/>
      <c r="D73" s="20"/>
    </row>
    <row r="74" spans="2:4" ht="15">
      <c r="B74" s="20" t="s">
        <v>64</v>
      </c>
      <c r="C74" s="20"/>
      <c r="D74" s="20"/>
    </row>
    <row r="75" spans="2:4" ht="15">
      <c r="B75" s="20" t="str">
        <f>'ф.1'!A73</f>
        <v>Главный бухгалтер                                                        </v>
      </c>
      <c r="C75" s="20" t="str">
        <f>'ф.1'!B73</f>
        <v>Багаутдинова Н.М.</v>
      </c>
      <c r="D75" s="20"/>
    </row>
    <row r="76" spans="2:4" ht="15">
      <c r="B76" s="21"/>
      <c r="C76" s="21"/>
      <c r="D76" s="21"/>
    </row>
    <row r="77" ht="10.5" customHeight="1">
      <c r="B77" s="18"/>
    </row>
    <row r="78" spans="2:8" s="81" customFormat="1" ht="13.5" customHeight="1">
      <c r="B78" s="76" t="s">
        <v>105</v>
      </c>
      <c r="C78" s="199"/>
      <c r="D78" s="199"/>
      <c r="G78" s="82"/>
      <c r="H78" s="82"/>
    </row>
    <row r="79" spans="2:8" s="81" customFormat="1" ht="15" customHeight="1">
      <c r="B79" s="77" t="s">
        <v>106</v>
      </c>
      <c r="C79" s="200"/>
      <c r="D79" s="200"/>
      <c r="G79" s="82"/>
      <c r="H79" s="82"/>
    </row>
    <row r="80" spans="2:8" s="81" customFormat="1" ht="16.5">
      <c r="B80" s="78" t="s">
        <v>107</v>
      </c>
      <c r="C80" s="201"/>
      <c r="D80" s="201"/>
      <c r="G80" s="82"/>
      <c r="H80" s="82"/>
    </row>
  </sheetData>
  <sheetProtection/>
  <mergeCells count="7">
    <mergeCell ref="B11:D11"/>
    <mergeCell ref="B7:D7"/>
    <mergeCell ref="B9:D9"/>
    <mergeCell ref="B10:D10"/>
    <mergeCell ref="B4:D4"/>
    <mergeCell ref="B5:D5"/>
    <mergeCell ref="B8:D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72"/>
  <sheetViews>
    <sheetView zoomScale="71" zoomScaleNormal="71" workbookViewId="0" topLeftCell="A1">
      <selection activeCell="A53" sqref="A53"/>
    </sheetView>
  </sheetViews>
  <sheetFormatPr defaultColWidth="9.140625" defaultRowHeight="15"/>
  <cols>
    <col min="1" max="1" width="70.28125" style="51" customWidth="1"/>
    <col min="2" max="3" width="23.8515625" style="96" customWidth="1"/>
    <col min="4" max="4" width="23.8515625" style="96" hidden="1" customWidth="1"/>
    <col min="5" max="5" width="23.8515625" style="96" customWidth="1"/>
    <col min="6" max="6" width="29.00390625" style="96" customWidth="1"/>
    <col min="7" max="8" width="29.00390625" style="96" hidden="1" customWidth="1"/>
    <col min="9" max="12" width="23.8515625" style="96" customWidth="1"/>
    <col min="13" max="14" width="23.8515625" style="96" hidden="1" customWidth="1"/>
    <col min="15" max="15" width="23.8515625" style="30" customWidth="1"/>
    <col min="16" max="16" width="13.7109375" style="122" bestFit="1" customWidth="1"/>
    <col min="17" max="17" width="13.7109375" style="30" bestFit="1" customWidth="1"/>
    <col min="18" max="16384" width="9.140625" style="23" customWidth="1"/>
  </cols>
  <sheetData>
    <row r="1" spans="1:15" ht="15.75">
      <c r="A1" s="64" t="str">
        <f>'[2]ф.1 конс.'!A1</f>
        <v>БИН                920140000084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4" ht="15.75">
      <c r="A2" s="64" t="str">
        <f>'[2]ф.1 конс.'!A2</f>
        <v>Код ОКПО             19924793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5.75">
      <c r="A3" s="64" t="str">
        <f>'[2]ф.1 конс.'!A3</f>
        <v>БИК                   TSESKZKA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21" customHeight="1">
      <c r="A4" s="270" t="str">
        <f>'[2]ф.1 конс.'!A4</f>
        <v>ИИК KZ48125KZT1001300336 в НБ РК</v>
      </c>
      <c r="B4" s="270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 customHeight="1">
      <c r="A5" s="270" t="str">
        <f>'[2]ф.1 конс.'!A5</f>
        <v>Место нахождения головного банка: г.Астана, район Есиль, ул. Сығанақ, д. 24</v>
      </c>
      <c r="B5" s="270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24"/>
      <c r="B6" s="12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7" s="25" customFormat="1" ht="15.75">
      <c r="A7" s="273" t="s">
        <v>66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131"/>
      <c r="Q7" s="121"/>
    </row>
    <row r="8" spans="1:17" s="25" customFormat="1" ht="15.75">
      <c r="A8" s="273" t="s">
        <v>67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131"/>
      <c r="Q8" s="121"/>
    </row>
    <row r="9" spans="1:15" ht="15.75">
      <c r="A9" s="274" t="s">
        <v>68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</row>
    <row r="10" spans="1:15" ht="15.75">
      <c r="A10" s="272" t="s">
        <v>187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</row>
    <row r="11" spans="1:15" ht="15.75">
      <c r="A11" s="271" t="str">
        <f>'ф.1'!A11</f>
        <v>(без учета заключительных оборотов)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</row>
    <row r="12" spans="1:17" ht="16.5" thickBot="1">
      <c r="A12" s="26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100" t="str">
        <f>'ф.1'!C12</f>
        <v>млн тенге</v>
      </c>
      <c r="Q12" s="122"/>
    </row>
    <row r="13" spans="1:15" ht="129.75" customHeight="1" thickBot="1">
      <c r="A13" s="52"/>
      <c r="B13" s="90" t="s">
        <v>69</v>
      </c>
      <c r="C13" s="95" t="s">
        <v>20</v>
      </c>
      <c r="D13" s="95" t="s">
        <v>70</v>
      </c>
      <c r="E13" s="90" t="s">
        <v>116</v>
      </c>
      <c r="F13" s="90" t="s">
        <v>173</v>
      </c>
      <c r="G13" s="90" t="s">
        <v>173</v>
      </c>
      <c r="H13" s="90" t="s">
        <v>21</v>
      </c>
      <c r="I13" s="90" t="s">
        <v>71</v>
      </c>
      <c r="J13" s="90" t="s">
        <v>72</v>
      </c>
      <c r="K13" s="90" t="s">
        <v>78</v>
      </c>
      <c r="L13" s="90" t="s">
        <v>26</v>
      </c>
      <c r="M13" s="123" t="s">
        <v>22</v>
      </c>
      <c r="N13" s="123" t="s">
        <v>23</v>
      </c>
      <c r="O13" s="124" t="s">
        <v>24</v>
      </c>
    </row>
    <row r="14" spans="1:16" s="125" customFormat="1" ht="15.75">
      <c r="A14" s="146">
        <v>1</v>
      </c>
      <c r="B14" s="147">
        <v>2</v>
      </c>
      <c r="C14" s="147">
        <v>3</v>
      </c>
      <c r="D14" s="147">
        <v>4</v>
      </c>
      <c r="E14" s="147" t="s">
        <v>128</v>
      </c>
      <c r="F14" s="147" t="s">
        <v>129</v>
      </c>
      <c r="G14" s="147" t="s">
        <v>93</v>
      </c>
      <c r="H14" s="147" t="s">
        <v>93</v>
      </c>
      <c r="I14" s="147" t="s">
        <v>93</v>
      </c>
      <c r="J14" s="147" t="s">
        <v>94</v>
      </c>
      <c r="K14" s="147" t="s">
        <v>95</v>
      </c>
      <c r="L14" s="147" t="s">
        <v>96</v>
      </c>
      <c r="M14" s="147" t="s">
        <v>96</v>
      </c>
      <c r="N14" s="148" t="s">
        <v>134</v>
      </c>
      <c r="O14" s="149" t="s">
        <v>134</v>
      </c>
      <c r="P14" s="132"/>
    </row>
    <row r="15" spans="1:16" s="30" customFormat="1" ht="15.75">
      <c r="A15" s="150" t="s">
        <v>193</v>
      </c>
      <c r="B15" s="27">
        <v>91031</v>
      </c>
      <c r="C15" s="27">
        <v>234</v>
      </c>
      <c r="D15" s="27">
        <f>12191*0</f>
        <v>0</v>
      </c>
      <c r="E15" s="27">
        <v>-359</v>
      </c>
      <c r="F15" s="27">
        <v>0</v>
      </c>
      <c r="G15" s="27">
        <v>0</v>
      </c>
      <c r="H15" s="27">
        <v>0</v>
      </c>
      <c r="I15" s="27">
        <v>1244</v>
      </c>
      <c r="J15" s="27">
        <v>12241</v>
      </c>
      <c r="K15" s="27">
        <v>16631</v>
      </c>
      <c r="L15" s="27">
        <v>47312</v>
      </c>
      <c r="M15" s="27">
        <f>L15+J15+I15+E15+D15+C15+B15+K15</f>
        <v>168334</v>
      </c>
      <c r="N15" s="27">
        <v>0</v>
      </c>
      <c r="O15" s="29">
        <f>M15+N15</f>
        <v>168334</v>
      </c>
      <c r="P15" s="122"/>
    </row>
    <row r="16" spans="1:16" s="30" customFormat="1" ht="15.75">
      <c r="A16" s="31" t="s">
        <v>73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7"/>
      <c r="O16" s="29"/>
      <c r="P16" s="122"/>
    </row>
    <row r="17" spans="1:16" s="30" customFormat="1" ht="15.75">
      <c r="A17" s="32" t="s">
        <v>160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f>'ф.2'!C51</f>
        <v>9436</v>
      </c>
      <c r="M17" s="28">
        <f>L17</f>
        <v>9436</v>
      </c>
      <c r="N17" s="28">
        <f>'ф.2'!C52</f>
        <v>0</v>
      </c>
      <c r="O17" s="29">
        <f>N17+M17</f>
        <v>9436</v>
      </c>
      <c r="P17" s="122"/>
    </row>
    <row r="18" spans="1:16" s="30" customFormat="1" ht="15.75">
      <c r="A18" s="31" t="s">
        <v>74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7"/>
      <c r="M18" s="28"/>
      <c r="N18" s="27"/>
      <c r="O18" s="29"/>
      <c r="P18" s="122"/>
    </row>
    <row r="19" spans="1:16" s="30" customFormat="1" ht="31.5">
      <c r="A19" s="33" t="s">
        <v>79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7"/>
      <c r="M19" s="28"/>
      <c r="N19" s="27"/>
      <c r="O19" s="29"/>
      <c r="P19" s="122"/>
    </row>
    <row r="20" spans="1:16" s="30" customFormat="1" ht="31.5">
      <c r="A20" s="32" t="s">
        <v>75</v>
      </c>
      <c r="B20" s="28">
        <v>0</v>
      </c>
      <c r="C20" s="28">
        <v>0</v>
      </c>
      <c r="D20" s="28">
        <v>0</v>
      </c>
      <c r="E20" s="28">
        <f>'ф.2'!C57</f>
        <v>355</v>
      </c>
      <c r="F20" s="28">
        <v>0</v>
      </c>
      <c r="G20" s="28">
        <v>0</v>
      </c>
      <c r="H20" s="28">
        <v>0</v>
      </c>
      <c r="I20" s="34">
        <v>0</v>
      </c>
      <c r="J20" s="34">
        <v>0</v>
      </c>
      <c r="K20" s="34">
        <v>0</v>
      </c>
      <c r="L20" s="27">
        <v>0</v>
      </c>
      <c r="M20" s="28">
        <f>SUM(B20:L20)</f>
        <v>355</v>
      </c>
      <c r="N20" s="28">
        <v>0</v>
      </c>
      <c r="O20" s="29">
        <f>M20+N20</f>
        <v>355</v>
      </c>
      <c r="P20" s="122"/>
    </row>
    <row r="21" spans="1:16" s="30" customFormat="1" ht="47.25">
      <c r="A21" s="32" t="s">
        <v>148</v>
      </c>
      <c r="B21" s="28">
        <v>0</v>
      </c>
      <c r="C21" s="28">
        <v>0</v>
      </c>
      <c r="D21" s="28">
        <v>0</v>
      </c>
      <c r="E21" s="34">
        <f>'ф.2'!C58</f>
        <v>40</v>
      </c>
      <c r="F21" s="28">
        <v>0</v>
      </c>
      <c r="G21" s="28">
        <v>0</v>
      </c>
      <c r="H21" s="28">
        <v>0</v>
      </c>
      <c r="I21" s="34">
        <v>0</v>
      </c>
      <c r="J21" s="34">
        <v>0</v>
      </c>
      <c r="K21" s="34">
        <v>0</v>
      </c>
      <c r="L21" s="27">
        <v>0</v>
      </c>
      <c r="M21" s="28">
        <f>SUM(B21:L21)</f>
        <v>40</v>
      </c>
      <c r="N21" s="27">
        <v>0</v>
      </c>
      <c r="O21" s="29">
        <f>M21+N21</f>
        <v>40</v>
      </c>
      <c r="P21" s="122"/>
    </row>
    <row r="22" spans="1:16" s="30" customFormat="1" ht="31.5">
      <c r="A22" s="32" t="s">
        <v>139</v>
      </c>
      <c r="B22" s="28">
        <v>0</v>
      </c>
      <c r="C22" s="28">
        <v>0</v>
      </c>
      <c r="D22" s="28">
        <v>0</v>
      </c>
      <c r="E22" s="34"/>
      <c r="F22" s="28">
        <v>0</v>
      </c>
      <c r="G22" s="28">
        <v>0</v>
      </c>
      <c r="H22" s="28">
        <v>0</v>
      </c>
      <c r="I22" s="34">
        <f>'ф.2'!C64</f>
        <v>90</v>
      </c>
      <c r="J22" s="34">
        <v>0</v>
      </c>
      <c r="K22" s="34">
        <v>0</v>
      </c>
      <c r="L22" s="27">
        <v>0</v>
      </c>
      <c r="M22" s="28">
        <f>SUM(B22:L22)</f>
        <v>90</v>
      </c>
      <c r="N22" s="28">
        <v>0</v>
      </c>
      <c r="O22" s="29">
        <f>M22+N22</f>
        <v>90</v>
      </c>
      <c r="P22" s="122"/>
    </row>
    <row r="23" spans="1:16" s="30" customFormat="1" ht="33.75" customHeight="1" thickBot="1">
      <c r="A23" s="35" t="s">
        <v>80</v>
      </c>
      <c r="B23" s="28">
        <v>0</v>
      </c>
      <c r="C23" s="28">
        <v>0</v>
      </c>
      <c r="D23" s="28">
        <v>0</v>
      </c>
      <c r="E23" s="250">
        <f aca="true" t="shared" si="0" ref="E23:N23">SUM(E20:E22)</f>
        <v>395</v>
      </c>
      <c r="F23" s="250">
        <f t="shared" si="0"/>
        <v>0</v>
      </c>
      <c r="G23" s="250">
        <f t="shared" si="0"/>
        <v>0</v>
      </c>
      <c r="H23" s="250">
        <f t="shared" si="0"/>
        <v>0</v>
      </c>
      <c r="I23" s="250">
        <f t="shared" si="0"/>
        <v>90</v>
      </c>
      <c r="J23" s="250">
        <f t="shared" si="0"/>
        <v>0</v>
      </c>
      <c r="K23" s="250">
        <f t="shared" si="0"/>
        <v>0</v>
      </c>
      <c r="L23" s="250">
        <f t="shared" si="0"/>
        <v>0</v>
      </c>
      <c r="M23" s="250">
        <f t="shared" si="0"/>
        <v>485</v>
      </c>
      <c r="N23" s="250">
        <f t="shared" si="0"/>
        <v>0</v>
      </c>
      <c r="O23" s="29">
        <f>M23+N23</f>
        <v>485</v>
      </c>
      <c r="P23" s="122"/>
    </row>
    <row r="24" spans="1:16" s="30" customFormat="1" ht="21.75" customHeight="1" thickBot="1">
      <c r="A24" s="37" t="s">
        <v>81</v>
      </c>
      <c r="B24" s="38">
        <v>0</v>
      </c>
      <c r="C24" s="38">
        <v>0</v>
      </c>
      <c r="D24" s="38">
        <v>0</v>
      </c>
      <c r="E24" s="38">
        <f aca="true" t="shared" si="1" ref="E24:O24">E23</f>
        <v>395</v>
      </c>
      <c r="F24" s="38">
        <f aca="true" t="shared" si="2" ref="F24:H25">F23</f>
        <v>0</v>
      </c>
      <c r="G24" s="38">
        <f t="shared" si="2"/>
        <v>0</v>
      </c>
      <c r="H24" s="38">
        <f t="shared" si="2"/>
        <v>0</v>
      </c>
      <c r="I24" s="38">
        <f t="shared" si="1"/>
        <v>90</v>
      </c>
      <c r="J24" s="38">
        <f t="shared" si="1"/>
        <v>0</v>
      </c>
      <c r="K24" s="38">
        <f t="shared" si="1"/>
        <v>0</v>
      </c>
      <c r="L24" s="38">
        <f t="shared" si="1"/>
        <v>0</v>
      </c>
      <c r="M24" s="38">
        <f t="shared" si="1"/>
        <v>485</v>
      </c>
      <c r="N24" s="38">
        <f t="shared" si="1"/>
        <v>0</v>
      </c>
      <c r="O24" s="39">
        <f t="shared" si="1"/>
        <v>485</v>
      </c>
      <c r="P24" s="122"/>
    </row>
    <row r="25" spans="1:16" s="30" customFormat="1" ht="16.5" customHeight="1" thickBot="1">
      <c r="A25" s="151" t="s">
        <v>162</v>
      </c>
      <c r="B25" s="40">
        <v>0</v>
      </c>
      <c r="C25" s="40">
        <v>0</v>
      </c>
      <c r="D25" s="40">
        <v>0</v>
      </c>
      <c r="E25" s="40">
        <f>E24</f>
        <v>395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>I24</f>
        <v>90</v>
      </c>
      <c r="J25" s="40">
        <f>J24</f>
        <v>0</v>
      </c>
      <c r="K25" s="40">
        <f>K24</f>
        <v>0</v>
      </c>
      <c r="L25" s="40">
        <f>L24+L17</f>
        <v>9436</v>
      </c>
      <c r="M25" s="40">
        <f>M24+M17</f>
        <v>9921</v>
      </c>
      <c r="N25" s="40">
        <f>N24+N17</f>
        <v>0</v>
      </c>
      <c r="O25" s="39">
        <f>O24+O17</f>
        <v>9921</v>
      </c>
      <c r="P25" s="122"/>
    </row>
    <row r="26" spans="1:16" s="30" customFormat="1" ht="31.5">
      <c r="A26" s="152" t="s">
        <v>76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251"/>
      <c r="P26" s="122"/>
    </row>
    <row r="27" spans="1:16" s="30" customFormat="1" ht="15.75">
      <c r="A27" s="153" t="s">
        <v>63</v>
      </c>
      <c r="B27" s="28">
        <v>2100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f>L27+K27+J27+I27+E27+D27+C27+B27</f>
        <v>2100</v>
      </c>
      <c r="N27" s="27">
        <v>0</v>
      </c>
      <c r="O27" s="29">
        <f aca="true" t="shared" si="3" ref="O27:O32">M27+N27</f>
        <v>2100</v>
      </c>
      <c r="P27" s="122"/>
    </row>
    <row r="28" spans="1:16" s="30" customFormat="1" ht="16.5" customHeight="1">
      <c r="A28" s="32" t="s">
        <v>200</v>
      </c>
      <c r="B28" s="28">
        <v>27</v>
      </c>
      <c r="C28" s="28">
        <f>ROUND(19/1000,0)*0</f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f>B28+L28+J28+I28+E28+D28+C28</f>
        <v>27</v>
      </c>
      <c r="N28" s="27">
        <v>0</v>
      </c>
      <c r="O28" s="29">
        <f t="shared" si="3"/>
        <v>27</v>
      </c>
      <c r="P28" s="122"/>
    </row>
    <row r="29" spans="1:16" s="30" customFormat="1" ht="16.5" customHeight="1">
      <c r="A29" s="32" t="s">
        <v>192</v>
      </c>
      <c r="B29" s="61">
        <v>0</v>
      </c>
      <c r="C29" s="61">
        <v>0</v>
      </c>
      <c r="D29" s="61"/>
      <c r="E29" s="61">
        <v>0</v>
      </c>
      <c r="F29" s="28">
        <v>0</v>
      </c>
      <c r="G29" s="28">
        <v>0</v>
      </c>
      <c r="H29" s="28">
        <v>0</v>
      </c>
      <c r="I29" s="61">
        <v>0</v>
      </c>
      <c r="J29" s="61">
        <v>0</v>
      </c>
      <c r="K29" s="61">
        <v>0</v>
      </c>
      <c r="L29" s="61">
        <v>-126</v>
      </c>
      <c r="M29" s="28">
        <f>B29+L29+J29+I29+E29+D29+C29</f>
        <v>-126</v>
      </c>
      <c r="N29" s="61">
        <v>0</v>
      </c>
      <c r="O29" s="29">
        <f t="shared" si="3"/>
        <v>-126</v>
      </c>
      <c r="P29" s="122"/>
    </row>
    <row r="30" spans="1:16" s="30" customFormat="1" ht="15.75">
      <c r="A30" s="56" t="s">
        <v>92</v>
      </c>
      <c r="B30" s="210">
        <f>SUM(B27:B29)</f>
        <v>2127</v>
      </c>
      <c r="C30" s="210">
        <f>SUM(C27:C29)</f>
        <v>0</v>
      </c>
      <c r="D30" s="210">
        <f aca="true" t="shared" si="4" ref="D30:K30">D27+D28</f>
        <v>0</v>
      </c>
      <c r="E30" s="210">
        <f t="shared" si="4"/>
        <v>0</v>
      </c>
      <c r="F30" s="28">
        <v>0</v>
      </c>
      <c r="G30" s="28">
        <v>0</v>
      </c>
      <c r="H30" s="28">
        <v>0</v>
      </c>
      <c r="I30" s="210">
        <f t="shared" si="4"/>
        <v>0</v>
      </c>
      <c r="J30" s="210">
        <f t="shared" si="4"/>
        <v>0</v>
      </c>
      <c r="K30" s="210">
        <f t="shared" si="4"/>
        <v>0</v>
      </c>
      <c r="L30" s="210">
        <f>L27+L28+L29</f>
        <v>-126</v>
      </c>
      <c r="M30" s="210">
        <f>SUM(M27:M29)</f>
        <v>2001</v>
      </c>
      <c r="N30" s="210">
        <f>N27+N28+N29</f>
        <v>0</v>
      </c>
      <c r="O30" s="60">
        <f t="shared" si="3"/>
        <v>2001</v>
      </c>
      <c r="P30" s="122"/>
    </row>
    <row r="31" spans="1:16" s="30" customFormat="1" ht="15.75" hidden="1">
      <c r="A31" s="32" t="s">
        <v>127</v>
      </c>
      <c r="B31" s="27">
        <v>0</v>
      </c>
      <c r="C31" s="27">
        <v>0</v>
      </c>
      <c r="D31" s="28">
        <f>-3704*0</f>
        <v>0</v>
      </c>
      <c r="E31" s="27">
        <v>0</v>
      </c>
      <c r="F31" s="28">
        <v>0</v>
      </c>
      <c r="G31" s="28">
        <v>0</v>
      </c>
      <c r="H31" s="28">
        <v>0</v>
      </c>
      <c r="I31" s="27">
        <v>0</v>
      </c>
      <c r="J31" s="27">
        <v>0</v>
      </c>
      <c r="K31" s="27">
        <v>0</v>
      </c>
      <c r="L31" s="28">
        <v>0</v>
      </c>
      <c r="M31" s="27">
        <f>L31+J31+E31+I31+D31+C31+B31</f>
        <v>0</v>
      </c>
      <c r="N31" s="27">
        <v>0</v>
      </c>
      <c r="O31" s="29">
        <f t="shared" si="3"/>
        <v>0</v>
      </c>
      <c r="P31" s="122"/>
    </row>
    <row r="32" spans="1:16" s="30" customFormat="1" ht="15.75">
      <c r="A32" s="154" t="s">
        <v>177</v>
      </c>
      <c r="B32" s="27">
        <v>0</v>
      </c>
      <c r="C32" s="27">
        <v>0</v>
      </c>
      <c r="D32" s="27">
        <v>0</v>
      </c>
      <c r="E32" s="27">
        <v>0</v>
      </c>
      <c r="F32" s="28">
        <v>0</v>
      </c>
      <c r="G32" s="28">
        <v>0</v>
      </c>
      <c r="H32" s="28">
        <v>0</v>
      </c>
      <c r="I32" s="27">
        <v>0</v>
      </c>
      <c r="J32" s="28">
        <v>-99</v>
      </c>
      <c r="K32" s="28"/>
      <c r="L32" s="28">
        <f>-J32</f>
        <v>99</v>
      </c>
      <c r="M32" s="27">
        <f>J32+L32</f>
        <v>0</v>
      </c>
      <c r="N32" s="27">
        <v>0</v>
      </c>
      <c r="O32" s="27">
        <f t="shared" si="3"/>
        <v>0</v>
      </c>
      <c r="P32" s="122"/>
    </row>
    <row r="33" spans="1:16" s="30" customFormat="1" ht="15.75" customHeight="1" thickBot="1">
      <c r="A33" s="155" t="s">
        <v>186</v>
      </c>
      <c r="B33" s="252">
        <f>B15+B25+B30</f>
        <v>93158</v>
      </c>
      <c r="C33" s="252">
        <f>C15+C25+C30</f>
        <v>234</v>
      </c>
      <c r="D33" s="252">
        <f>D15+D25+D30+D31</f>
        <v>0</v>
      </c>
      <c r="E33" s="252">
        <f>E15+E25+E30</f>
        <v>36</v>
      </c>
      <c r="F33" s="252">
        <f>F15+F25+F30</f>
        <v>0</v>
      </c>
      <c r="G33" s="252">
        <f>G15+G25+G30</f>
        <v>0</v>
      </c>
      <c r="H33" s="252">
        <f>H15+H25+H30</f>
        <v>0</v>
      </c>
      <c r="I33" s="252">
        <f>I15+I25+I30</f>
        <v>1334</v>
      </c>
      <c r="J33" s="252">
        <f>J15+J25+J30+J32</f>
        <v>12142</v>
      </c>
      <c r="K33" s="252">
        <f>K15+K25+K30</f>
        <v>16631</v>
      </c>
      <c r="L33" s="252">
        <f>L15+L25+L30+L31+L32+L29*0</f>
        <v>56721</v>
      </c>
      <c r="M33" s="252">
        <f>M15+M25+M30+M31</f>
        <v>180256</v>
      </c>
      <c r="N33" s="252">
        <f>N15+N25+N30</f>
        <v>0</v>
      </c>
      <c r="O33" s="253">
        <f>O15+O25+O30+O31</f>
        <v>180256</v>
      </c>
      <c r="P33" s="122"/>
    </row>
    <row r="34" spans="1:16" s="30" customFormat="1" ht="15.75" customHeight="1" thickBot="1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22"/>
    </row>
    <row r="35" spans="1:16" s="30" customFormat="1" ht="15.75">
      <c r="A35" s="57" t="s">
        <v>194</v>
      </c>
      <c r="B35" s="55">
        <f>90693+2500-176</f>
        <v>93017</v>
      </c>
      <c r="C35" s="55">
        <v>234</v>
      </c>
      <c r="D35" s="55">
        <f>8487*0</f>
        <v>0</v>
      </c>
      <c r="E35" s="55">
        <v>-376</v>
      </c>
      <c r="F35" s="55">
        <v>0</v>
      </c>
      <c r="G35" s="55">
        <v>0</v>
      </c>
      <c r="H35" s="55">
        <v>0</v>
      </c>
      <c r="I35" s="55">
        <v>2242</v>
      </c>
      <c r="J35" s="55">
        <v>12142</v>
      </c>
      <c r="K35" s="55">
        <f>K33</f>
        <v>16631</v>
      </c>
      <c r="L35" s="55">
        <v>98012</v>
      </c>
      <c r="M35" s="55">
        <f>SUM(B35:L35)</f>
        <v>221902</v>
      </c>
      <c r="N35" s="55">
        <v>0</v>
      </c>
      <c r="O35" s="251">
        <f>N35+M35</f>
        <v>221902</v>
      </c>
      <c r="P35" s="122"/>
    </row>
    <row r="36" spans="1:16" s="30" customFormat="1" ht="15.75">
      <c r="A36" s="211" t="s">
        <v>170</v>
      </c>
      <c r="B36" s="210">
        <v>0</v>
      </c>
      <c r="C36" s="210">
        <v>0</v>
      </c>
      <c r="D36" s="210"/>
      <c r="E36" s="61">
        <v>0</v>
      </c>
      <c r="F36" s="61">
        <v>87</v>
      </c>
      <c r="G36" s="61">
        <v>0</v>
      </c>
      <c r="H36" s="61">
        <f>2*0</f>
        <v>0</v>
      </c>
      <c r="I36" s="210">
        <v>0</v>
      </c>
      <c r="J36" s="61">
        <f>-11983-17*0</f>
        <v>-11983</v>
      </c>
      <c r="K36" s="210">
        <v>0</v>
      </c>
      <c r="L36" s="61">
        <f>-27833-17+1+2</f>
        <v>-27847</v>
      </c>
      <c r="M36" s="28">
        <f>SUM(B36:L36)</f>
        <v>-39743</v>
      </c>
      <c r="N36" s="210">
        <v>0</v>
      </c>
      <c r="O36" s="29">
        <f>M36+N36</f>
        <v>-39743</v>
      </c>
      <c r="P36" s="122"/>
    </row>
    <row r="37" spans="1:16" s="213" customFormat="1" ht="21" customHeight="1">
      <c r="A37" s="42" t="s">
        <v>191</v>
      </c>
      <c r="B37" s="210">
        <f>B35+B36</f>
        <v>93017</v>
      </c>
      <c r="C37" s="210">
        <f>C35+C36</f>
        <v>234</v>
      </c>
      <c r="D37" s="210"/>
      <c r="E37" s="210">
        <f aca="true" t="shared" si="5" ref="E37:O37">E35+E36</f>
        <v>-376</v>
      </c>
      <c r="F37" s="210">
        <f t="shared" si="5"/>
        <v>87</v>
      </c>
      <c r="G37" s="210">
        <f t="shared" si="5"/>
        <v>0</v>
      </c>
      <c r="H37" s="210">
        <f t="shared" si="5"/>
        <v>0</v>
      </c>
      <c r="I37" s="210">
        <f t="shared" si="5"/>
        <v>2242</v>
      </c>
      <c r="J37" s="210">
        <f t="shared" si="5"/>
        <v>159</v>
      </c>
      <c r="K37" s="210">
        <f t="shared" si="5"/>
        <v>16631</v>
      </c>
      <c r="L37" s="210">
        <f t="shared" si="5"/>
        <v>70165</v>
      </c>
      <c r="M37" s="210">
        <f t="shared" si="5"/>
        <v>182159</v>
      </c>
      <c r="N37" s="210">
        <f t="shared" si="5"/>
        <v>0</v>
      </c>
      <c r="O37" s="60">
        <f t="shared" si="5"/>
        <v>182159</v>
      </c>
      <c r="P37" s="212"/>
    </row>
    <row r="38" spans="1:16" s="30" customFormat="1" ht="15.75">
      <c r="A38" s="31" t="s">
        <v>73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/>
      <c r="P38" s="122"/>
    </row>
    <row r="39" spans="1:16" s="30" customFormat="1" ht="15.75">
      <c r="A39" s="32" t="s">
        <v>160</v>
      </c>
      <c r="B39" s="28">
        <v>0</v>
      </c>
      <c r="C39" s="28">
        <v>0</v>
      </c>
      <c r="D39" s="28">
        <v>0</v>
      </c>
      <c r="E39" s="28">
        <v>0</v>
      </c>
      <c r="F39" s="28"/>
      <c r="G39" s="28"/>
      <c r="H39" s="28"/>
      <c r="I39" s="28">
        <v>0</v>
      </c>
      <c r="J39" s="28">
        <v>0</v>
      </c>
      <c r="K39" s="28">
        <v>0</v>
      </c>
      <c r="L39" s="28">
        <f>'ф.2'!B49</f>
        <v>3055</v>
      </c>
      <c r="M39" s="28">
        <f>SUM(B39:L39)</f>
        <v>3055</v>
      </c>
      <c r="N39" s="28">
        <f>'ф.2'!B52</f>
        <v>0</v>
      </c>
      <c r="O39" s="29">
        <f>M39+N39</f>
        <v>3055</v>
      </c>
      <c r="P39" s="122"/>
    </row>
    <row r="40" spans="1:16" s="30" customFormat="1" ht="15.75">
      <c r="A40" s="42" t="s">
        <v>74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122"/>
    </row>
    <row r="41" spans="1:16" s="30" customFormat="1" ht="31.5">
      <c r="A41" s="33" t="s">
        <v>79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122"/>
    </row>
    <row r="42" spans="1:16" s="30" customFormat="1" ht="31.5">
      <c r="A42" s="32" t="s">
        <v>75</v>
      </c>
      <c r="B42" s="28">
        <v>0</v>
      </c>
      <c r="C42" s="28">
        <v>0</v>
      </c>
      <c r="D42" s="28">
        <v>0</v>
      </c>
      <c r="E42" s="34">
        <f>'ф.2'!B57</f>
        <v>204</v>
      </c>
      <c r="F42" s="34">
        <v>0</v>
      </c>
      <c r="G42" s="34">
        <v>0</v>
      </c>
      <c r="H42" s="34">
        <v>0</v>
      </c>
      <c r="I42" s="34">
        <v>0</v>
      </c>
      <c r="J42" s="28">
        <v>0</v>
      </c>
      <c r="K42" s="28">
        <v>0</v>
      </c>
      <c r="L42" s="28">
        <v>0</v>
      </c>
      <c r="M42" s="28">
        <f aca="true" t="shared" si="6" ref="M42:M47">SUM(B42:L42)</f>
        <v>204</v>
      </c>
      <c r="N42" s="28">
        <v>0</v>
      </c>
      <c r="O42" s="29">
        <f aca="true" t="shared" si="7" ref="O42:O47">M42+N42</f>
        <v>204</v>
      </c>
      <c r="P42" s="122"/>
    </row>
    <row r="43" spans="1:16" s="30" customFormat="1" ht="47.25">
      <c r="A43" s="32" t="s">
        <v>148</v>
      </c>
      <c r="B43" s="28">
        <v>0</v>
      </c>
      <c r="C43" s="28">
        <v>0</v>
      </c>
      <c r="D43" s="28">
        <v>0</v>
      </c>
      <c r="E43" s="34">
        <f>'ф.2'!B58</f>
        <v>13</v>
      </c>
      <c r="F43" s="34"/>
      <c r="G43" s="34"/>
      <c r="H43" s="34"/>
      <c r="I43" s="34">
        <v>0</v>
      </c>
      <c r="J43" s="28">
        <v>0</v>
      </c>
      <c r="K43" s="34">
        <v>0</v>
      </c>
      <c r="L43" s="28">
        <v>0</v>
      </c>
      <c r="M43" s="28">
        <f t="shared" si="6"/>
        <v>13</v>
      </c>
      <c r="N43" s="28">
        <v>0</v>
      </c>
      <c r="O43" s="29">
        <f t="shared" si="7"/>
        <v>13</v>
      </c>
      <c r="P43" s="122"/>
    </row>
    <row r="44" spans="1:16" s="30" customFormat="1" ht="47.25" hidden="1">
      <c r="A44" s="32" t="s">
        <v>174</v>
      </c>
      <c r="B44" s="54">
        <v>0</v>
      </c>
      <c r="C44" s="54">
        <v>0</v>
      </c>
      <c r="D44" s="54">
        <v>0</v>
      </c>
      <c r="E44" s="54">
        <v>0</v>
      </c>
      <c r="F44" s="117">
        <f>'ф.2'!B59</f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28">
        <f t="shared" si="6"/>
        <v>0</v>
      </c>
      <c r="N44" s="54"/>
      <c r="O44" s="29">
        <f t="shared" si="7"/>
        <v>0</v>
      </c>
      <c r="P44" s="122"/>
    </row>
    <row r="45" spans="1:16" s="30" customFormat="1" ht="63" hidden="1">
      <c r="A45" s="32" t="s">
        <v>175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117">
        <v>0</v>
      </c>
      <c r="H45" s="54">
        <v>0</v>
      </c>
      <c r="I45" s="54">
        <f>71*0</f>
        <v>0</v>
      </c>
      <c r="J45" s="54">
        <v>0</v>
      </c>
      <c r="K45" s="54">
        <v>0</v>
      </c>
      <c r="L45" s="54">
        <v>0</v>
      </c>
      <c r="M45" s="28">
        <f t="shared" si="6"/>
        <v>0</v>
      </c>
      <c r="N45" s="54"/>
      <c r="O45" s="29">
        <f t="shared" si="7"/>
        <v>0</v>
      </c>
      <c r="P45" s="122"/>
    </row>
    <row r="46" spans="1:16" s="30" customFormat="1" ht="31.5" hidden="1">
      <c r="A46" s="32" t="s">
        <v>183</v>
      </c>
      <c r="B46" s="54">
        <v>0</v>
      </c>
      <c r="C46" s="54">
        <v>0</v>
      </c>
      <c r="D46" s="54"/>
      <c r="E46" s="54">
        <f>0-2*0</f>
        <v>0</v>
      </c>
      <c r="F46" s="54">
        <v>0</v>
      </c>
      <c r="G46" s="54">
        <v>0</v>
      </c>
      <c r="H46" s="117">
        <f>-2*0</f>
        <v>0</v>
      </c>
      <c r="I46" s="54">
        <f>49*0</f>
        <v>0</v>
      </c>
      <c r="J46" s="54">
        <v>0</v>
      </c>
      <c r="K46" s="54">
        <v>0</v>
      </c>
      <c r="L46" s="54">
        <v>0</v>
      </c>
      <c r="M46" s="28">
        <f t="shared" si="6"/>
        <v>0</v>
      </c>
      <c r="N46" s="54"/>
      <c r="O46" s="29">
        <f t="shared" si="7"/>
        <v>0</v>
      </c>
      <c r="P46" s="122"/>
    </row>
    <row r="47" spans="1:16" s="30" customFormat="1" ht="31.5">
      <c r="A47" s="32" t="s">
        <v>139</v>
      </c>
      <c r="B47" s="54">
        <v>0</v>
      </c>
      <c r="C47" s="54">
        <v>0</v>
      </c>
      <c r="D47" s="54">
        <v>0</v>
      </c>
      <c r="E47" s="117">
        <v>0</v>
      </c>
      <c r="F47" s="117">
        <v>0</v>
      </c>
      <c r="G47" s="117">
        <f>-71*0</f>
        <v>0</v>
      </c>
      <c r="H47" s="117">
        <f>-48*0</f>
        <v>0</v>
      </c>
      <c r="I47" s="117">
        <f>'ф.2'!B64</f>
        <v>-1032</v>
      </c>
      <c r="J47" s="54">
        <v>0</v>
      </c>
      <c r="K47" s="117">
        <v>0</v>
      </c>
      <c r="L47" s="54">
        <v>0</v>
      </c>
      <c r="M47" s="28">
        <f t="shared" si="6"/>
        <v>-1032</v>
      </c>
      <c r="N47" s="54">
        <f>'ф.2'!B64-'ф.4'!I47</f>
        <v>0</v>
      </c>
      <c r="O47" s="36">
        <f t="shared" si="7"/>
        <v>-1032</v>
      </c>
      <c r="P47" s="122"/>
    </row>
    <row r="48" spans="1:16" s="30" customFormat="1" ht="32.25" thickBot="1">
      <c r="A48" s="35" t="s">
        <v>80</v>
      </c>
      <c r="B48" s="58">
        <f>B42+B43</f>
        <v>0</v>
      </c>
      <c r="C48" s="58">
        <f>C42+C43</f>
        <v>0</v>
      </c>
      <c r="D48" s="58">
        <f>D42+D43</f>
        <v>0</v>
      </c>
      <c r="E48" s="58">
        <f aca="true" t="shared" si="8" ref="E48:M48">SUM(E42:E47)</f>
        <v>217</v>
      </c>
      <c r="F48" s="58">
        <f t="shared" si="8"/>
        <v>0</v>
      </c>
      <c r="G48" s="58">
        <f t="shared" si="8"/>
        <v>0</v>
      </c>
      <c r="H48" s="58">
        <f t="shared" si="8"/>
        <v>0</v>
      </c>
      <c r="I48" s="58">
        <f t="shared" si="8"/>
        <v>-1032</v>
      </c>
      <c r="J48" s="58">
        <f t="shared" si="8"/>
        <v>0</v>
      </c>
      <c r="K48" s="58">
        <f t="shared" si="8"/>
        <v>0</v>
      </c>
      <c r="L48" s="58">
        <f t="shared" si="8"/>
        <v>0</v>
      </c>
      <c r="M48" s="58">
        <f t="shared" si="8"/>
        <v>-815</v>
      </c>
      <c r="N48" s="58">
        <f>N42+N47</f>
        <v>0</v>
      </c>
      <c r="O48" s="234">
        <f>SUM(O42:O47)</f>
        <v>-815</v>
      </c>
      <c r="P48" s="122"/>
    </row>
    <row r="49" spans="1:16" s="30" customFormat="1" ht="16.5" thickBot="1">
      <c r="A49" s="37" t="s">
        <v>81</v>
      </c>
      <c r="B49" s="38">
        <v>0</v>
      </c>
      <c r="C49" s="38">
        <v>0</v>
      </c>
      <c r="D49" s="38">
        <f aca="true" t="shared" si="9" ref="D49:O49">D48</f>
        <v>0</v>
      </c>
      <c r="E49" s="38">
        <f t="shared" si="9"/>
        <v>217</v>
      </c>
      <c r="F49" s="38">
        <f t="shared" si="9"/>
        <v>0</v>
      </c>
      <c r="G49" s="38">
        <f t="shared" si="9"/>
        <v>0</v>
      </c>
      <c r="H49" s="38">
        <f t="shared" si="9"/>
        <v>0</v>
      </c>
      <c r="I49" s="38">
        <f>I48</f>
        <v>-1032</v>
      </c>
      <c r="J49" s="38">
        <f t="shared" si="9"/>
        <v>0</v>
      </c>
      <c r="K49" s="38">
        <f t="shared" si="9"/>
        <v>0</v>
      </c>
      <c r="L49" s="38">
        <f t="shared" si="9"/>
        <v>0</v>
      </c>
      <c r="M49" s="38">
        <f t="shared" si="9"/>
        <v>-815</v>
      </c>
      <c r="N49" s="38">
        <f t="shared" si="9"/>
        <v>0</v>
      </c>
      <c r="O49" s="235">
        <f t="shared" si="9"/>
        <v>-815</v>
      </c>
      <c r="P49" s="122"/>
    </row>
    <row r="50" spans="1:16" s="43" customFormat="1" ht="16.5" thickBot="1">
      <c r="A50" s="62" t="s">
        <v>195</v>
      </c>
      <c r="B50" s="40">
        <v>0</v>
      </c>
      <c r="C50" s="40">
        <v>0</v>
      </c>
      <c r="D50" s="40">
        <f aca="true" t="shared" si="10" ref="D50:O50">D49+D39</f>
        <v>0</v>
      </c>
      <c r="E50" s="40">
        <f t="shared" si="10"/>
        <v>217</v>
      </c>
      <c r="F50" s="40">
        <f t="shared" si="10"/>
        <v>0</v>
      </c>
      <c r="G50" s="40">
        <f t="shared" si="10"/>
        <v>0</v>
      </c>
      <c r="H50" s="40">
        <f t="shared" si="10"/>
        <v>0</v>
      </c>
      <c r="I50" s="40">
        <f t="shared" si="10"/>
        <v>-1032</v>
      </c>
      <c r="J50" s="40">
        <f t="shared" si="10"/>
        <v>0</v>
      </c>
      <c r="K50" s="40">
        <f t="shared" si="10"/>
        <v>0</v>
      </c>
      <c r="L50" s="40">
        <f t="shared" si="10"/>
        <v>3055</v>
      </c>
      <c r="M50" s="40">
        <f t="shared" si="10"/>
        <v>2240</v>
      </c>
      <c r="N50" s="40">
        <f t="shared" si="10"/>
        <v>0</v>
      </c>
      <c r="O50" s="39">
        <f t="shared" si="10"/>
        <v>2240</v>
      </c>
      <c r="P50" s="122"/>
    </row>
    <row r="51" spans="1:16" s="30" customFormat="1" ht="31.5">
      <c r="A51" s="59" t="s">
        <v>76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0"/>
      <c r="P51" s="122"/>
    </row>
    <row r="52" spans="1:16" s="30" customFormat="1" ht="15.75" hidden="1">
      <c r="A52" s="32" t="s">
        <v>63</v>
      </c>
      <c r="B52" s="28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8">
        <f>L52+J52+I52+E52+D52+C52+B52</f>
        <v>0</v>
      </c>
      <c r="N52" s="27">
        <v>0</v>
      </c>
      <c r="O52" s="29">
        <f>M52+N52</f>
        <v>0</v>
      </c>
      <c r="P52" s="122"/>
    </row>
    <row r="53" spans="1:16" s="30" customFormat="1" ht="15.75">
      <c r="A53" s="32" t="s">
        <v>200</v>
      </c>
      <c r="B53" s="28">
        <f>-5+18-1</f>
        <v>12</v>
      </c>
      <c r="C53" s="28">
        <f>ROUND(149/1000,0)</f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8">
        <v>0</v>
      </c>
      <c r="M53" s="28">
        <f>L53+J53+I53+E53+D53+C53+B53</f>
        <v>12</v>
      </c>
      <c r="N53" s="27">
        <v>0</v>
      </c>
      <c r="O53" s="29">
        <f>M53+N53</f>
        <v>12</v>
      </c>
      <c r="P53" s="122"/>
    </row>
    <row r="54" spans="1:17" s="30" customFormat="1" ht="15.75">
      <c r="A54" s="32" t="s">
        <v>192</v>
      </c>
      <c r="B54" s="28">
        <v>0</v>
      </c>
      <c r="C54" s="28">
        <v>0</v>
      </c>
      <c r="D54" s="27"/>
      <c r="E54" s="27">
        <v>0</v>
      </c>
      <c r="F54" s="27">
        <v>0</v>
      </c>
      <c r="G54" s="27">
        <v>0</v>
      </c>
      <c r="H54" s="27">
        <v>0</v>
      </c>
      <c r="I54" s="27"/>
      <c r="J54" s="27">
        <v>0</v>
      </c>
      <c r="K54" s="27">
        <v>0</v>
      </c>
      <c r="L54" s="28">
        <v>-120</v>
      </c>
      <c r="M54" s="28">
        <f>L54+J54+I54+E54+D54+C54+B54</f>
        <v>-120</v>
      </c>
      <c r="N54" s="28">
        <v>0</v>
      </c>
      <c r="O54" s="29">
        <f>N54+M54</f>
        <v>-120</v>
      </c>
      <c r="Q54" s="139">
        <f>-2557746+2</f>
        <v>-2557744</v>
      </c>
    </row>
    <row r="55" spans="1:16" s="30" customFormat="1" ht="15.75" customHeight="1">
      <c r="A55" s="56" t="s">
        <v>92</v>
      </c>
      <c r="B55" s="27">
        <f>B52+B53</f>
        <v>12</v>
      </c>
      <c r="C55" s="27">
        <f>C52+C53+C54</f>
        <v>0</v>
      </c>
      <c r="D55" s="27">
        <f>D52+D53+D54</f>
        <v>0</v>
      </c>
      <c r="E55" s="27">
        <f>E52+E53</f>
        <v>0</v>
      </c>
      <c r="F55" s="27">
        <v>0</v>
      </c>
      <c r="G55" s="27">
        <v>0</v>
      </c>
      <c r="H55" s="27">
        <v>0</v>
      </c>
      <c r="I55" s="27">
        <f>I52+I53</f>
        <v>0</v>
      </c>
      <c r="J55" s="27">
        <f>J52+J53</f>
        <v>0</v>
      </c>
      <c r="K55" s="27">
        <f>K52+K53</f>
        <v>0</v>
      </c>
      <c r="L55" s="27">
        <f>L52+L53+L54</f>
        <v>-120</v>
      </c>
      <c r="M55" s="27">
        <f>M52+M53+M54</f>
        <v>-108</v>
      </c>
      <c r="N55" s="27">
        <f>N52+N53+N54</f>
        <v>0</v>
      </c>
      <c r="O55" s="29">
        <f>O52+O53+O54</f>
        <v>-108</v>
      </c>
      <c r="P55" s="122"/>
    </row>
    <row r="56" spans="1:16" s="30" customFormat="1" ht="15.75" customHeight="1">
      <c r="A56" s="32" t="s">
        <v>178</v>
      </c>
      <c r="B56" s="41">
        <v>0</v>
      </c>
      <c r="C56" s="41">
        <v>0</v>
      </c>
      <c r="D56" s="54">
        <f>-298*0</f>
        <v>0</v>
      </c>
      <c r="E56" s="41">
        <v>0</v>
      </c>
      <c r="F56" s="27">
        <v>0</v>
      </c>
      <c r="G56" s="27">
        <v>0</v>
      </c>
      <c r="H56" s="27">
        <v>0</v>
      </c>
      <c r="I56" s="41">
        <v>0</v>
      </c>
      <c r="J56" s="28"/>
      <c r="K56" s="28">
        <v>-16631</v>
      </c>
      <c r="L56" s="28">
        <f>-K56</f>
        <v>16631</v>
      </c>
      <c r="M56" s="28">
        <f>SUM(B56:L56)</f>
        <v>0</v>
      </c>
      <c r="N56" s="41">
        <v>0</v>
      </c>
      <c r="O56" s="29">
        <f>N56+M56</f>
        <v>0</v>
      </c>
      <c r="P56" s="122"/>
    </row>
    <row r="57" spans="1:16" s="30" customFormat="1" ht="15.75">
      <c r="A57" s="53" t="s">
        <v>177</v>
      </c>
      <c r="B57" s="41">
        <v>0</v>
      </c>
      <c r="C57" s="41">
        <v>0</v>
      </c>
      <c r="D57" s="54">
        <v>0</v>
      </c>
      <c r="E57" s="41">
        <v>0</v>
      </c>
      <c r="F57" s="27">
        <v>0</v>
      </c>
      <c r="G57" s="27">
        <v>0</v>
      </c>
      <c r="H57" s="27">
        <v>0</v>
      </c>
      <c r="I57" s="41">
        <v>0</v>
      </c>
      <c r="J57" s="28">
        <f>(-17+1*0)</f>
        <v>-17</v>
      </c>
      <c r="K57" s="28">
        <v>0</v>
      </c>
      <c r="L57" s="28">
        <f>-J57</f>
        <v>17</v>
      </c>
      <c r="M57" s="28">
        <f>SUM(B57:L57)</f>
        <v>0</v>
      </c>
      <c r="N57" s="41">
        <v>0</v>
      </c>
      <c r="O57" s="36">
        <f>N57+M57</f>
        <v>0</v>
      </c>
      <c r="P57" s="122"/>
    </row>
    <row r="58" spans="1:16" s="30" customFormat="1" ht="18.75" customHeight="1" thickBot="1">
      <c r="A58" s="44" t="s">
        <v>185</v>
      </c>
      <c r="B58" s="45">
        <f>B37+B50+B55</f>
        <v>93029</v>
      </c>
      <c r="C58" s="45">
        <f>C37+C50+C55</f>
        <v>234</v>
      </c>
      <c r="D58" s="45">
        <f>D35+D50+D55+D56</f>
        <v>0</v>
      </c>
      <c r="E58" s="45">
        <f>E37+E50+E55</f>
        <v>-159</v>
      </c>
      <c r="F58" s="45">
        <f>F37+F50+F55</f>
        <v>87</v>
      </c>
      <c r="G58" s="45">
        <f>G37+G50+G55</f>
        <v>0</v>
      </c>
      <c r="H58" s="45">
        <f>H37+H50+H55</f>
        <v>0</v>
      </c>
      <c r="I58" s="45">
        <f>I37+I50+I55</f>
        <v>1210</v>
      </c>
      <c r="J58" s="45">
        <f>J37+J50+J55+J57</f>
        <v>142</v>
      </c>
      <c r="K58" s="45">
        <f>K37+K50+K55+K56</f>
        <v>0</v>
      </c>
      <c r="L58" s="45">
        <f>L37+L50+L55+L56+L57</f>
        <v>89748</v>
      </c>
      <c r="M58" s="45">
        <f>M37+M50+M55</f>
        <v>184291</v>
      </c>
      <c r="N58" s="45">
        <f>N35+N50+N55</f>
        <v>0</v>
      </c>
      <c r="O58" s="46">
        <f>O37+O50+O55</f>
        <v>184291</v>
      </c>
      <c r="P58" s="122">
        <f>P54+N54</f>
        <v>0</v>
      </c>
    </row>
    <row r="59" spans="1:15" s="161" customFormat="1" ht="9" customHeight="1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</row>
    <row r="60" spans="1:15" s="161" customFormat="1" ht="15" customHeight="1">
      <c r="A60" s="208" t="s">
        <v>43</v>
      </c>
      <c r="B60" s="254">
        <f>B58-'ф.1'!B51</f>
        <v>0</v>
      </c>
      <c r="C60" s="254">
        <f>C58-'ф.1'!B52</f>
        <v>0</v>
      </c>
      <c r="D60" s="254"/>
      <c r="E60" s="254">
        <f>E58-'ф.1'!B53</f>
        <v>0</v>
      </c>
      <c r="F60" s="254">
        <f>F58-'ф.1'!B54</f>
        <v>0</v>
      </c>
      <c r="G60" s="254">
        <f>G58-'ф.1'!B55</f>
        <v>0</v>
      </c>
      <c r="H60" s="254">
        <f>H58-'ф.1'!B56</f>
        <v>0</v>
      </c>
      <c r="I60" s="254">
        <f>I58-'ф.1'!B57</f>
        <v>0</v>
      </c>
      <c r="J60" s="254">
        <f>J58-'ф.1'!B58</f>
        <v>0</v>
      </c>
      <c r="K60" s="254">
        <f>K58-'ф.1'!B59</f>
        <v>0</v>
      </c>
      <c r="L60" s="254">
        <f>L58-'ф.1'!B60</f>
        <v>0</v>
      </c>
      <c r="M60" s="254">
        <f>M58-'ф.1'!B61</f>
        <v>0</v>
      </c>
      <c r="N60" s="254">
        <f>N58-'ф.1'!B62</f>
        <v>0</v>
      </c>
      <c r="O60" s="254">
        <f>'ф.1'!B63-'ф.4'!O58</f>
        <v>0</v>
      </c>
    </row>
    <row r="61" spans="1:16" s="30" customFormat="1" ht="11.25" customHeight="1">
      <c r="A61" s="137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22"/>
    </row>
    <row r="62" spans="1:16" s="30" customFormat="1" ht="16.5" customHeight="1">
      <c r="A62" s="233" t="s">
        <v>180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22"/>
    </row>
    <row r="63" spans="1:16" s="30" customFormat="1" ht="11.25" customHeight="1">
      <c r="A63" s="13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122"/>
    </row>
    <row r="64" spans="1:16" s="30" customFormat="1" ht="11.25" customHeight="1">
      <c r="A64" s="13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122"/>
    </row>
    <row r="65" spans="1:16" s="30" customFormat="1" ht="19.5" customHeight="1">
      <c r="A65" s="138" t="str">
        <f>'ф.1'!A70</f>
        <v>И.о. Председателя Правления                                              </v>
      </c>
      <c r="B65" s="126"/>
      <c r="C65" s="106" t="str">
        <f>'ф.1'!B70</f>
        <v>Бойко О.А.</v>
      </c>
      <c r="D65" s="96"/>
      <c r="E65" s="96"/>
      <c r="F65" s="96"/>
      <c r="G65" s="96"/>
      <c r="H65" s="96"/>
      <c r="I65" s="96"/>
      <c r="J65" s="96"/>
      <c r="K65" s="96"/>
      <c r="L65" s="47"/>
      <c r="M65" s="96"/>
      <c r="N65" s="96"/>
      <c r="P65" s="122"/>
    </row>
    <row r="66" spans="1:16" s="30" customFormat="1" ht="10.5" customHeight="1">
      <c r="A66" s="127"/>
      <c r="B66" s="127"/>
      <c r="C66" s="127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P66" s="122"/>
    </row>
    <row r="67" spans="1:16" s="30" customFormat="1" ht="12" customHeight="1">
      <c r="A67" s="128"/>
      <c r="B67" s="128"/>
      <c r="C67" s="128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P67" s="122"/>
    </row>
    <row r="68" spans="1:4" ht="20.25" customHeight="1">
      <c r="A68" s="50" t="str">
        <f>'ф.1'!A73</f>
        <v>Главный бухгалтер                                                        </v>
      </c>
      <c r="B68" s="106"/>
      <c r="C68" s="106" t="str">
        <f>'ф.1'!B73</f>
        <v>Багаутдинова Н.М.</v>
      </c>
      <c r="D68" s="97"/>
    </row>
    <row r="69" spans="1:14" ht="21" customHeight="1">
      <c r="A69" s="76" t="s">
        <v>105</v>
      </c>
      <c r="B69" s="129"/>
      <c r="C69" s="129"/>
      <c r="K69" s="130"/>
      <c r="L69" s="30"/>
      <c r="M69" s="30"/>
      <c r="N69" s="30"/>
    </row>
    <row r="70" spans="1:14" ht="15.75" customHeight="1">
      <c r="A70" s="77" t="s">
        <v>106</v>
      </c>
      <c r="B70" s="129"/>
      <c r="C70" s="129"/>
      <c r="L70" s="30"/>
      <c r="M70" s="30"/>
      <c r="N70" s="30"/>
    </row>
    <row r="71" spans="1:14" ht="13.5" customHeight="1">
      <c r="A71" s="78" t="s">
        <v>107</v>
      </c>
      <c r="B71" s="129"/>
      <c r="C71" s="129"/>
      <c r="L71" s="30"/>
      <c r="M71" s="30"/>
      <c r="N71" s="30"/>
    </row>
    <row r="72" spans="1:14" ht="15">
      <c r="A72" s="14"/>
      <c r="L72" s="30"/>
      <c r="M72" s="30"/>
      <c r="N72" s="30"/>
    </row>
  </sheetData>
  <sheetProtection/>
  <mergeCells count="7">
    <mergeCell ref="A11:O11"/>
    <mergeCell ref="A10:O10"/>
    <mergeCell ref="A4:B4"/>
    <mergeCell ref="A5:B5"/>
    <mergeCell ref="A7:O7"/>
    <mergeCell ref="A8:O8"/>
    <mergeCell ref="A9:O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2018-07-30T11:02:37Z</cp:lastPrinted>
  <dcterms:created xsi:type="dcterms:W3CDTF">2014-03-12T12:50:09Z</dcterms:created>
  <dcterms:modified xsi:type="dcterms:W3CDTF">2018-07-30T15:39:20Z</dcterms:modified>
  <cp:category/>
  <cp:version/>
  <cp:contentType/>
  <cp:contentStatus/>
</cp:coreProperties>
</file>