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25" activeTab="0"/>
  </bookViews>
  <sheets>
    <sheet name="VREP_700_ND_RESPONDENTundefined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<sst xmlns="http://schemas.openxmlformats.org/spreadsheetml/2006/main" count="10" uniqueCount="10">
  <si>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REPORT_DATE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</si>
  <si>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</si>
  <si>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</si>
  <si>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</si>
  <si>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</si>
  <si>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</si>
  <si>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</si>
  <si>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</si>
  <si>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</si>
  <si>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«Bereke Bank» за 29.03.2024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</si>
</sst>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3" fontId="0" fillId="0" borderId="0" xfId="58" applyFont="1" applyAlignment="1">
      <alignment/>
    </xf>
    <xf numFmtId="0" fontId="0" fillId="33" borderId="10" xfId="0" applyFill="1" applyBorder="1" applyAlignment="1">
      <alignment/>
    </xf>
    <xf numFmtId="43" fontId="0" fillId="33" borderId="10" xfId="58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58" applyFont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3" fontId="0" fillId="0" borderId="10" xfId="58" applyFont="1" applyFill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zoomScale="85" zoomScaleNormal="85" zoomScalePageLayoutView="0" workbookViewId="0" topLeftCell="A1">
      <selection activeCell="I15" sqref="I15"/>
    </sheetView>
  </sheetViews>
  <sheetFormatPr defaultColWidth="9.140625" defaultRowHeight="15"/>
  <cols>
    <col min="1" max="1" width="13.57421875" style="0" bestFit="1" customWidth="1"/>
    <col min="2" max="2" width="9.140625" style="5" customWidth="1"/>
    <col min="3" max="3" width="86.421875" style="0" customWidth="1"/>
    <col min="4" max="6" width="9.140625" style="5" customWidth="1"/>
    <col min="7" max="7" width="21.7109375" style="1" bestFit="1" customWidth="1"/>
  </cols>
  <sheetData>
    <row r="1" spans="1:7" ht="15">
      <c r="A1" s="5"/>
      <c r="C1" s="12" t="s">
        <v>8</v>
      </c>
      <c r="D1" s="12"/>
      <c r="E1" s="12"/>
      <c r="G1" s="6"/>
    </row>
    <row r="2" spans="1:7" ht="15">
      <c r="A2" s="5"/>
      <c r="C2" s="12" t="s">
        <v>9</v>
      </c>
      <c r="D2" s="12"/>
      <c r="E2" s="12"/>
      <c r="G2" s="6"/>
    </row>
    <row r="3" spans="1:7" ht="15">
      <c r="A3" s="5"/>
      <c r="C3" s="13"/>
      <c r="G3" s="6"/>
    </row>
    <row r="4" spans="1:7" ht="15">
      <c r="A4" s="2" t="s">
        <v>0</v>
      </c>
      <c r="B4" s="4" t="s">
        <v>1</v>
      </c>
      <c r="C4" s="2" t="s">
        <v>2</v>
      </c>
      <c r="D4" s="4" t="s">
        <v>3</v>
      </c>
      <c r="E4" s="4" t="s">
        <v>4</v>
      </c>
      <c r="F4" s="4" t="s">
        <v>5</v>
      </c>
      <c r="G4" s="3" t="s">
        <v>6</v>
      </c>
    </row>
    <row r="5" spans="1:7" s="11" customFormat="1" ht="15">
      <c r="A5" s="7">
        <v>45380</v>
      </c>
      <c r="B5" s="8" t="str">
        <f>"1001"</f>
        <v>1001</v>
      </c>
      <c r="C5" s="9" t="str">
        <f>"Наличность в кассе"</f>
        <v>Наличность в кассе</v>
      </c>
      <c r="D5" s="8" t="str">
        <f>"1"</f>
        <v>1</v>
      </c>
      <c r="E5" s="8" t="str">
        <f aca="true" t="shared" si="0" ref="E5:E15">"3"</f>
        <v>3</v>
      </c>
      <c r="F5" s="8" t="str">
        <f>"1"</f>
        <v>1</v>
      </c>
      <c r="G5" s="10">
        <v>2909036547</v>
      </c>
    </row>
    <row r="6" spans="1:7" s="11" customFormat="1" ht="15">
      <c r="A6" s="7">
        <v>45380</v>
      </c>
      <c r="B6" s="8" t="str">
        <f>"1001"</f>
        <v>1001</v>
      </c>
      <c r="C6" s="9" t="str">
        <f>"Наличность в кассе"</f>
        <v>Наличность в кассе</v>
      </c>
      <c r="D6" s="8" t="str">
        <f>"2"</f>
        <v>2</v>
      </c>
      <c r="E6" s="8" t="str">
        <f t="shared" si="0"/>
        <v>3</v>
      </c>
      <c r="F6" s="8" t="str">
        <f>"2"</f>
        <v>2</v>
      </c>
      <c r="G6" s="10">
        <v>8338415843.2</v>
      </c>
    </row>
    <row r="7" spans="1:7" s="11" customFormat="1" ht="15">
      <c r="A7" s="7">
        <v>45380</v>
      </c>
      <c r="B7" s="8" t="str">
        <f>"1001"</f>
        <v>1001</v>
      </c>
      <c r="C7" s="9" t="str">
        <f>"Наличность в кассе"</f>
        <v>Наличность в кассе</v>
      </c>
      <c r="D7" s="8" t="str">
        <f>"2"</f>
        <v>2</v>
      </c>
      <c r="E7" s="8" t="str">
        <f t="shared" si="0"/>
        <v>3</v>
      </c>
      <c r="F7" s="8" t="str">
        <f>"3"</f>
        <v>3</v>
      </c>
      <c r="G7" s="10">
        <v>1312599292.84</v>
      </c>
    </row>
    <row r="8" spans="1:7" s="11" customFormat="1" ht="15">
      <c r="A8" s="7">
        <v>45380</v>
      </c>
      <c r="B8" s="8" t="str">
        <f>"1002"</f>
        <v>1002</v>
      </c>
      <c r="C8" s="9" t="str">
        <f>"Банкноты и монеты в пути"</f>
        <v>Банкноты и монеты в пути</v>
      </c>
      <c r="D8" s="8" t="str">
        <f>"1"</f>
        <v>1</v>
      </c>
      <c r="E8" s="8" t="str">
        <f t="shared" si="0"/>
        <v>3</v>
      </c>
      <c r="F8" s="8" t="str">
        <f>"1"</f>
        <v>1</v>
      </c>
      <c r="G8" s="10">
        <v>5351344734</v>
      </c>
    </row>
    <row r="9" spans="1:7" s="11" customFormat="1" ht="15">
      <c r="A9" s="7">
        <v>45380</v>
      </c>
      <c r="B9" s="8" t="str">
        <f>"1002"</f>
        <v>1002</v>
      </c>
      <c r="C9" s="9" t="str">
        <f>"Банкноты и монеты в пути"</f>
        <v>Банкноты и монеты в пути</v>
      </c>
      <c r="D9" s="8" t="str">
        <f>"2"</f>
        <v>2</v>
      </c>
      <c r="E9" s="8" t="str">
        <f t="shared" si="0"/>
        <v>3</v>
      </c>
      <c r="F9" s="8" t="str">
        <f>"2"</f>
        <v>2</v>
      </c>
      <c r="G9" s="10">
        <v>1563607480.89</v>
      </c>
    </row>
    <row r="10" spans="1:7" s="11" customFormat="1" ht="15">
      <c r="A10" s="7">
        <v>45380</v>
      </c>
      <c r="B10" s="8" t="str">
        <f>"1002"</f>
        <v>1002</v>
      </c>
      <c r="C10" s="9" t="str">
        <f>"Банкноты и монеты в пути"</f>
        <v>Банкноты и монеты в пути</v>
      </c>
      <c r="D10" s="8" t="str">
        <f>"2"</f>
        <v>2</v>
      </c>
      <c r="E10" s="8" t="str">
        <f t="shared" si="0"/>
        <v>3</v>
      </c>
      <c r="F10" s="8" t="str">
        <f>"3"</f>
        <v>3</v>
      </c>
      <c r="G10" s="10">
        <v>521424525.6</v>
      </c>
    </row>
    <row r="11" spans="1:7" s="11" customFormat="1" ht="15">
      <c r="A11" s="7">
        <v>45380</v>
      </c>
      <c r="B11" s="8" t="str">
        <f>"1004"</f>
        <v>1004</v>
      </c>
      <c r="C11" s="9" t="str">
        <f>"Наличность в вечерней кассе"</f>
        <v>Наличность в вечерней кассе</v>
      </c>
      <c r="D11" s="8" t="str">
        <f>"1"</f>
        <v>1</v>
      </c>
      <c r="E11" s="8" t="str">
        <f t="shared" si="0"/>
        <v>3</v>
      </c>
      <c r="F11" s="8" t="str">
        <f>"1"</f>
        <v>1</v>
      </c>
      <c r="G11" s="10">
        <v>261953713</v>
      </c>
    </row>
    <row r="12" spans="1:7" s="11" customFormat="1" ht="15">
      <c r="A12" s="7">
        <v>45380</v>
      </c>
      <c r="B12" s="8" t="str">
        <f>"1004"</f>
        <v>1004</v>
      </c>
      <c r="C12" s="9" t="str">
        <f>"Наличность в вечерней кассе"</f>
        <v>Наличность в вечерней кассе</v>
      </c>
      <c r="D12" s="8" t="str">
        <f>"2"</f>
        <v>2</v>
      </c>
      <c r="E12" s="8" t="str">
        <f t="shared" si="0"/>
        <v>3</v>
      </c>
      <c r="F12" s="8" t="str">
        <f>"2"</f>
        <v>2</v>
      </c>
      <c r="G12" s="10">
        <v>278570609.17</v>
      </c>
    </row>
    <row r="13" spans="1:7" s="11" customFormat="1" ht="15">
      <c r="A13" s="7">
        <v>45380</v>
      </c>
      <c r="B13" s="8" t="str">
        <f>"1004"</f>
        <v>1004</v>
      </c>
      <c r="C13" s="9" t="str">
        <f>"Наличность в вечерней кассе"</f>
        <v>Наличность в вечерней кассе</v>
      </c>
      <c r="D13" s="8" t="str">
        <f>"2"</f>
        <v>2</v>
      </c>
      <c r="E13" s="8" t="str">
        <f t="shared" si="0"/>
        <v>3</v>
      </c>
      <c r="F13" s="8" t="str">
        <f>"3"</f>
        <v>3</v>
      </c>
      <c r="G13" s="10">
        <v>5907670.12</v>
      </c>
    </row>
    <row r="14" spans="1:7" s="11" customFormat="1" ht="15">
      <c r="A14" s="7">
        <v>45380</v>
      </c>
      <c r="B14" s="8" t="str">
        <f>"1005"</f>
        <v>1005</v>
      </c>
      <c r="C14" s="9" t="str">
        <f>"Наличность в банкоматах и электронных терминалах"</f>
        <v>Наличность в банкоматах и электронных терминалах</v>
      </c>
      <c r="D14" s="8" t="str">
        <f>"1"</f>
        <v>1</v>
      </c>
      <c r="E14" s="8" t="str">
        <f t="shared" si="0"/>
        <v>3</v>
      </c>
      <c r="F14" s="8" t="str">
        <f>"1"</f>
        <v>1</v>
      </c>
      <c r="G14" s="10">
        <v>8258799601</v>
      </c>
    </row>
    <row r="15" spans="1:7" s="11" customFormat="1" ht="15">
      <c r="A15" s="7">
        <v>45380</v>
      </c>
      <c r="B15" s="8" t="str">
        <f>"1005"</f>
        <v>1005</v>
      </c>
      <c r="C15" s="9" t="str">
        <f>"Наличность в банкоматах и электронных терминалах"</f>
        <v>Наличность в банкоматах и электронных терминалах</v>
      </c>
      <c r="D15" s="8" t="str">
        <f>"2"</f>
        <v>2</v>
      </c>
      <c r="E15" s="8" t="str">
        <f t="shared" si="0"/>
        <v>3</v>
      </c>
      <c r="F15" s="8" t="str">
        <f>"3"</f>
        <v>3</v>
      </c>
      <c r="G15" s="10">
        <v>78969440</v>
      </c>
    </row>
    <row r="16" spans="1:7" s="11" customFormat="1" ht="15">
      <c r="A16" s="7">
        <v>45380</v>
      </c>
      <c r="B16" s="8" t="str">
        <f>"1007"</f>
        <v>1007</v>
      </c>
      <c r="C16" s="9" t="str">
        <f>"Монеты, изготовленные из драгоценных металлов, в кассе"</f>
        <v>Монеты, изготовленные из драгоценных металлов, в кассе</v>
      </c>
      <c r="D16" s="8" t="str">
        <f>"1"</f>
        <v>1</v>
      </c>
      <c r="E16" s="8">
        <f>""</f>
      </c>
      <c r="F16" s="8">
        <f>""</f>
      </c>
      <c r="G16" s="10">
        <v>41468385.27</v>
      </c>
    </row>
    <row r="17" spans="1:7" s="11" customFormat="1" ht="15">
      <c r="A17" s="7">
        <v>45380</v>
      </c>
      <c r="B17" s="8" t="str">
        <f>"1051"</f>
        <v>1051</v>
      </c>
      <c r="C17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7" s="8" t="str">
        <f>"1"</f>
        <v>1</v>
      </c>
      <c r="E17" s="8" t="str">
        <f>"3"</f>
        <v>3</v>
      </c>
      <c r="F17" s="8" t="str">
        <f>"1"</f>
        <v>1</v>
      </c>
      <c r="G17" s="10">
        <v>7037040815.24</v>
      </c>
    </row>
    <row r="18" spans="1:7" s="11" customFormat="1" ht="15">
      <c r="A18" s="7">
        <v>45380</v>
      </c>
      <c r="B18" s="8" t="str">
        <f>"1051"</f>
        <v>1051</v>
      </c>
      <c r="C18" s="9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D18" s="8" t="str">
        <f>"1"</f>
        <v>1</v>
      </c>
      <c r="E18" s="8" t="str">
        <f>"3"</f>
        <v>3</v>
      </c>
      <c r="F18" s="8" t="str">
        <f>"3"</f>
        <v>3</v>
      </c>
      <c r="G18" s="10">
        <v>4356000000</v>
      </c>
    </row>
    <row r="19" spans="1:7" s="11" customFormat="1" ht="15">
      <c r="A19" s="7">
        <v>45380</v>
      </c>
      <c r="B19" s="8" t="str">
        <f aca="true" t="shared" si="1" ref="B19:B25">"1052"</f>
        <v>1052</v>
      </c>
      <c r="C19" s="9" t="str">
        <f aca="true" t="shared" si="2" ref="C19:C25">"Корреспондентские счета в других банках"</f>
        <v>Корреспондентские счета в других банках</v>
      </c>
      <c r="D19" s="8" t="str">
        <f>"1"</f>
        <v>1</v>
      </c>
      <c r="E19" s="8" t="str">
        <f>"4"</f>
        <v>4</v>
      </c>
      <c r="F19" s="8" t="str">
        <f>"1"</f>
        <v>1</v>
      </c>
      <c r="G19" s="10">
        <v>76555888.34</v>
      </c>
    </row>
    <row r="20" spans="1:7" s="11" customFormat="1" ht="15">
      <c r="A20" s="7">
        <v>45380</v>
      </c>
      <c r="B20" s="8" t="str">
        <f t="shared" si="1"/>
        <v>1052</v>
      </c>
      <c r="C20" s="9" t="str">
        <f t="shared" si="2"/>
        <v>Корреспондентские счета в других банках</v>
      </c>
      <c r="D20" s="8" t="str">
        <f>"1"</f>
        <v>1</v>
      </c>
      <c r="E20" s="8" t="str">
        <f>"4"</f>
        <v>4</v>
      </c>
      <c r="F20" s="8" t="str">
        <f>"2"</f>
        <v>2</v>
      </c>
      <c r="G20" s="10">
        <v>1413816069.84</v>
      </c>
    </row>
    <row r="21" spans="1:7" s="11" customFormat="1" ht="15">
      <c r="A21" s="7">
        <v>45380</v>
      </c>
      <c r="B21" s="8" t="str">
        <f t="shared" si="1"/>
        <v>1052</v>
      </c>
      <c r="C21" s="9" t="str">
        <f t="shared" si="2"/>
        <v>Корреспондентские счета в других банках</v>
      </c>
      <c r="D21" s="8" t="str">
        <f>"2"</f>
        <v>2</v>
      </c>
      <c r="E21" s="8" t="str">
        <f>"4"</f>
        <v>4</v>
      </c>
      <c r="F21" s="8" t="str">
        <f>"2"</f>
        <v>2</v>
      </c>
      <c r="G21" s="10">
        <v>11621698387.3</v>
      </c>
    </row>
    <row r="22" spans="1:7" s="11" customFormat="1" ht="15">
      <c r="A22" s="7">
        <v>45380</v>
      </c>
      <c r="B22" s="8" t="str">
        <f t="shared" si="1"/>
        <v>1052</v>
      </c>
      <c r="C22" s="9" t="str">
        <f t="shared" si="2"/>
        <v>Корреспондентские счета в других банках</v>
      </c>
      <c r="D22" s="8" t="str">
        <f>"2"</f>
        <v>2</v>
      </c>
      <c r="E22" s="8" t="str">
        <f>"4"</f>
        <v>4</v>
      </c>
      <c r="F22" s="8" t="str">
        <f>"3"</f>
        <v>3</v>
      </c>
      <c r="G22" s="10">
        <v>6758038035.65</v>
      </c>
    </row>
    <row r="23" spans="1:7" s="11" customFormat="1" ht="15">
      <c r="A23" s="7">
        <v>45380</v>
      </c>
      <c r="B23" s="8" t="str">
        <f t="shared" si="1"/>
        <v>1052</v>
      </c>
      <c r="C23" s="9" t="str">
        <f t="shared" si="2"/>
        <v>Корреспондентские счета в других банках</v>
      </c>
      <c r="D23" s="8" t="str">
        <f>"2"</f>
        <v>2</v>
      </c>
      <c r="E23" s="8" t="str">
        <f>"5"</f>
        <v>5</v>
      </c>
      <c r="F23" s="8" t="str">
        <f>"1"</f>
        <v>1</v>
      </c>
      <c r="G23" s="10">
        <v>107386431.71</v>
      </c>
    </row>
    <row r="24" spans="1:7" s="11" customFormat="1" ht="15">
      <c r="A24" s="7">
        <v>45380</v>
      </c>
      <c r="B24" s="8" t="str">
        <f t="shared" si="1"/>
        <v>1052</v>
      </c>
      <c r="C24" s="9" t="str">
        <f t="shared" si="2"/>
        <v>Корреспондентские счета в других банках</v>
      </c>
      <c r="D24" s="8" t="str">
        <f>"2"</f>
        <v>2</v>
      </c>
      <c r="E24" s="8" t="str">
        <f>"5"</f>
        <v>5</v>
      </c>
      <c r="F24" s="8" t="str">
        <f>"2"</f>
        <v>2</v>
      </c>
      <c r="G24" s="10">
        <v>439128406.22</v>
      </c>
    </row>
    <row r="25" spans="1:7" s="11" customFormat="1" ht="15">
      <c r="A25" s="7">
        <v>45380</v>
      </c>
      <c r="B25" s="8" t="str">
        <f t="shared" si="1"/>
        <v>1052</v>
      </c>
      <c r="C25" s="9" t="str">
        <f t="shared" si="2"/>
        <v>Корреспондентские счета в других банках</v>
      </c>
      <c r="D25" s="8" t="str">
        <f>"2"</f>
        <v>2</v>
      </c>
      <c r="E25" s="8" t="str">
        <f>"5"</f>
        <v>5</v>
      </c>
      <c r="F25" s="8" t="str">
        <f>"3"</f>
        <v>3</v>
      </c>
      <c r="G25" s="10">
        <v>608172738.43</v>
      </c>
    </row>
    <row r="26" spans="1:7" s="11" customFormat="1" ht="15">
      <c r="A26" s="7">
        <v>45380</v>
      </c>
      <c r="B26" s="8" t="str">
        <f>"1055"</f>
        <v>1055</v>
      </c>
      <c r="C26" s="9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D26" s="8" t="str">
        <f>"1"</f>
        <v>1</v>
      </c>
      <c r="E26" s="8" t="str">
        <f>"3"</f>
        <v>3</v>
      </c>
      <c r="F26" s="8" t="str">
        <f>"1"</f>
        <v>1</v>
      </c>
      <c r="G26" s="10">
        <v>5180013198.93</v>
      </c>
    </row>
    <row r="27" spans="1:7" s="11" customFormat="1" ht="15">
      <c r="A27" s="7">
        <v>45380</v>
      </c>
      <c r="B27" s="8" t="str">
        <f>"1101"</f>
        <v>1101</v>
      </c>
      <c r="C27" s="9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D27" s="8" t="str">
        <f>"1"</f>
        <v>1</v>
      </c>
      <c r="E27" s="8" t="str">
        <f>"3"</f>
        <v>3</v>
      </c>
      <c r="F27" s="8" t="str">
        <f>"1"</f>
        <v>1</v>
      </c>
      <c r="G27" s="10">
        <v>170500000000</v>
      </c>
    </row>
    <row r="28" spans="1:7" s="11" customFormat="1" ht="15">
      <c r="A28" s="7">
        <v>45380</v>
      </c>
      <c r="B28" s="8" t="str">
        <f>"1103"</f>
        <v>1103</v>
      </c>
      <c r="C28" s="9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8" s="8" t="str">
        <f>"1"</f>
        <v>1</v>
      </c>
      <c r="E28" s="8" t="str">
        <f>"3"</f>
        <v>3</v>
      </c>
      <c r="F28" s="8" t="str">
        <f>"1"</f>
        <v>1</v>
      </c>
      <c r="G28" s="10">
        <v>335000000000</v>
      </c>
    </row>
    <row r="29" spans="1:7" s="11" customFormat="1" ht="15">
      <c r="A29" s="7">
        <v>45380</v>
      </c>
      <c r="B29" s="8" t="str">
        <f>"1103"</f>
        <v>1103</v>
      </c>
      <c r="C29" s="9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D29" s="8" t="str">
        <f>"1"</f>
        <v>1</v>
      </c>
      <c r="E29" s="8" t="str">
        <f>"3"</f>
        <v>3</v>
      </c>
      <c r="F29" s="8" t="str">
        <f>"2"</f>
        <v>2</v>
      </c>
      <c r="G29" s="10">
        <v>56741060000</v>
      </c>
    </row>
    <row r="30" spans="1:7" s="11" customFormat="1" ht="15">
      <c r="A30" s="7">
        <v>45380</v>
      </c>
      <c r="B30" s="8" t="str">
        <f>"1259"</f>
        <v>1259</v>
      </c>
      <c r="C30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30" s="8" t="str">
        <f>"1"</f>
        <v>1</v>
      </c>
      <c r="E30" s="8" t="str">
        <f aca="true" t="shared" si="3" ref="E30:E35">"5"</f>
        <v>5</v>
      </c>
      <c r="F30" s="8" t="str">
        <f>"1"</f>
        <v>1</v>
      </c>
      <c r="G30" s="10">
        <v>-66000</v>
      </c>
    </row>
    <row r="31" spans="1:7" s="11" customFormat="1" ht="15">
      <c r="A31" s="7">
        <v>45380</v>
      </c>
      <c r="B31" s="8" t="str">
        <f>"1259"</f>
        <v>1259</v>
      </c>
      <c r="C31" s="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D31" s="8" t="str">
        <f>"2"</f>
        <v>2</v>
      </c>
      <c r="E31" s="8" t="str">
        <f t="shared" si="3"/>
        <v>5</v>
      </c>
      <c r="F31" s="8" t="str">
        <f>"3"</f>
        <v>3</v>
      </c>
      <c r="G31" s="10">
        <v>-4840</v>
      </c>
    </row>
    <row r="32" spans="1:7" s="11" customFormat="1" ht="15">
      <c r="A32" s="7">
        <v>45380</v>
      </c>
      <c r="B32" s="8" t="str">
        <f>"1264"</f>
        <v>1264</v>
      </c>
      <c r="C32" s="9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D32" s="8" t="str">
        <f>"2"</f>
        <v>2</v>
      </c>
      <c r="E32" s="8" t="str">
        <f t="shared" si="3"/>
        <v>5</v>
      </c>
      <c r="F32" s="8" t="str">
        <f>"2"</f>
        <v>2</v>
      </c>
      <c r="G32" s="10">
        <v>1480178333.43</v>
      </c>
    </row>
    <row r="33" spans="1:7" s="11" customFormat="1" ht="15">
      <c r="A33" s="7">
        <v>45380</v>
      </c>
      <c r="B33" s="8" t="str">
        <f>"1264"</f>
        <v>1264</v>
      </c>
      <c r="C33" s="9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D33" s="8" t="str">
        <f>"2"</f>
        <v>2</v>
      </c>
      <c r="E33" s="8" t="str">
        <f t="shared" si="3"/>
        <v>5</v>
      </c>
      <c r="F33" s="8" t="str">
        <f>"3"</f>
        <v>3</v>
      </c>
      <c r="G33" s="10">
        <v>4840000</v>
      </c>
    </row>
    <row r="34" spans="1:7" s="11" customFormat="1" ht="15">
      <c r="A34" s="7">
        <v>45380</v>
      </c>
      <c r="B34" s="8" t="str">
        <f>"1267"</f>
        <v>1267</v>
      </c>
      <c r="C34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4" s="8" t="str">
        <f>"1"</f>
        <v>1</v>
      </c>
      <c r="E34" s="8" t="str">
        <f t="shared" si="3"/>
        <v>5</v>
      </c>
      <c r="F34" s="8" t="str">
        <f>"1"</f>
        <v>1</v>
      </c>
      <c r="G34" s="10">
        <v>55000000</v>
      </c>
    </row>
    <row r="35" spans="1:7" s="11" customFormat="1" ht="15">
      <c r="A35" s="7">
        <v>45380</v>
      </c>
      <c r="B35" s="8" t="str">
        <f>"1267"</f>
        <v>1267</v>
      </c>
      <c r="C35" s="9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D35" s="8" t="str">
        <f>"2"</f>
        <v>2</v>
      </c>
      <c r="E35" s="8" t="str">
        <f t="shared" si="3"/>
        <v>5</v>
      </c>
      <c r="F35" s="8" t="str">
        <f>"3"</f>
        <v>3</v>
      </c>
      <c r="G35" s="10">
        <v>48400000</v>
      </c>
    </row>
    <row r="36" spans="1:7" s="11" customFormat="1" ht="15">
      <c r="A36" s="7">
        <v>45380</v>
      </c>
      <c r="B36" s="8" t="str">
        <f>"1401"</f>
        <v>1401</v>
      </c>
      <c r="C36" s="9" t="str">
        <f>"Займы овердрафт, предоставленные клиентам"</f>
        <v>Займы овердрафт, предоставленные клиентам</v>
      </c>
      <c r="D36" s="8" t="str">
        <f aca="true" t="shared" si="4" ref="D36:D47">"1"</f>
        <v>1</v>
      </c>
      <c r="E36" s="8" t="str">
        <f>"7"</f>
        <v>7</v>
      </c>
      <c r="F36" s="8" t="str">
        <f>"1"</f>
        <v>1</v>
      </c>
      <c r="G36" s="10">
        <v>743074954.29</v>
      </c>
    </row>
    <row r="37" spans="1:7" s="11" customFormat="1" ht="15">
      <c r="A37" s="7">
        <v>45380</v>
      </c>
      <c r="B37" s="8" t="str">
        <f>"1401"</f>
        <v>1401</v>
      </c>
      <c r="C37" s="9" t="str">
        <f>"Займы овердрафт, предоставленные клиентам"</f>
        <v>Займы овердрафт, предоставленные клиентам</v>
      </c>
      <c r="D37" s="8" t="str">
        <f t="shared" si="4"/>
        <v>1</v>
      </c>
      <c r="E37" s="8" t="str">
        <f>"9"</f>
        <v>9</v>
      </c>
      <c r="F37" s="8" t="str">
        <f>"1"</f>
        <v>1</v>
      </c>
      <c r="G37" s="10">
        <v>22879285.47</v>
      </c>
    </row>
    <row r="38" spans="1:7" s="11" customFormat="1" ht="15">
      <c r="A38" s="7">
        <v>45380</v>
      </c>
      <c r="B38" s="8" t="str">
        <f>"1403"</f>
        <v>1403</v>
      </c>
      <c r="C38" s="9" t="str">
        <f>"Счета по кредитным карточкам клиентов"</f>
        <v>Счета по кредитным карточкам клиентов</v>
      </c>
      <c r="D38" s="8" t="str">
        <f t="shared" si="4"/>
        <v>1</v>
      </c>
      <c r="E38" s="8" t="str">
        <f>"7"</f>
        <v>7</v>
      </c>
      <c r="F38" s="8" t="str">
        <f>"1"</f>
        <v>1</v>
      </c>
      <c r="G38" s="10">
        <v>8879688.1</v>
      </c>
    </row>
    <row r="39" spans="1:7" s="11" customFormat="1" ht="15">
      <c r="A39" s="7">
        <v>45380</v>
      </c>
      <c r="B39" s="8" t="str">
        <f>"1403"</f>
        <v>1403</v>
      </c>
      <c r="C39" s="9" t="str">
        <f>"Счета по кредитным карточкам клиентов"</f>
        <v>Счета по кредитным карточкам клиентов</v>
      </c>
      <c r="D39" s="8" t="str">
        <f t="shared" si="4"/>
        <v>1</v>
      </c>
      <c r="E39" s="8" t="str">
        <f>"9"</f>
        <v>9</v>
      </c>
      <c r="F39" s="8" t="str">
        <f>"1"</f>
        <v>1</v>
      </c>
      <c r="G39" s="10">
        <v>1005790106.51</v>
      </c>
    </row>
    <row r="40" spans="1:7" s="11" customFormat="1" ht="15">
      <c r="A40" s="7">
        <v>45380</v>
      </c>
      <c r="B40" s="8" t="str">
        <f>"1411"</f>
        <v>1411</v>
      </c>
      <c r="C40" s="9" t="str">
        <f>"Краткосрочные займы, предоставленные клиентам"</f>
        <v>Краткосрочные займы, предоставленные клиентам</v>
      </c>
      <c r="D40" s="8" t="str">
        <f t="shared" si="4"/>
        <v>1</v>
      </c>
      <c r="E40" s="8" t="str">
        <f>"7"</f>
        <v>7</v>
      </c>
      <c r="F40" s="8" t="str">
        <f>"1"</f>
        <v>1</v>
      </c>
      <c r="G40" s="10">
        <v>136792554468.92</v>
      </c>
    </row>
    <row r="41" spans="1:7" s="11" customFormat="1" ht="15">
      <c r="A41" s="7">
        <v>45380</v>
      </c>
      <c r="B41" s="8" t="str">
        <f>"1411"</f>
        <v>1411</v>
      </c>
      <c r="C41" s="9" t="str">
        <f>"Краткосрочные займы, предоставленные клиентам"</f>
        <v>Краткосрочные займы, предоставленные клиентам</v>
      </c>
      <c r="D41" s="8" t="str">
        <f t="shared" si="4"/>
        <v>1</v>
      </c>
      <c r="E41" s="8" t="str">
        <f>"7"</f>
        <v>7</v>
      </c>
      <c r="F41" s="8" t="str">
        <f>"2"</f>
        <v>2</v>
      </c>
      <c r="G41" s="10">
        <v>6051695053.41</v>
      </c>
    </row>
    <row r="42" spans="1:7" s="11" customFormat="1" ht="15">
      <c r="A42" s="7">
        <v>45380</v>
      </c>
      <c r="B42" s="8" t="str">
        <f>"1411"</f>
        <v>1411</v>
      </c>
      <c r="C42" s="9" t="str">
        <f>"Краткосрочные займы, предоставленные клиентам"</f>
        <v>Краткосрочные займы, предоставленные клиентам</v>
      </c>
      <c r="D42" s="8" t="str">
        <f t="shared" si="4"/>
        <v>1</v>
      </c>
      <c r="E42" s="8" t="str">
        <f>"9"</f>
        <v>9</v>
      </c>
      <c r="F42" s="8" t="str">
        <f>"1"</f>
        <v>1</v>
      </c>
      <c r="G42" s="10">
        <v>6607838615.91</v>
      </c>
    </row>
    <row r="43" spans="1:7" s="11" customFormat="1" ht="15">
      <c r="A43" s="7">
        <v>45380</v>
      </c>
      <c r="B43" s="8" t="str">
        <f aca="true" t="shared" si="5" ref="B43:B48">"1417"</f>
        <v>1417</v>
      </c>
      <c r="C43" s="9" t="str">
        <f aca="true" t="shared" si="6" ref="C43:C48">"Долгосрочные займы, предоставленные клиентам"</f>
        <v>Долгосрочные займы, предоставленные клиентам</v>
      </c>
      <c r="D43" s="8" t="str">
        <f t="shared" si="4"/>
        <v>1</v>
      </c>
      <c r="E43" s="8" t="str">
        <f>"7"</f>
        <v>7</v>
      </c>
      <c r="F43" s="8" t="str">
        <f>"1"</f>
        <v>1</v>
      </c>
      <c r="G43" s="10">
        <v>237512184731.73</v>
      </c>
    </row>
    <row r="44" spans="1:7" s="11" customFormat="1" ht="15">
      <c r="A44" s="7">
        <v>45380</v>
      </c>
      <c r="B44" s="8" t="str">
        <f t="shared" si="5"/>
        <v>1417</v>
      </c>
      <c r="C44" s="9" t="str">
        <f t="shared" si="6"/>
        <v>Долгосрочные займы, предоставленные клиентам</v>
      </c>
      <c r="D44" s="8" t="str">
        <f t="shared" si="4"/>
        <v>1</v>
      </c>
      <c r="E44" s="8" t="str">
        <f>"7"</f>
        <v>7</v>
      </c>
      <c r="F44" s="8" t="str">
        <f>"2"</f>
        <v>2</v>
      </c>
      <c r="G44" s="10">
        <v>3190015651.5</v>
      </c>
    </row>
    <row r="45" spans="1:7" s="11" customFormat="1" ht="15">
      <c r="A45" s="7">
        <v>45380</v>
      </c>
      <c r="B45" s="8" t="str">
        <f t="shared" si="5"/>
        <v>1417</v>
      </c>
      <c r="C45" s="9" t="str">
        <f t="shared" si="6"/>
        <v>Долгосрочные займы, предоставленные клиентам</v>
      </c>
      <c r="D45" s="8" t="str">
        <f t="shared" si="4"/>
        <v>1</v>
      </c>
      <c r="E45" s="8" t="str">
        <f>"7"</f>
        <v>7</v>
      </c>
      <c r="F45" s="8" t="str">
        <f>"3"</f>
        <v>3</v>
      </c>
      <c r="G45" s="10">
        <v>654054038.88</v>
      </c>
    </row>
    <row r="46" spans="1:7" s="11" customFormat="1" ht="15">
      <c r="A46" s="7">
        <v>45380</v>
      </c>
      <c r="B46" s="8" t="str">
        <f t="shared" si="5"/>
        <v>1417</v>
      </c>
      <c r="C46" s="9" t="str">
        <f t="shared" si="6"/>
        <v>Долгосрочные займы, предоставленные клиентам</v>
      </c>
      <c r="D46" s="8" t="str">
        <f t="shared" si="4"/>
        <v>1</v>
      </c>
      <c r="E46" s="8" t="str">
        <f>"9"</f>
        <v>9</v>
      </c>
      <c r="F46" s="8" t="str">
        <f>"1"</f>
        <v>1</v>
      </c>
      <c r="G46" s="10">
        <v>952180617469.16</v>
      </c>
    </row>
    <row r="47" spans="1:7" s="11" customFormat="1" ht="15">
      <c r="A47" s="7">
        <v>45380</v>
      </c>
      <c r="B47" s="8" t="str">
        <f t="shared" si="5"/>
        <v>1417</v>
      </c>
      <c r="C47" s="9" t="str">
        <f t="shared" si="6"/>
        <v>Долгосрочные займы, предоставленные клиентам</v>
      </c>
      <c r="D47" s="8" t="str">
        <f t="shared" si="4"/>
        <v>1</v>
      </c>
      <c r="E47" s="8" t="str">
        <f>"9"</f>
        <v>9</v>
      </c>
      <c r="F47" s="8" t="str">
        <f>"2"</f>
        <v>2</v>
      </c>
      <c r="G47" s="10">
        <v>677237702.18</v>
      </c>
    </row>
    <row r="48" spans="1:7" s="11" customFormat="1" ht="15">
      <c r="A48" s="7">
        <v>45380</v>
      </c>
      <c r="B48" s="8" t="str">
        <f t="shared" si="5"/>
        <v>1417</v>
      </c>
      <c r="C48" s="9" t="str">
        <f t="shared" si="6"/>
        <v>Долгосрочные займы, предоставленные клиентам</v>
      </c>
      <c r="D48" s="8" t="str">
        <f>"2"</f>
        <v>2</v>
      </c>
      <c r="E48" s="8" t="str">
        <f>"9"</f>
        <v>9</v>
      </c>
      <c r="F48" s="8" t="str">
        <f>"1"</f>
        <v>1</v>
      </c>
      <c r="G48" s="10">
        <v>169215145.35</v>
      </c>
    </row>
    <row r="49" spans="1:7" s="11" customFormat="1" ht="15">
      <c r="A49" s="7">
        <v>45380</v>
      </c>
      <c r="B49" s="8" t="str">
        <f aca="true" t="shared" si="7" ref="B49:B54">"1424"</f>
        <v>1424</v>
      </c>
      <c r="C49" s="9" t="str">
        <f aca="true" t="shared" si="8" ref="C49:C54">"Просроченная задолженность клиентов по займам"</f>
        <v>Просроченная задолженность клиентов по займам</v>
      </c>
      <c r="D49" s="8" t="str">
        <f>"1"</f>
        <v>1</v>
      </c>
      <c r="E49" s="8" t="str">
        <f>"5"</f>
        <v>5</v>
      </c>
      <c r="F49" s="8" t="str">
        <f>"1"</f>
        <v>1</v>
      </c>
      <c r="G49" s="10">
        <v>32248932.93</v>
      </c>
    </row>
    <row r="50" spans="1:7" s="11" customFormat="1" ht="15">
      <c r="A50" s="7">
        <v>45380</v>
      </c>
      <c r="B50" s="8" t="str">
        <f t="shared" si="7"/>
        <v>1424</v>
      </c>
      <c r="C50" s="9" t="str">
        <f t="shared" si="8"/>
        <v>Просроченная задолженность клиентов по займам</v>
      </c>
      <c r="D50" s="8" t="str">
        <f>"1"</f>
        <v>1</v>
      </c>
      <c r="E50" s="8" t="str">
        <f>"7"</f>
        <v>7</v>
      </c>
      <c r="F50" s="8" t="str">
        <f>"1"</f>
        <v>1</v>
      </c>
      <c r="G50" s="10">
        <v>15534375918.52</v>
      </c>
    </row>
    <row r="51" spans="1:7" s="11" customFormat="1" ht="15">
      <c r="A51" s="7">
        <v>45380</v>
      </c>
      <c r="B51" s="8" t="str">
        <f t="shared" si="7"/>
        <v>1424</v>
      </c>
      <c r="C51" s="9" t="str">
        <f t="shared" si="8"/>
        <v>Просроченная задолженность клиентов по займам</v>
      </c>
      <c r="D51" s="8" t="str">
        <f>"1"</f>
        <v>1</v>
      </c>
      <c r="E51" s="8" t="str">
        <f>"7"</f>
        <v>7</v>
      </c>
      <c r="F51" s="8" t="str">
        <f>"3"</f>
        <v>3</v>
      </c>
      <c r="G51" s="10">
        <v>13081082.52</v>
      </c>
    </row>
    <row r="52" spans="1:7" s="11" customFormat="1" ht="15">
      <c r="A52" s="7">
        <v>45380</v>
      </c>
      <c r="B52" s="8" t="str">
        <f t="shared" si="7"/>
        <v>1424</v>
      </c>
      <c r="C52" s="9" t="str">
        <f t="shared" si="8"/>
        <v>Просроченная задолженность клиентов по займам</v>
      </c>
      <c r="D52" s="8" t="str">
        <f>"1"</f>
        <v>1</v>
      </c>
      <c r="E52" s="8" t="str">
        <f>"9"</f>
        <v>9</v>
      </c>
      <c r="F52" s="8" t="str">
        <f>"1"</f>
        <v>1</v>
      </c>
      <c r="G52" s="10">
        <v>20364114977.34</v>
      </c>
    </row>
    <row r="53" spans="1:7" s="11" customFormat="1" ht="15">
      <c r="A53" s="7">
        <v>45380</v>
      </c>
      <c r="B53" s="8" t="str">
        <f t="shared" si="7"/>
        <v>1424</v>
      </c>
      <c r="C53" s="9" t="str">
        <f t="shared" si="8"/>
        <v>Просроченная задолженность клиентов по займам</v>
      </c>
      <c r="D53" s="8" t="str">
        <f>"1"</f>
        <v>1</v>
      </c>
      <c r="E53" s="8" t="str">
        <f>"9"</f>
        <v>9</v>
      </c>
      <c r="F53" s="8" t="str">
        <f>"2"</f>
        <v>2</v>
      </c>
      <c r="G53" s="10">
        <v>7917812.81</v>
      </c>
    </row>
    <row r="54" spans="1:7" s="11" customFormat="1" ht="15">
      <c r="A54" s="7">
        <v>45380</v>
      </c>
      <c r="B54" s="8" t="str">
        <f t="shared" si="7"/>
        <v>1424</v>
      </c>
      <c r="C54" s="9" t="str">
        <f t="shared" si="8"/>
        <v>Просроченная задолженность клиентов по займам</v>
      </c>
      <c r="D54" s="8" t="str">
        <f>"2"</f>
        <v>2</v>
      </c>
      <c r="E54" s="8" t="str">
        <f>"9"</f>
        <v>9</v>
      </c>
      <c r="F54" s="8" t="str">
        <f>"1"</f>
        <v>1</v>
      </c>
      <c r="G54" s="10">
        <v>4717210.51</v>
      </c>
    </row>
    <row r="55" spans="1:7" s="11" customFormat="1" ht="15">
      <c r="A55" s="7">
        <v>45380</v>
      </c>
      <c r="B55" s="8" t="str">
        <f aca="true" t="shared" si="9" ref="B55:B61">"1428"</f>
        <v>1428</v>
      </c>
      <c r="C55" s="9" t="str">
        <f aca="true" t="shared" si="10" ref="C55:C61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D55" s="8" t="str">
        <f aca="true" t="shared" si="11" ref="D55:D60">"1"</f>
        <v>1</v>
      </c>
      <c r="E55" s="8" t="str">
        <f>"5"</f>
        <v>5</v>
      </c>
      <c r="F55" s="8" t="str">
        <f>"1"</f>
        <v>1</v>
      </c>
      <c r="G55" s="10">
        <v>-188691593.26</v>
      </c>
    </row>
    <row r="56" spans="1:7" s="11" customFormat="1" ht="15">
      <c r="A56" s="7">
        <v>45380</v>
      </c>
      <c r="B56" s="8" t="str">
        <f t="shared" si="9"/>
        <v>1428</v>
      </c>
      <c r="C56" s="9" t="str">
        <f t="shared" si="10"/>
        <v>Резервы (провизии) по займам и финансовому лизингу, предоставленным клиентам</v>
      </c>
      <c r="D56" s="8" t="str">
        <f t="shared" si="11"/>
        <v>1</v>
      </c>
      <c r="E56" s="8" t="str">
        <f>"7"</f>
        <v>7</v>
      </c>
      <c r="F56" s="8" t="str">
        <f>"1"</f>
        <v>1</v>
      </c>
      <c r="G56" s="10">
        <v>-59945007123.55</v>
      </c>
    </row>
    <row r="57" spans="1:7" s="11" customFormat="1" ht="15">
      <c r="A57" s="7">
        <v>45380</v>
      </c>
      <c r="B57" s="8" t="str">
        <f t="shared" si="9"/>
        <v>1428</v>
      </c>
      <c r="C57" s="9" t="str">
        <f t="shared" si="10"/>
        <v>Резервы (провизии) по займам и финансовому лизингу, предоставленным клиентам</v>
      </c>
      <c r="D57" s="8" t="str">
        <f t="shared" si="11"/>
        <v>1</v>
      </c>
      <c r="E57" s="8" t="str">
        <f>"7"</f>
        <v>7</v>
      </c>
      <c r="F57" s="8" t="str">
        <f>"2"</f>
        <v>2</v>
      </c>
      <c r="G57" s="10">
        <v>-485789585.99</v>
      </c>
    </row>
    <row r="58" spans="1:7" s="11" customFormat="1" ht="15">
      <c r="A58" s="7">
        <v>45380</v>
      </c>
      <c r="B58" s="8" t="str">
        <f t="shared" si="9"/>
        <v>1428</v>
      </c>
      <c r="C58" s="9" t="str">
        <f t="shared" si="10"/>
        <v>Резервы (провизии) по займам и финансовому лизингу, предоставленным клиентам</v>
      </c>
      <c r="D58" s="8" t="str">
        <f t="shared" si="11"/>
        <v>1</v>
      </c>
      <c r="E58" s="8" t="str">
        <f>"7"</f>
        <v>7</v>
      </c>
      <c r="F58" s="8" t="str">
        <f>"3"</f>
        <v>3</v>
      </c>
      <c r="G58" s="10">
        <v>-128492150.65</v>
      </c>
    </row>
    <row r="59" spans="1:7" s="11" customFormat="1" ht="15">
      <c r="A59" s="7">
        <v>45380</v>
      </c>
      <c r="B59" s="8" t="str">
        <f t="shared" si="9"/>
        <v>1428</v>
      </c>
      <c r="C59" s="9" t="str">
        <f t="shared" si="10"/>
        <v>Резервы (провизии) по займам и финансовому лизингу, предоставленным клиентам</v>
      </c>
      <c r="D59" s="8" t="str">
        <f t="shared" si="11"/>
        <v>1</v>
      </c>
      <c r="E59" s="8" t="str">
        <f>"9"</f>
        <v>9</v>
      </c>
      <c r="F59" s="8" t="str">
        <f>"1"</f>
        <v>1</v>
      </c>
      <c r="G59" s="10">
        <v>-119858917445.37</v>
      </c>
    </row>
    <row r="60" spans="1:7" s="11" customFormat="1" ht="15">
      <c r="A60" s="7">
        <v>45380</v>
      </c>
      <c r="B60" s="8" t="str">
        <f t="shared" si="9"/>
        <v>1428</v>
      </c>
      <c r="C60" s="9" t="str">
        <f t="shared" si="10"/>
        <v>Резервы (провизии) по займам и финансовому лизингу, предоставленным клиентам</v>
      </c>
      <c r="D60" s="8" t="str">
        <f t="shared" si="11"/>
        <v>1</v>
      </c>
      <c r="E60" s="8" t="str">
        <f>"9"</f>
        <v>9</v>
      </c>
      <c r="F60" s="8" t="str">
        <f>"2"</f>
        <v>2</v>
      </c>
      <c r="G60" s="10">
        <v>-17153130.69</v>
      </c>
    </row>
    <row r="61" spans="1:7" s="11" customFormat="1" ht="15">
      <c r="A61" s="7">
        <v>45380</v>
      </c>
      <c r="B61" s="8" t="str">
        <f t="shared" si="9"/>
        <v>1428</v>
      </c>
      <c r="C61" s="9" t="str">
        <f t="shared" si="10"/>
        <v>Резервы (провизии) по займам и финансовому лизингу, предоставленным клиентам</v>
      </c>
      <c r="D61" s="8" t="str">
        <f>"2"</f>
        <v>2</v>
      </c>
      <c r="E61" s="8" t="str">
        <f>"9"</f>
        <v>9</v>
      </c>
      <c r="F61" s="8" t="str">
        <f>"1"</f>
        <v>1</v>
      </c>
      <c r="G61" s="10">
        <v>-31921009.45</v>
      </c>
    </row>
    <row r="62" spans="1:7" s="11" customFormat="1" ht="15">
      <c r="A62" s="7">
        <v>45380</v>
      </c>
      <c r="B62" s="8" t="str">
        <f>"1434"</f>
        <v>1434</v>
      </c>
      <c r="C62" s="9" t="str">
        <f>"Дисконт по займам, предоставленным клиентам"</f>
        <v>Дисконт по займам, предоставленным клиентам</v>
      </c>
      <c r="D62" s="8" t="str">
        <f>"1"</f>
        <v>1</v>
      </c>
      <c r="E62" s="8" t="str">
        <f>"7"</f>
        <v>7</v>
      </c>
      <c r="F62" s="8" t="str">
        <f>"1"</f>
        <v>1</v>
      </c>
      <c r="G62" s="10">
        <v>-83963936.76</v>
      </c>
    </row>
    <row r="63" spans="1:7" s="11" customFormat="1" ht="15">
      <c r="A63" s="7">
        <v>45380</v>
      </c>
      <c r="B63" s="8" t="str">
        <f>"1434"</f>
        <v>1434</v>
      </c>
      <c r="C63" s="9" t="str">
        <f>"Дисконт по займам, предоставленным клиентам"</f>
        <v>Дисконт по займам, предоставленным клиентам</v>
      </c>
      <c r="D63" s="8" t="str">
        <f>"1"</f>
        <v>1</v>
      </c>
      <c r="E63" s="8" t="str">
        <f>"7"</f>
        <v>7</v>
      </c>
      <c r="F63" s="8" t="str">
        <f>"2"</f>
        <v>2</v>
      </c>
      <c r="G63" s="10">
        <v>-100047.45</v>
      </c>
    </row>
    <row r="64" spans="1:7" s="11" customFormat="1" ht="15">
      <c r="A64" s="7">
        <v>45380</v>
      </c>
      <c r="B64" s="8" t="str">
        <f>"1434"</f>
        <v>1434</v>
      </c>
      <c r="C64" s="9" t="str">
        <f>"Дисконт по займам, предоставленным клиентам"</f>
        <v>Дисконт по займам, предоставленным клиентам</v>
      </c>
      <c r="D64" s="8" t="str">
        <f>"1"</f>
        <v>1</v>
      </c>
      <c r="E64" s="8" t="str">
        <f>"9"</f>
        <v>9</v>
      </c>
      <c r="F64" s="8" t="str">
        <f aca="true" t="shared" si="12" ref="F64:F78">"1"</f>
        <v>1</v>
      </c>
      <c r="G64" s="10">
        <v>-1538124744.59</v>
      </c>
    </row>
    <row r="65" spans="1:7" s="11" customFormat="1" ht="15">
      <c r="A65" s="7">
        <v>45380</v>
      </c>
      <c r="B65" s="8" t="str">
        <f>"1434"</f>
        <v>1434</v>
      </c>
      <c r="C65" s="9" t="str">
        <f>"Дисконт по займам, предоставленным клиентам"</f>
        <v>Дисконт по займам, предоставленным клиентам</v>
      </c>
      <c r="D65" s="8" t="str">
        <f>"2"</f>
        <v>2</v>
      </c>
      <c r="E65" s="8" t="str">
        <f>"9"</f>
        <v>9</v>
      </c>
      <c r="F65" s="8" t="str">
        <f t="shared" si="12"/>
        <v>1</v>
      </c>
      <c r="G65" s="10">
        <v>-565634.66</v>
      </c>
    </row>
    <row r="66" spans="1:7" s="11" customFormat="1" ht="15">
      <c r="A66" s="7">
        <v>45380</v>
      </c>
      <c r="B66" s="8" t="str">
        <f>"1452"</f>
        <v>1452</v>
      </c>
      <c r="C66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6" s="8" t="str">
        <f>"1"</f>
        <v>1</v>
      </c>
      <c r="E66" s="8" t="str">
        <f>"1"</f>
        <v>1</v>
      </c>
      <c r="F66" s="8" t="str">
        <f t="shared" si="12"/>
        <v>1</v>
      </c>
      <c r="G66" s="10">
        <v>20000000000</v>
      </c>
    </row>
    <row r="67" spans="1:7" s="11" customFormat="1" ht="15">
      <c r="A67" s="7">
        <v>45380</v>
      </c>
      <c r="B67" s="8" t="str">
        <f>"1452"</f>
        <v>1452</v>
      </c>
      <c r="C67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7" s="8" t="str">
        <f>"1"</f>
        <v>1</v>
      </c>
      <c r="E67" s="8" t="str">
        <f>"5"</f>
        <v>5</v>
      </c>
      <c r="F67" s="8" t="str">
        <f t="shared" si="12"/>
        <v>1</v>
      </c>
      <c r="G67" s="10">
        <v>20000000000</v>
      </c>
    </row>
    <row r="68" spans="1:7" s="11" customFormat="1" ht="15">
      <c r="A68" s="7">
        <v>45380</v>
      </c>
      <c r="B68" s="8" t="str">
        <f>"1452"</f>
        <v>1452</v>
      </c>
      <c r="C68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8" s="8" t="str">
        <f>"1"</f>
        <v>1</v>
      </c>
      <c r="E68" s="8" t="str">
        <f>"6"</f>
        <v>6</v>
      </c>
      <c r="F68" s="8" t="str">
        <f t="shared" si="12"/>
        <v>1</v>
      </c>
      <c r="G68" s="10">
        <v>12000000000</v>
      </c>
    </row>
    <row r="69" spans="1:7" s="11" customFormat="1" ht="15">
      <c r="A69" s="7">
        <v>45380</v>
      </c>
      <c r="B69" s="8" t="str">
        <f>"1452"</f>
        <v>1452</v>
      </c>
      <c r="C69" s="9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D69" s="8" t="str">
        <f>"2"</f>
        <v>2</v>
      </c>
      <c r="E69" s="8" t="str">
        <f>"4"</f>
        <v>4</v>
      </c>
      <c r="F69" s="8" t="str">
        <f t="shared" si="12"/>
        <v>1</v>
      </c>
      <c r="G69" s="10">
        <v>10000000000</v>
      </c>
    </row>
    <row r="70" spans="1:7" s="11" customFormat="1" ht="15">
      <c r="A70" s="7">
        <v>45380</v>
      </c>
      <c r="B70" s="8" t="str">
        <f>"1453"</f>
        <v>1453</v>
      </c>
      <c r="C70" s="9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D70" s="8" t="str">
        <f>"1"</f>
        <v>1</v>
      </c>
      <c r="E70" s="8" t="str">
        <f>"1"</f>
        <v>1</v>
      </c>
      <c r="F70" s="8" t="str">
        <f t="shared" si="12"/>
        <v>1</v>
      </c>
      <c r="G70" s="10">
        <v>-1709702718.07</v>
      </c>
    </row>
    <row r="71" spans="1:7" s="11" customFormat="1" ht="15">
      <c r="A71" s="7">
        <v>45380</v>
      </c>
      <c r="B71" s="8" t="str">
        <f>"1454"</f>
        <v>1454</v>
      </c>
      <c r="C71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D71" s="8" t="str">
        <f>"1"</f>
        <v>1</v>
      </c>
      <c r="E71" s="8" t="str">
        <f>"5"</f>
        <v>5</v>
      </c>
      <c r="F71" s="8" t="str">
        <f t="shared" si="12"/>
        <v>1</v>
      </c>
      <c r="G71" s="10">
        <v>669228165.64</v>
      </c>
    </row>
    <row r="72" spans="1:7" s="11" customFormat="1" ht="15">
      <c r="A72" s="7">
        <v>45380</v>
      </c>
      <c r="B72" s="8" t="str">
        <f>"1454"</f>
        <v>1454</v>
      </c>
      <c r="C72" s="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D72" s="8" t="str">
        <f>"1"</f>
        <v>1</v>
      </c>
      <c r="E72" s="8" t="str">
        <f>"6"</f>
        <v>6</v>
      </c>
      <c r="F72" s="8" t="str">
        <f t="shared" si="12"/>
        <v>1</v>
      </c>
      <c r="G72" s="10">
        <v>46709498.27</v>
      </c>
    </row>
    <row r="73" spans="1:7" s="11" customFormat="1" ht="15">
      <c r="A73" s="7">
        <v>45380</v>
      </c>
      <c r="B73" s="8" t="str">
        <f>"1456"</f>
        <v>1456</v>
      </c>
      <c r="C73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73" s="8" t="str">
        <f>"1"</f>
        <v>1</v>
      </c>
      <c r="E73" s="8" t="str">
        <f>"1"</f>
        <v>1</v>
      </c>
      <c r="F73" s="8" t="str">
        <f t="shared" si="12"/>
        <v>1</v>
      </c>
      <c r="G73" s="10">
        <v>774142718.07</v>
      </c>
    </row>
    <row r="74" spans="1:7" s="11" customFormat="1" ht="15">
      <c r="A74" s="7">
        <v>45380</v>
      </c>
      <c r="B74" s="8" t="str">
        <f>"1456"</f>
        <v>1456</v>
      </c>
      <c r="C74" s="9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D74" s="8" t="str">
        <f>"2"</f>
        <v>2</v>
      </c>
      <c r="E74" s="8" t="str">
        <f>"4"</f>
        <v>4</v>
      </c>
      <c r="F74" s="8" t="str">
        <f t="shared" si="12"/>
        <v>1</v>
      </c>
      <c r="G74" s="10">
        <v>110929000</v>
      </c>
    </row>
    <row r="75" spans="1:7" s="11" customFormat="1" ht="15">
      <c r="A75" s="7">
        <v>45380</v>
      </c>
      <c r="B75" s="8" t="str">
        <f>"1457"</f>
        <v>1457</v>
      </c>
      <c r="C75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5" s="8" t="str">
        <f>"1"</f>
        <v>1</v>
      </c>
      <c r="E75" s="8" t="str">
        <f>"5"</f>
        <v>5</v>
      </c>
      <c r="F75" s="8" t="str">
        <f t="shared" si="12"/>
        <v>1</v>
      </c>
      <c r="G75" s="10">
        <v>-669228165.64</v>
      </c>
    </row>
    <row r="76" spans="1:7" s="11" customFormat="1" ht="15">
      <c r="A76" s="7">
        <v>45380</v>
      </c>
      <c r="B76" s="8" t="str">
        <f>"1457"</f>
        <v>1457</v>
      </c>
      <c r="C76" s="9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D76" s="8" t="str">
        <f>"1"</f>
        <v>1</v>
      </c>
      <c r="E76" s="8" t="str">
        <f>"6"</f>
        <v>6</v>
      </c>
      <c r="F76" s="8" t="str">
        <f t="shared" si="12"/>
        <v>1</v>
      </c>
      <c r="G76" s="10">
        <v>-46709498.27</v>
      </c>
    </row>
    <row r="77" spans="1:7" s="11" customFormat="1" ht="15">
      <c r="A77" s="7">
        <v>45380</v>
      </c>
      <c r="B77" s="8" t="str">
        <f>"1461"</f>
        <v>1461</v>
      </c>
      <c r="C77" s="9" t="str">
        <f>"Операции «обратное РЕПО» с ценными бумагами"</f>
        <v>Операции «обратное РЕПО» с ценными бумагами</v>
      </c>
      <c r="D77" s="8" t="str">
        <f>"1"</f>
        <v>1</v>
      </c>
      <c r="E77" s="8" t="str">
        <f>"5"</f>
        <v>5</v>
      </c>
      <c r="F77" s="8" t="str">
        <f t="shared" si="12"/>
        <v>1</v>
      </c>
      <c r="G77" s="10">
        <v>92036852636.73</v>
      </c>
    </row>
    <row r="78" spans="1:7" s="11" customFormat="1" ht="15">
      <c r="A78" s="7">
        <v>45380</v>
      </c>
      <c r="B78" s="8" t="str">
        <f>"1476"</f>
        <v>1476</v>
      </c>
      <c r="C78" s="9" t="str">
        <f>"Прочие инвестиции"</f>
        <v>Прочие инвестиции</v>
      </c>
      <c r="D78" s="8" t="str">
        <f>"1"</f>
        <v>1</v>
      </c>
      <c r="E78" s="8" t="str">
        <f>"5"</f>
        <v>5</v>
      </c>
      <c r="F78" s="8" t="str">
        <f t="shared" si="12"/>
        <v>1</v>
      </c>
      <c r="G78" s="10">
        <v>2400260</v>
      </c>
    </row>
    <row r="79" spans="1:7" s="11" customFormat="1" ht="15">
      <c r="A79" s="7">
        <v>45380</v>
      </c>
      <c r="B79" s="8" t="str">
        <f>"1602"</f>
        <v>1602</v>
      </c>
      <c r="C79" s="9" t="str">
        <f>"Прочие запасы"</f>
        <v>Прочие запасы</v>
      </c>
      <c r="D79" s="8">
        <f>""</f>
      </c>
      <c r="E79" s="8">
        <f>""</f>
      </c>
      <c r="F79" s="8">
        <f>""</f>
      </c>
      <c r="G79" s="10">
        <v>4893940574.82</v>
      </c>
    </row>
    <row r="80" spans="1:7" s="11" customFormat="1" ht="15">
      <c r="A80" s="7">
        <v>45380</v>
      </c>
      <c r="B80" s="8" t="str">
        <f>"1603"</f>
        <v>1603</v>
      </c>
      <c r="C80" s="9" t="str">
        <f>"Монеты, изготовленные из драгоценных металлов, на складе"</f>
        <v>Монеты, изготовленные из драгоценных металлов, на складе</v>
      </c>
      <c r="D80" s="8" t="str">
        <f>"1"</f>
        <v>1</v>
      </c>
      <c r="E80" s="8">
        <f>""</f>
      </c>
      <c r="F80" s="8">
        <f>""</f>
      </c>
      <c r="G80" s="10">
        <v>1544402.5</v>
      </c>
    </row>
    <row r="81" spans="1:7" s="11" customFormat="1" ht="15">
      <c r="A81" s="7">
        <v>45380</v>
      </c>
      <c r="B81" s="8" t="str">
        <f>"1603"</f>
        <v>1603</v>
      </c>
      <c r="C81" s="9" t="str">
        <f>"Монеты, изготовленные из драгоценных металлов, на складе"</f>
        <v>Монеты, изготовленные из драгоценных металлов, на складе</v>
      </c>
      <c r="D81" s="8" t="str">
        <f>"2"</f>
        <v>2</v>
      </c>
      <c r="E81" s="8">
        <f>""</f>
      </c>
      <c r="F81" s="8">
        <f>""</f>
      </c>
      <c r="G81" s="10">
        <v>126359623.07</v>
      </c>
    </row>
    <row r="82" spans="1:7" s="11" customFormat="1" ht="15">
      <c r="A82" s="7">
        <v>45380</v>
      </c>
      <c r="B82" s="8" t="str">
        <f>"1652"</f>
        <v>1652</v>
      </c>
      <c r="C82" s="9" t="str">
        <f>"Земля, здания и сооружения"</f>
        <v>Земля, здания и сооружения</v>
      </c>
      <c r="D82" s="8">
        <f>""</f>
      </c>
      <c r="E82" s="8">
        <f>""</f>
      </c>
      <c r="F82" s="8">
        <f>""</f>
      </c>
      <c r="G82" s="10">
        <v>19635145829.97</v>
      </c>
    </row>
    <row r="83" spans="1:7" s="11" customFormat="1" ht="15">
      <c r="A83" s="7">
        <v>45380</v>
      </c>
      <c r="B83" s="8" t="str">
        <f>"1653"</f>
        <v>1653</v>
      </c>
      <c r="C83" s="9" t="str">
        <f>"Компьютерное оборудование"</f>
        <v>Компьютерное оборудование</v>
      </c>
      <c r="D83" s="8">
        <f>""</f>
      </c>
      <c r="E83" s="8">
        <f>""</f>
      </c>
      <c r="F83" s="8">
        <f>""</f>
      </c>
      <c r="G83" s="10">
        <v>19131628913.25</v>
      </c>
    </row>
    <row r="84" spans="1:7" s="11" customFormat="1" ht="15">
      <c r="A84" s="7">
        <v>45380</v>
      </c>
      <c r="B84" s="8" t="str">
        <f>"1654"</f>
        <v>1654</v>
      </c>
      <c r="C84" s="9" t="str">
        <f>"Прочие основные средства"</f>
        <v>Прочие основные средства</v>
      </c>
      <c r="D84" s="8">
        <f>""</f>
      </c>
      <c r="E84" s="8">
        <f>""</f>
      </c>
      <c r="F84" s="8">
        <f>""</f>
      </c>
      <c r="G84" s="10">
        <v>34484676670.57</v>
      </c>
    </row>
    <row r="85" spans="1:7" s="11" customFormat="1" ht="15">
      <c r="A85" s="7">
        <v>45380</v>
      </c>
      <c r="B85" s="8" t="str">
        <f>"1655"</f>
        <v>1655</v>
      </c>
      <c r="C85" s="9" t="str">
        <f>"Активы в форме права пользования"</f>
        <v>Активы в форме права пользования</v>
      </c>
      <c r="D85" s="8">
        <f>""</f>
      </c>
      <c r="E85" s="8">
        <f>""</f>
      </c>
      <c r="F85" s="8">
        <f>""</f>
      </c>
      <c r="G85" s="10">
        <v>6426547968.24</v>
      </c>
    </row>
    <row r="86" spans="1:7" s="11" customFormat="1" ht="15">
      <c r="A86" s="7">
        <v>45380</v>
      </c>
      <c r="B86" s="8" t="str">
        <f>"1658"</f>
        <v>1658</v>
      </c>
      <c r="C86" s="9" t="str">
        <f>"Транспортные средства"</f>
        <v>Транспортные средства</v>
      </c>
      <c r="D86" s="8">
        <f>""</f>
      </c>
      <c r="E86" s="8">
        <f>""</f>
      </c>
      <c r="F86" s="8">
        <f>""</f>
      </c>
      <c r="G86" s="10">
        <v>589768785.47</v>
      </c>
    </row>
    <row r="87" spans="1:7" s="11" customFormat="1" ht="15">
      <c r="A87" s="7">
        <v>45380</v>
      </c>
      <c r="B87" s="8" t="str">
        <f>"1659"</f>
        <v>1659</v>
      </c>
      <c r="C87" s="9" t="str">
        <f>"Нематериальные активы"</f>
        <v>Нематериальные активы</v>
      </c>
      <c r="D87" s="8">
        <f>""</f>
      </c>
      <c r="E87" s="8">
        <f>""</f>
      </c>
      <c r="F87" s="8">
        <f>""</f>
      </c>
      <c r="G87" s="10">
        <v>52614434371.1</v>
      </c>
    </row>
    <row r="88" spans="1:7" s="11" customFormat="1" ht="15">
      <c r="A88" s="7">
        <v>45380</v>
      </c>
      <c r="B88" s="8" t="str">
        <f>"1692"</f>
        <v>1692</v>
      </c>
      <c r="C88" s="9" t="str">
        <f>"Начисленная амортизация по зданиям и сооружениям"</f>
        <v>Начисленная амортизация по зданиям и сооружениям</v>
      </c>
      <c r="D88" s="8">
        <f>""</f>
      </c>
      <c r="E88" s="8">
        <f>""</f>
      </c>
      <c r="F88" s="8">
        <f>""</f>
      </c>
      <c r="G88" s="10">
        <v>-4938245589.21</v>
      </c>
    </row>
    <row r="89" spans="1:7" s="11" customFormat="1" ht="15">
      <c r="A89" s="7">
        <v>45380</v>
      </c>
      <c r="B89" s="8" t="str">
        <f>"1693"</f>
        <v>1693</v>
      </c>
      <c r="C89" s="9" t="str">
        <f>"Начисленная амортизация по компьютерному оборудованию"</f>
        <v>Начисленная амортизация по компьютерному оборудованию</v>
      </c>
      <c r="D89" s="8">
        <f>""</f>
      </c>
      <c r="E89" s="8">
        <f>""</f>
      </c>
      <c r="F89" s="8">
        <f>""</f>
      </c>
      <c r="G89" s="10">
        <v>-13579784127.18</v>
      </c>
    </row>
    <row r="90" spans="1:7" s="11" customFormat="1" ht="15">
      <c r="A90" s="7">
        <v>45380</v>
      </c>
      <c r="B90" s="8" t="str">
        <f>"1694"</f>
        <v>1694</v>
      </c>
      <c r="C90" s="9" t="str">
        <f>"Начисленная амортизация по прочим основным средствам"</f>
        <v>Начисленная амортизация по прочим основным средствам</v>
      </c>
      <c r="D90" s="8">
        <f>""</f>
      </c>
      <c r="E90" s="8">
        <f>""</f>
      </c>
      <c r="F90" s="8">
        <f>""</f>
      </c>
      <c r="G90" s="10">
        <v>-17371490735.55</v>
      </c>
    </row>
    <row r="91" spans="1:7" s="11" customFormat="1" ht="15">
      <c r="A91" s="7">
        <v>45380</v>
      </c>
      <c r="B91" s="8" t="str">
        <f>"1695"</f>
        <v>1695</v>
      </c>
      <c r="C91" s="9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D91" s="8">
        <f>""</f>
      </c>
      <c r="E91" s="8">
        <f>""</f>
      </c>
      <c r="F91" s="8">
        <f>""</f>
      </c>
      <c r="G91" s="10">
        <v>-4827578788.74</v>
      </c>
    </row>
    <row r="92" spans="1:7" s="11" customFormat="1" ht="15">
      <c r="A92" s="7">
        <v>45380</v>
      </c>
      <c r="B92" s="8" t="str">
        <f>"1698"</f>
        <v>1698</v>
      </c>
      <c r="C92" s="9" t="str">
        <f>"Начисленная амортизация по транспортным средствам"</f>
        <v>Начисленная амортизация по транспортным средствам</v>
      </c>
      <c r="D92" s="8">
        <f>""</f>
      </c>
      <c r="E92" s="8">
        <f>""</f>
      </c>
      <c r="F92" s="8">
        <f>""</f>
      </c>
      <c r="G92" s="10">
        <v>-316494391</v>
      </c>
    </row>
    <row r="93" spans="1:7" s="11" customFormat="1" ht="15">
      <c r="A93" s="7">
        <v>45380</v>
      </c>
      <c r="B93" s="8" t="str">
        <f>"1699"</f>
        <v>1699</v>
      </c>
      <c r="C93" s="9" t="str">
        <f>"Начисленная амортизация по нематериальным активам"</f>
        <v>Начисленная амортизация по нематериальным активам</v>
      </c>
      <c r="D93" s="8">
        <f>""</f>
      </c>
      <c r="E93" s="8">
        <f>""</f>
      </c>
      <c r="F93" s="8">
        <f>""</f>
      </c>
      <c r="G93" s="10">
        <v>-28373099505.46</v>
      </c>
    </row>
    <row r="94" spans="1:7" s="11" customFormat="1" ht="15">
      <c r="A94" s="7">
        <v>45380</v>
      </c>
      <c r="B94" s="8" t="str">
        <f>"1710"</f>
        <v>1710</v>
      </c>
      <c r="C94" s="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94" s="8" t="str">
        <f>"1"</f>
        <v>1</v>
      </c>
      <c r="E94" s="8" t="str">
        <f>"3"</f>
        <v>3</v>
      </c>
      <c r="F94" s="8" t="str">
        <f>"1"</f>
        <v>1</v>
      </c>
      <c r="G94" s="10">
        <v>755069444.45</v>
      </c>
    </row>
    <row r="95" spans="1:7" s="11" customFormat="1" ht="15">
      <c r="A95" s="7">
        <v>45380</v>
      </c>
      <c r="B95" s="8" t="str">
        <f>"1710"</f>
        <v>1710</v>
      </c>
      <c r="C95" s="9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D95" s="8" t="str">
        <f>"1"</f>
        <v>1</v>
      </c>
      <c r="E95" s="8" t="str">
        <f>"3"</f>
        <v>3</v>
      </c>
      <c r="F95" s="8" t="str">
        <f>"2"</f>
        <v>2</v>
      </c>
      <c r="G95" s="10">
        <v>175273326.47</v>
      </c>
    </row>
    <row r="96" spans="1:7" s="11" customFormat="1" ht="15">
      <c r="A96" s="7">
        <v>45380</v>
      </c>
      <c r="B96" s="8" t="str">
        <f>"1728"</f>
        <v>1728</v>
      </c>
      <c r="C96" s="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D96" s="8" t="str">
        <f>"2"</f>
        <v>2</v>
      </c>
      <c r="E96" s="8" t="str">
        <f>"5"</f>
        <v>5</v>
      </c>
      <c r="F96" s="8" t="str">
        <f>"2"</f>
        <v>2</v>
      </c>
      <c r="G96" s="10">
        <v>5938644.44</v>
      </c>
    </row>
    <row r="97" spans="1:7" s="11" customFormat="1" ht="15">
      <c r="A97" s="7">
        <v>45380</v>
      </c>
      <c r="B97" s="8" t="str">
        <f aca="true" t="shared" si="13" ref="B97:B102">"1740"</f>
        <v>1740</v>
      </c>
      <c r="C97" s="9" t="str">
        <f aca="true" t="shared" si="14" ref="C97:C102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D97" s="8" t="str">
        <f>"1"</f>
        <v>1</v>
      </c>
      <c r="E97" s="8" t="str">
        <f>"7"</f>
        <v>7</v>
      </c>
      <c r="F97" s="8" t="str">
        <f>"1"</f>
        <v>1</v>
      </c>
      <c r="G97" s="10">
        <v>9906981692.17</v>
      </c>
    </row>
    <row r="98" spans="1:7" s="11" customFormat="1" ht="15">
      <c r="A98" s="7">
        <v>45380</v>
      </c>
      <c r="B98" s="8" t="str">
        <f t="shared" si="13"/>
        <v>1740</v>
      </c>
      <c r="C98" s="9" t="str">
        <f t="shared" si="14"/>
        <v>Начисленные доходы по займам и финансовому лизингу, предоставленным клиентам</v>
      </c>
      <c r="D98" s="8" t="str">
        <f>"1"</f>
        <v>1</v>
      </c>
      <c r="E98" s="8" t="str">
        <f>"7"</f>
        <v>7</v>
      </c>
      <c r="F98" s="8" t="str">
        <f>"2"</f>
        <v>2</v>
      </c>
      <c r="G98" s="10">
        <v>21723337.15</v>
      </c>
    </row>
    <row r="99" spans="1:7" s="11" customFormat="1" ht="15">
      <c r="A99" s="7">
        <v>45380</v>
      </c>
      <c r="B99" s="8" t="str">
        <f t="shared" si="13"/>
        <v>1740</v>
      </c>
      <c r="C99" s="9" t="str">
        <f t="shared" si="14"/>
        <v>Начисленные доходы по займам и финансовому лизингу, предоставленным клиентам</v>
      </c>
      <c r="D99" s="8" t="str">
        <f>"1"</f>
        <v>1</v>
      </c>
      <c r="E99" s="8" t="str">
        <f>"7"</f>
        <v>7</v>
      </c>
      <c r="F99" s="8" t="str">
        <f>"3"</f>
        <v>3</v>
      </c>
      <c r="G99" s="10">
        <v>98041297.62</v>
      </c>
    </row>
    <row r="100" spans="1:7" s="11" customFormat="1" ht="15">
      <c r="A100" s="7">
        <v>45380</v>
      </c>
      <c r="B100" s="8" t="str">
        <f t="shared" si="13"/>
        <v>1740</v>
      </c>
      <c r="C100" s="9" t="str">
        <f t="shared" si="14"/>
        <v>Начисленные доходы по займам и финансовому лизингу, предоставленным клиентам</v>
      </c>
      <c r="D100" s="8" t="str">
        <f>"1"</f>
        <v>1</v>
      </c>
      <c r="E100" s="8" t="str">
        <f>"9"</f>
        <v>9</v>
      </c>
      <c r="F100" s="8" t="str">
        <f>"1"</f>
        <v>1</v>
      </c>
      <c r="G100" s="10">
        <v>10540172318.45</v>
      </c>
    </row>
    <row r="101" spans="1:7" s="11" customFormat="1" ht="15">
      <c r="A101" s="7">
        <v>45380</v>
      </c>
      <c r="B101" s="8" t="str">
        <f t="shared" si="13"/>
        <v>1740</v>
      </c>
      <c r="C101" s="9" t="str">
        <f t="shared" si="14"/>
        <v>Начисленные доходы по займам и финансовому лизингу, предоставленным клиентам</v>
      </c>
      <c r="D101" s="8" t="str">
        <f>"1"</f>
        <v>1</v>
      </c>
      <c r="E101" s="8" t="str">
        <f>"9"</f>
        <v>9</v>
      </c>
      <c r="F101" s="8" t="str">
        <f>"2"</f>
        <v>2</v>
      </c>
      <c r="G101" s="10">
        <v>1693117.49</v>
      </c>
    </row>
    <row r="102" spans="1:7" s="11" customFormat="1" ht="15">
      <c r="A102" s="7">
        <v>45380</v>
      </c>
      <c r="B102" s="8" t="str">
        <f t="shared" si="13"/>
        <v>1740</v>
      </c>
      <c r="C102" s="9" t="str">
        <f t="shared" si="14"/>
        <v>Начисленные доходы по займам и финансовому лизингу, предоставленным клиентам</v>
      </c>
      <c r="D102" s="8" t="str">
        <f>"2"</f>
        <v>2</v>
      </c>
      <c r="E102" s="8" t="str">
        <f>"9"</f>
        <v>9</v>
      </c>
      <c r="F102" s="8" t="str">
        <f>"1"</f>
        <v>1</v>
      </c>
      <c r="G102" s="10">
        <v>5773817.37</v>
      </c>
    </row>
    <row r="103" spans="1:7" s="11" customFormat="1" ht="15">
      <c r="A103" s="7">
        <v>45380</v>
      </c>
      <c r="B103" s="8" t="str">
        <f aca="true" t="shared" si="15" ref="B103:B108">"1741"</f>
        <v>1741</v>
      </c>
      <c r="C103" s="9" t="str">
        <f aca="true" t="shared" si="16" ref="C103:C108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D103" s="8" t="str">
        <f>"1"</f>
        <v>1</v>
      </c>
      <c r="E103" s="8" t="str">
        <f>"5"</f>
        <v>5</v>
      </c>
      <c r="F103" s="8" t="str">
        <f>"1"</f>
        <v>1</v>
      </c>
      <c r="G103" s="10">
        <v>156442660.33</v>
      </c>
    </row>
    <row r="104" spans="1:7" s="11" customFormat="1" ht="15">
      <c r="A104" s="7">
        <v>45380</v>
      </c>
      <c r="B104" s="8" t="str">
        <f t="shared" si="15"/>
        <v>1741</v>
      </c>
      <c r="C104" s="9" t="str">
        <f t="shared" si="16"/>
        <v>Просроченное вознаграждение по займам и финансовому лизингу, предоставленным клиентам</v>
      </c>
      <c r="D104" s="8" t="str">
        <f>"1"</f>
        <v>1</v>
      </c>
      <c r="E104" s="8" t="str">
        <f>"7"</f>
        <v>7</v>
      </c>
      <c r="F104" s="8" t="str">
        <f>"1"</f>
        <v>1</v>
      </c>
      <c r="G104" s="10">
        <v>2638583810.29</v>
      </c>
    </row>
    <row r="105" spans="1:7" s="11" customFormat="1" ht="15">
      <c r="A105" s="7">
        <v>45380</v>
      </c>
      <c r="B105" s="8" t="str">
        <f t="shared" si="15"/>
        <v>1741</v>
      </c>
      <c r="C105" s="9" t="str">
        <f t="shared" si="16"/>
        <v>Просроченное вознаграждение по займам и финансовому лизингу, предоставленным клиентам</v>
      </c>
      <c r="D105" s="8" t="str">
        <f>"1"</f>
        <v>1</v>
      </c>
      <c r="E105" s="8" t="str">
        <f>"7"</f>
        <v>7</v>
      </c>
      <c r="F105" s="8" t="str">
        <f>"3"</f>
        <v>3</v>
      </c>
      <c r="G105" s="10">
        <v>10274097.95</v>
      </c>
    </row>
    <row r="106" spans="1:7" s="11" customFormat="1" ht="15">
      <c r="A106" s="7">
        <v>45380</v>
      </c>
      <c r="B106" s="8" t="str">
        <f t="shared" si="15"/>
        <v>1741</v>
      </c>
      <c r="C106" s="9" t="str">
        <f t="shared" si="16"/>
        <v>Просроченное вознаграждение по займам и финансовому лизингу, предоставленным клиентам</v>
      </c>
      <c r="D106" s="8" t="str">
        <f>"1"</f>
        <v>1</v>
      </c>
      <c r="E106" s="8" t="str">
        <f>"9"</f>
        <v>9</v>
      </c>
      <c r="F106" s="8" t="str">
        <f>"1"</f>
        <v>1</v>
      </c>
      <c r="G106" s="10">
        <v>19266951975.53</v>
      </c>
    </row>
    <row r="107" spans="1:7" s="11" customFormat="1" ht="15">
      <c r="A107" s="7">
        <v>45380</v>
      </c>
      <c r="B107" s="8" t="str">
        <f t="shared" si="15"/>
        <v>1741</v>
      </c>
      <c r="C107" s="9" t="str">
        <f t="shared" si="16"/>
        <v>Просроченное вознаграждение по займам и финансовому лизингу, предоставленным клиентам</v>
      </c>
      <c r="D107" s="8" t="str">
        <f>"1"</f>
        <v>1</v>
      </c>
      <c r="E107" s="8" t="str">
        <f>"9"</f>
        <v>9</v>
      </c>
      <c r="F107" s="8" t="str">
        <f>"2"</f>
        <v>2</v>
      </c>
      <c r="G107" s="10">
        <v>6383807.08</v>
      </c>
    </row>
    <row r="108" spans="1:7" s="11" customFormat="1" ht="15">
      <c r="A108" s="7">
        <v>45380</v>
      </c>
      <c r="B108" s="8" t="str">
        <f t="shared" si="15"/>
        <v>1741</v>
      </c>
      <c r="C108" s="9" t="str">
        <f t="shared" si="16"/>
        <v>Просроченное вознаграждение по займам и финансовому лизингу, предоставленным клиентам</v>
      </c>
      <c r="D108" s="8" t="str">
        <f>"2"</f>
        <v>2</v>
      </c>
      <c r="E108" s="8" t="str">
        <f>"9"</f>
        <v>9</v>
      </c>
      <c r="F108" s="8" t="str">
        <f aca="true" t="shared" si="17" ref="F108:F128">"1"</f>
        <v>1</v>
      </c>
      <c r="G108" s="10">
        <v>2893343.72</v>
      </c>
    </row>
    <row r="109" spans="1:7" s="11" customFormat="1" ht="15">
      <c r="A109" s="7">
        <v>45380</v>
      </c>
      <c r="B109" s="8" t="str">
        <f>"1746"</f>
        <v>1746</v>
      </c>
      <c r="C109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09" s="8" t="str">
        <f>"1"</f>
        <v>1</v>
      </c>
      <c r="E109" s="8" t="str">
        <f>"1"</f>
        <v>1</v>
      </c>
      <c r="F109" s="8" t="str">
        <f t="shared" si="17"/>
        <v>1</v>
      </c>
      <c r="G109" s="10">
        <v>1212000000</v>
      </c>
    </row>
    <row r="110" spans="1:7" s="11" customFormat="1" ht="15">
      <c r="A110" s="7">
        <v>45380</v>
      </c>
      <c r="B110" s="8" t="str">
        <f>"1746"</f>
        <v>1746</v>
      </c>
      <c r="C110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0" s="8" t="str">
        <f>"1"</f>
        <v>1</v>
      </c>
      <c r="E110" s="8" t="str">
        <f>"5"</f>
        <v>5</v>
      </c>
      <c r="F110" s="8" t="str">
        <f t="shared" si="17"/>
        <v>1</v>
      </c>
      <c r="G110" s="10">
        <v>1205358904.11</v>
      </c>
    </row>
    <row r="111" spans="1:7" s="11" customFormat="1" ht="15">
      <c r="A111" s="7">
        <v>45380</v>
      </c>
      <c r="B111" s="8" t="str">
        <f>"1746"</f>
        <v>1746</v>
      </c>
      <c r="C111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1" s="8" t="str">
        <f>"1"</f>
        <v>1</v>
      </c>
      <c r="E111" s="8" t="str">
        <f>"6"</f>
        <v>6</v>
      </c>
      <c r="F111" s="8" t="str">
        <f t="shared" si="17"/>
        <v>1</v>
      </c>
      <c r="G111" s="10">
        <v>397502465.75</v>
      </c>
    </row>
    <row r="112" spans="1:7" s="11" customFormat="1" ht="15">
      <c r="A112" s="7">
        <v>45380</v>
      </c>
      <c r="B112" s="8" t="str">
        <f>"1746"</f>
        <v>1746</v>
      </c>
      <c r="C112" s="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D112" s="8" t="str">
        <f>"2"</f>
        <v>2</v>
      </c>
      <c r="E112" s="8" t="str">
        <f>"4"</f>
        <v>4</v>
      </c>
      <c r="F112" s="8" t="str">
        <f t="shared" si="17"/>
        <v>1</v>
      </c>
      <c r="G112" s="10">
        <v>1020416666.67</v>
      </c>
    </row>
    <row r="113" spans="1:7" s="11" customFormat="1" ht="15">
      <c r="A113" s="7">
        <v>45380</v>
      </c>
      <c r="B113" s="8" t="str">
        <f>"1748"</f>
        <v>1748</v>
      </c>
      <c r="C113" s="9" t="s">
        <v>7</v>
      </c>
      <c r="D113" s="8" t="str">
        <f>"1"</f>
        <v>1</v>
      </c>
      <c r="E113" s="8" t="str">
        <f>"5"</f>
        <v>5</v>
      </c>
      <c r="F113" s="8" t="str">
        <f t="shared" si="17"/>
        <v>1</v>
      </c>
      <c r="G113" s="10">
        <v>72881644.77</v>
      </c>
    </row>
    <row r="114" spans="1:7" s="11" customFormat="1" ht="15">
      <c r="A114" s="7">
        <v>45380</v>
      </c>
      <c r="B114" s="8" t="str">
        <f aca="true" t="shared" si="18" ref="B114:B119">"1793"</f>
        <v>1793</v>
      </c>
      <c r="C114" s="9" t="str">
        <f aca="true" t="shared" si="19" ref="C114:C119">"Расходы будущих периодов"</f>
        <v>Расходы будущих периодов</v>
      </c>
      <c r="D114" s="8" t="str">
        <f>"1"</f>
        <v>1</v>
      </c>
      <c r="E114" s="8" t="str">
        <f>"4"</f>
        <v>4</v>
      </c>
      <c r="F114" s="8" t="str">
        <f t="shared" si="17"/>
        <v>1</v>
      </c>
      <c r="G114" s="10">
        <v>207080.81</v>
      </c>
    </row>
    <row r="115" spans="1:7" s="11" customFormat="1" ht="15">
      <c r="A115" s="7">
        <v>45380</v>
      </c>
      <c r="B115" s="8" t="str">
        <f t="shared" si="18"/>
        <v>1793</v>
      </c>
      <c r="C115" s="9" t="str">
        <f t="shared" si="19"/>
        <v>Расходы будущих периодов</v>
      </c>
      <c r="D115" s="8" t="str">
        <f>"1"</f>
        <v>1</v>
      </c>
      <c r="E115" s="8" t="str">
        <f>"5"</f>
        <v>5</v>
      </c>
      <c r="F115" s="8" t="str">
        <f t="shared" si="17"/>
        <v>1</v>
      </c>
      <c r="G115" s="10">
        <v>549177.68</v>
      </c>
    </row>
    <row r="116" spans="1:7" s="11" customFormat="1" ht="15">
      <c r="A116" s="7">
        <v>45380</v>
      </c>
      <c r="B116" s="8" t="str">
        <f t="shared" si="18"/>
        <v>1793</v>
      </c>
      <c r="C116" s="9" t="str">
        <f t="shared" si="19"/>
        <v>Расходы будущих периодов</v>
      </c>
      <c r="D116" s="8" t="str">
        <f>"1"</f>
        <v>1</v>
      </c>
      <c r="E116" s="8" t="str">
        <f>"7"</f>
        <v>7</v>
      </c>
      <c r="F116" s="8" t="str">
        <f t="shared" si="17"/>
        <v>1</v>
      </c>
      <c r="G116" s="10">
        <v>1321445949.56</v>
      </c>
    </row>
    <row r="117" spans="1:7" s="11" customFormat="1" ht="15">
      <c r="A117" s="7">
        <v>45380</v>
      </c>
      <c r="B117" s="8" t="str">
        <f t="shared" si="18"/>
        <v>1793</v>
      </c>
      <c r="C117" s="9" t="str">
        <f t="shared" si="19"/>
        <v>Расходы будущих периодов</v>
      </c>
      <c r="D117" s="8" t="str">
        <f>"1"</f>
        <v>1</v>
      </c>
      <c r="E117" s="8" t="str">
        <f>"9"</f>
        <v>9</v>
      </c>
      <c r="F117" s="8" t="str">
        <f t="shared" si="17"/>
        <v>1</v>
      </c>
      <c r="G117" s="10">
        <v>250000</v>
      </c>
    </row>
    <row r="118" spans="1:7" s="11" customFormat="1" ht="15">
      <c r="A118" s="7">
        <v>45380</v>
      </c>
      <c r="B118" s="8" t="str">
        <f t="shared" si="18"/>
        <v>1793</v>
      </c>
      <c r="C118" s="9" t="str">
        <f t="shared" si="19"/>
        <v>Расходы будущих периодов</v>
      </c>
      <c r="D118" s="8" t="str">
        <f>"2"</f>
        <v>2</v>
      </c>
      <c r="E118" s="8" t="str">
        <f>"5"</f>
        <v>5</v>
      </c>
      <c r="F118" s="8" t="str">
        <f t="shared" si="17"/>
        <v>1</v>
      </c>
      <c r="G118" s="10">
        <v>63122.7</v>
      </c>
    </row>
    <row r="119" spans="1:7" s="11" customFormat="1" ht="15">
      <c r="A119" s="7">
        <v>45380</v>
      </c>
      <c r="B119" s="8" t="str">
        <f t="shared" si="18"/>
        <v>1793</v>
      </c>
      <c r="C119" s="9" t="str">
        <f t="shared" si="19"/>
        <v>Расходы будущих периодов</v>
      </c>
      <c r="D119" s="8" t="str">
        <f>"2"</f>
        <v>2</v>
      </c>
      <c r="E119" s="8" t="str">
        <f>"7"</f>
        <v>7</v>
      </c>
      <c r="F119" s="8" t="str">
        <f t="shared" si="17"/>
        <v>1</v>
      </c>
      <c r="G119" s="10">
        <v>32709428.38</v>
      </c>
    </row>
    <row r="120" spans="1:7" s="11" customFormat="1" ht="15">
      <c r="A120" s="7">
        <v>45380</v>
      </c>
      <c r="B120" s="8" t="str">
        <f>"1799"</f>
        <v>1799</v>
      </c>
      <c r="C120" s="9" t="str">
        <f>"Прочие предоплаты"</f>
        <v>Прочие предоплаты</v>
      </c>
      <c r="D120" s="8" t="str">
        <f>"1"</f>
        <v>1</v>
      </c>
      <c r="E120" s="8" t="str">
        <f>"5"</f>
        <v>5</v>
      </c>
      <c r="F120" s="8" t="str">
        <f t="shared" si="17"/>
        <v>1</v>
      </c>
      <c r="G120" s="10">
        <v>69767579.75</v>
      </c>
    </row>
    <row r="121" spans="1:7" s="11" customFormat="1" ht="15">
      <c r="A121" s="7">
        <v>45380</v>
      </c>
      <c r="B121" s="8" t="str">
        <f>"1799"</f>
        <v>1799</v>
      </c>
      <c r="C121" s="9" t="str">
        <f>"Прочие предоплаты"</f>
        <v>Прочие предоплаты</v>
      </c>
      <c r="D121" s="8" t="str">
        <f>"1"</f>
        <v>1</v>
      </c>
      <c r="E121" s="8" t="str">
        <f>"6"</f>
        <v>6</v>
      </c>
      <c r="F121" s="8" t="str">
        <f t="shared" si="17"/>
        <v>1</v>
      </c>
      <c r="G121" s="10">
        <v>40458.4</v>
      </c>
    </row>
    <row r="122" spans="1:7" s="11" customFormat="1" ht="15">
      <c r="A122" s="7">
        <v>45380</v>
      </c>
      <c r="B122" s="8" t="str">
        <f>"1799"</f>
        <v>1799</v>
      </c>
      <c r="C122" s="9" t="str">
        <f>"Прочие предоплаты"</f>
        <v>Прочие предоплаты</v>
      </c>
      <c r="D122" s="8" t="str">
        <f>"1"</f>
        <v>1</v>
      </c>
      <c r="E122" s="8" t="str">
        <f>"7"</f>
        <v>7</v>
      </c>
      <c r="F122" s="8" t="str">
        <f t="shared" si="17"/>
        <v>1</v>
      </c>
      <c r="G122" s="10">
        <v>111498680.55</v>
      </c>
    </row>
    <row r="123" spans="1:7" s="11" customFormat="1" ht="15">
      <c r="A123" s="7">
        <v>45380</v>
      </c>
      <c r="B123" s="8" t="str">
        <f>"1799"</f>
        <v>1799</v>
      </c>
      <c r="C123" s="9" t="str">
        <f>"Прочие предоплаты"</f>
        <v>Прочие предоплаты</v>
      </c>
      <c r="D123" s="8" t="str">
        <f>"1"</f>
        <v>1</v>
      </c>
      <c r="E123" s="8" t="str">
        <f>"9"</f>
        <v>9</v>
      </c>
      <c r="F123" s="8" t="str">
        <f t="shared" si="17"/>
        <v>1</v>
      </c>
      <c r="G123" s="10">
        <v>1534998</v>
      </c>
    </row>
    <row r="124" spans="1:7" s="11" customFormat="1" ht="15">
      <c r="A124" s="7">
        <v>45380</v>
      </c>
      <c r="B124" s="8" t="str">
        <f>"1799"</f>
        <v>1799</v>
      </c>
      <c r="C124" s="9" t="str">
        <f>"Прочие предоплаты"</f>
        <v>Прочие предоплаты</v>
      </c>
      <c r="D124" s="8" t="str">
        <f>"2"</f>
        <v>2</v>
      </c>
      <c r="E124" s="8" t="str">
        <f>"7"</f>
        <v>7</v>
      </c>
      <c r="F124" s="8" t="str">
        <f t="shared" si="17"/>
        <v>1</v>
      </c>
      <c r="G124" s="10">
        <v>115652621.28</v>
      </c>
    </row>
    <row r="125" spans="1:7" s="11" customFormat="1" ht="15">
      <c r="A125" s="7">
        <v>45380</v>
      </c>
      <c r="B125" s="8" t="str">
        <f>"1818"</f>
        <v>1818</v>
      </c>
      <c r="C125" s="9" t="str">
        <f>"Начисленные прочие комиссионные доходы"</f>
        <v>Начисленные прочие комиссионные доходы</v>
      </c>
      <c r="D125" s="8" t="str">
        <f>"1"</f>
        <v>1</v>
      </c>
      <c r="E125" s="8">
        <f>""</f>
      </c>
      <c r="F125" s="8" t="str">
        <f t="shared" si="17"/>
        <v>1</v>
      </c>
      <c r="G125" s="10">
        <v>19424491.96</v>
      </c>
    </row>
    <row r="126" spans="1:7" s="11" customFormat="1" ht="15">
      <c r="A126" s="7">
        <v>45380</v>
      </c>
      <c r="B126" s="8" t="str">
        <f>"1819"</f>
        <v>1819</v>
      </c>
      <c r="C126" s="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26" s="8" t="str">
        <f>"1"</f>
        <v>1</v>
      </c>
      <c r="E126" s="8">
        <f>""</f>
      </c>
      <c r="F126" s="8" t="str">
        <f t="shared" si="17"/>
        <v>1</v>
      </c>
      <c r="G126" s="10">
        <v>58149225.64</v>
      </c>
    </row>
    <row r="127" spans="1:7" s="11" customFormat="1" ht="15">
      <c r="A127" s="7">
        <v>45380</v>
      </c>
      <c r="B127" s="8" t="str">
        <f>"1819"</f>
        <v>1819</v>
      </c>
      <c r="C127" s="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D127" s="8" t="str">
        <f>"2"</f>
        <v>2</v>
      </c>
      <c r="E127" s="8">
        <f>""</f>
      </c>
      <c r="F127" s="8" t="str">
        <f t="shared" si="17"/>
        <v>1</v>
      </c>
      <c r="G127" s="10">
        <v>71595.53</v>
      </c>
    </row>
    <row r="128" spans="1:7" s="11" customFormat="1" ht="15">
      <c r="A128" s="7">
        <v>45380</v>
      </c>
      <c r="B128" s="8" t="str">
        <f>"1822"</f>
        <v>1822</v>
      </c>
      <c r="C128" s="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8" s="8" t="str">
        <f>"1"</f>
        <v>1</v>
      </c>
      <c r="E128" s="8">
        <f>""</f>
      </c>
      <c r="F128" s="8" t="str">
        <f t="shared" si="17"/>
        <v>1</v>
      </c>
      <c r="G128" s="10">
        <v>38401987.95</v>
      </c>
    </row>
    <row r="129" spans="1:7" s="11" customFormat="1" ht="15">
      <c r="A129" s="7">
        <v>45380</v>
      </c>
      <c r="B129" s="8" t="str">
        <f>"1822"</f>
        <v>1822</v>
      </c>
      <c r="C129" s="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29" s="8" t="str">
        <f>"1"</f>
        <v>1</v>
      </c>
      <c r="E129" s="8">
        <f>""</f>
      </c>
      <c r="F129" s="8" t="str">
        <f>"2"</f>
        <v>2</v>
      </c>
      <c r="G129" s="10">
        <v>785193.51</v>
      </c>
    </row>
    <row r="130" spans="1:7" s="11" customFormat="1" ht="15">
      <c r="A130" s="7">
        <v>45380</v>
      </c>
      <c r="B130" s="8" t="str">
        <f>"1822"</f>
        <v>1822</v>
      </c>
      <c r="C130" s="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30" s="8" t="str">
        <f>"1"</f>
        <v>1</v>
      </c>
      <c r="E130" s="8">
        <f>""</f>
      </c>
      <c r="F130" s="8" t="str">
        <f>"3"</f>
        <v>3</v>
      </c>
      <c r="G130" s="10">
        <v>4302.18</v>
      </c>
    </row>
    <row r="131" spans="1:7" s="11" customFormat="1" ht="15">
      <c r="A131" s="7">
        <v>45380</v>
      </c>
      <c r="B131" s="8" t="str">
        <f>"1822"</f>
        <v>1822</v>
      </c>
      <c r="C131" s="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D131" s="8" t="str">
        <f>"2"</f>
        <v>2</v>
      </c>
      <c r="E131" s="8">
        <f>""</f>
      </c>
      <c r="F131" s="8" t="str">
        <f>"2"</f>
        <v>2</v>
      </c>
      <c r="G131" s="10">
        <v>12236374.39</v>
      </c>
    </row>
    <row r="132" spans="1:7" s="11" customFormat="1" ht="15">
      <c r="A132" s="7">
        <v>45380</v>
      </c>
      <c r="B132" s="8" t="str">
        <f>"1827"</f>
        <v>1827</v>
      </c>
      <c r="C132" s="9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D132" s="8" t="str">
        <f>"1"</f>
        <v>1</v>
      </c>
      <c r="E132" s="8">
        <f>""</f>
      </c>
      <c r="F132" s="8" t="str">
        <f>"1"</f>
        <v>1</v>
      </c>
      <c r="G132" s="10">
        <v>3456562</v>
      </c>
    </row>
    <row r="133" spans="1:7" s="11" customFormat="1" ht="15">
      <c r="A133" s="7">
        <v>45380</v>
      </c>
      <c r="B133" s="8" t="str">
        <f>"1836"</f>
        <v>1836</v>
      </c>
      <c r="C133" s="9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D133" s="8" t="str">
        <f>"1"</f>
        <v>1</v>
      </c>
      <c r="E133" s="8">
        <f>""</f>
      </c>
      <c r="F133" s="8" t="str">
        <f>"1"</f>
        <v>1</v>
      </c>
      <c r="G133" s="10">
        <v>25046167.36</v>
      </c>
    </row>
    <row r="134" spans="1:7" s="11" customFormat="1" ht="15">
      <c r="A134" s="7">
        <v>45380</v>
      </c>
      <c r="B134" s="8" t="str">
        <f>"1838"</f>
        <v>1838</v>
      </c>
      <c r="C134" s="9" t="str">
        <f>"Просроченные прочие комиссионные доходы"</f>
        <v>Просроченные прочие комиссионные доходы</v>
      </c>
      <c r="D134" s="8" t="str">
        <f>"1"</f>
        <v>1</v>
      </c>
      <c r="E134" s="8">
        <f>""</f>
      </c>
      <c r="F134" s="8" t="str">
        <f>"1"</f>
        <v>1</v>
      </c>
      <c r="G134" s="10">
        <v>980094.78</v>
      </c>
    </row>
    <row r="135" spans="1:7" s="11" customFormat="1" ht="15">
      <c r="A135" s="7">
        <v>45380</v>
      </c>
      <c r="B135" s="8" t="str">
        <f>"1839"</f>
        <v>1839</v>
      </c>
      <c r="C135" s="9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D135" s="8" t="str">
        <f>"2"</f>
        <v>2</v>
      </c>
      <c r="E135" s="8">
        <f>""</f>
      </c>
      <c r="F135" s="8" t="str">
        <f>"1"</f>
        <v>1</v>
      </c>
      <c r="G135" s="10">
        <v>840000</v>
      </c>
    </row>
    <row r="136" spans="1:7" s="11" customFormat="1" ht="15">
      <c r="A136" s="7">
        <v>45380</v>
      </c>
      <c r="B136" s="8" t="str">
        <f>"1842"</f>
        <v>1842</v>
      </c>
      <c r="C136" s="9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D136" s="8" t="str">
        <f>"1"</f>
        <v>1</v>
      </c>
      <c r="E136" s="8">
        <f>""</f>
      </c>
      <c r="F136" s="8" t="str">
        <f>"2"</f>
        <v>2</v>
      </c>
      <c r="G136" s="10">
        <v>9802193.18</v>
      </c>
    </row>
    <row r="137" spans="1:7" s="11" customFormat="1" ht="15">
      <c r="A137" s="7">
        <v>45380</v>
      </c>
      <c r="B137" s="8" t="str">
        <f>"1845"</f>
        <v>1845</v>
      </c>
      <c r="C137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37" s="8" t="str">
        <f>"1"</f>
        <v>1</v>
      </c>
      <c r="E137" s="8">
        <f>""</f>
      </c>
      <c r="F137" s="8" t="str">
        <f>"1"</f>
        <v>1</v>
      </c>
      <c r="G137" s="10">
        <v>-27636116.34</v>
      </c>
    </row>
    <row r="138" spans="1:7" s="11" customFormat="1" ht="15">
      <c r="A138" s="7">
        <v>45380</v>
      </c>
      <c r="B138" s="8" t="str">
        <f>"1845"</f>
        <v>1845</v>
      </c>
      <c r="C138" s="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D138" s="8" t="str">
        <f>"1"</f>
        <v>1</v>
      </c>
      <c r="E138" s="8">
        <f>""</f>
      </c>
      <c r="F138" s="8" t="str">
        <f>"2"</f>
        <v>2</v>
      </c>
      <c r="G138" s="10">
        <v>-9802193.18</v>
      </c>
    </row>
    <row r="139" spans="1:7" s="11" customFormat="1" ht="15">
      <c r="A139" s="7">
        <v>45380</v>
      </c>
      <c r="B139" s="8" t="str">
        <f>"1851"</f>
        <v>1851</v>
      </c>
      <c r="C139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139" s="8" t="str">
        <f>"1"</f>
        <v>1</v>
      </c>
      <c r="E139" s="8" t="str">
        <f>"1"</f>
        <v>1</v>
      </c>
      <c r="F139" s="8" t="str">
        <f>"1"</f>
        <v>1</v>
      </c>
      <c r="G139" s="10">
        <v>5449648953.09</v>
      </c>
    </row>
    <row r="140" spans="1:7" s="11" customFormat="1" ht="15">
      <c r="A140" s="7">
        <v>45380</v>
      </c>
      <c r="B140" s="8" t="str">
        <f>"1852"</f>
        <v>1852</v>
      </c>
      <c r="C140" s="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40" s="8" t="str">
        <f>"1"</f>
        <v>1</v>
      </c>
      <c r="E140" s="8" t="str">
        <f>"5"</f>
        <v>5</v>
      </c>
      <c r="F140" s="8" t="str">
        <f>"1"</f>
        <v>1</v>
      </c>
      <c r="G140" s="10">
        <v>1700598167.17</v>
      </c>
    </row>
    <row r="141" spans="1:7" s="11" customFormat="1" ht="15">
      <c r="A141" s="7">
        <v>45380</v>
      </c>
      <c r="B141" s="8" t="str">
        <f>"1852"</f>
        <v>1852</v>
      </c>
      <c r="C141" s="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41" s="8" t="str">
        <f>"2"</f>
        <v>2</v>
      </c>
      <c r="E141" s="8" t="str">
        <f>"5"</f>
        <v>5</v>
      </c>
      <c r="F141" s="8" t="str">
        <f>"2"</f>
        <v>2</v>
      </c>
      <c r="G141" s="10">
        <v>767393000</v>
      </c>
    </row>
    <row r="142" spans="1:7" s="11" customFormat="1" ht="15">
      <c r="A142" s="7">
        <v>45380</v>
      </c>
      <c r="B142" s="8" t="str">
        <f>"1852"</f>
        <v>1852</v>
      </c>
      <c r="C142" s="9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D142" s="8" t="str">
        <f>"2"</f>
        <v>2</v>
      </c>
      <c r="E142" s="8" t="str">
        <f>"5"</f>
        <v>5</v>
      </c>
      <c r="F142" s="8" t="str">
        <f>"3"</f>
        <v>3</v>
      </c>
      <c r="G142" s="10">
        <v>1668005.42</v>
      </c>
    </row>
    <row r="143" spans="1:7" s="11" customFormat="1" ht="15">
      <c r="A143" s="7">
        <v>45380</v>
      </c>
      <c r="B143" s="8" t="str">
        <f>"1854"</f>
        <v>1854</v>
      </c>
      <c r="C143" s="9" t="str">
        <f>"Расчеты с работниками"</f>
        <v>Расчеты с работниками</v>
      </c>
      <c r="D143" s="8">
        <f>""</f>
      </c>
      <c r="E143" s="8">
        <f>""</f>
      </c>
      <c r="F143" s="8">
        <f>""</f>
      </c>
      <c r="G143" s="10">
        <v>4338699.28</v>
      </c>
    </row>
    <row r="144" spans="1:7" s="11" customFormat="1" ht="15">
      <c r="A144" s="7">
        <v>45380</v>
      </c>
      <c r="B144" s="8" t="str">
        <f>"1855"</f>
        <v>1855</v>
      </c>
      <c r="C144" s="9" t="str">
        <f>"Дебиторы по документарным расчетам"</f>
        <v>Дебиторы по документарным расчетам</v>
      </c>
      <c r="D144" s="8" t="str">
        <f>"1"</f>
        <v>1</v>
      </c>
      <c r="E144" s="8" t="str">
        <f>"5"</f>
        <v>5</v>
      </c>
      <c r="F144" s="8" t="str">
        <f>"2"</f>
        <v>2</v>
      </c>
      <c r="G144" s="10">
        <v>117613941.44</v>
      </c>
    </row>
    <row r="145" spans="1:7" s="11" customFormat="1" ht="15">
      <c r="A145" s="7">
        <v>45380</v>
      </c>
      <c r="B145" s="8" t="str">
        <f>"1855"</f>
        <v>1855</v>
      </c>
      <c r="C145" s="9" t="str">
        <f>"Дебиторы по документарным расчетам"</f>
        <v>Дебиторы по документарным расчетам</v>
      </c>
      <c r="D145" s="8" t="str">
        <f>"1"</f>
        <v>1</v>
      </c>
      <c r="E145" s="8" t="str">
        <f>"7"</f>
        <v>7</v>
      </c>
      <c r="F145" s="8" t="str">
        <f>"2"</f>
        <v>2</v>
      </c>
      <c r="G145" s="10">
        <v>545783580.27</v>
      </c>
    </row>
    <row r="146" spans="1:7" s="11" customFormat="1" ht="15">
      <c r="A146" s="7">
        <v>45380</v>
      </c>
      <c r="B146" s="8" t="str">
        <f>"1856"</f>
        <v>1856</v>
      </c>
      <c r="C146" s="9" t="str">
        <f>"Дебиторы по капитальным вложениям"</f>
        <v>Дебиторы по капитальным вложениям</v>
      </c>
      <c r="D146" s="8" t="str">
        <f>"1"</f>
        <v>1</v>
      </c>
      <c r="E146" s="8" t="str">
        <f>"7"</f>
        <v>7</v>
      </c>
      <c r="F146" s="8" t="str">
        <f>"1"</f>
        <v>1</v>
      </c>
      <c r="G146" s="10">
        <v>29243687</v>
      </c>
    </row>
    <row r="147" spans="1:7" s="11" customFormat="1" ht="15">
      <c r="A147" s="7">
        <v>45380</v>
      </c>
      <c r="B147" s="8" t="str">
        <f>"1857"</f>
        <v>1857</v>
      </c>
      <c r="C147" s="9" t="str">
        <f>"Отложенные налоговые активы"</f>
        <v>Отложенные налоговые активы</v>
      </c>
      <c r="D147" s="8">
        <f>""</f>
      </c>
      <c r="E147" s="8">
        <f>""</f>
      </c>
      <c r="F147" s="8">
        <f>""</f>
      </c>
      <c r="G147" s="10">
        <v>141138103</v>
      </c>
    </row>
    <row r="148" spans="1:7" s="11" customFormat="1" ht="15">
      <c r="A148" s="7">
        <v>45380</v>
      </c>
      <c r="B148" s="8" t="str">
        <f aca="true" t="shared" si="20" ref="B148:B165">"1860"</f>
        <v>1860</v>
      </c>
      <c r="C148" s="9" t="str">
        <f aca="true" t="shared" si="21" ref="C148:C165">"Прочие дебиторы по банковской деятельности"</f>
        <v>Прочие дебиторы по банковской деятельности</v>
      </c>
      <c r="D148" s="8" t="str">
        <f>"1"</f>
        <v>1</v>
      </c>
      <c r="E148" s="8" t="str">
        <f>"1"</f>
        <v>1</v>
      </c>
      <c r="F148" s="8" t="str">
        <f>"1"</f>
        <v>1</v>
      </c>
      <c r="G148" s="10">
        <v>408721425.09</v>
      </c>
    </row>
    <row r="149" spans="1:7" s="11" customFormat="1" ht="15">
      <c r="A149" s="7">
        <v>45380</v>
      </c>
      <c r="B149" s="8" t="str">
        <f t="shared" si="20"/>
        <v>1860</v>
      </c>
      <c r="C149" s="9" t="str">
        <f t="shared" si="21"/>
        <v>Прочие дебиторы по банковской деятельности</v>
      </c>
      <c r="D149" s="8" t="str">
        <f aca="true" t="shared" si="22" ref="D149:D158">"1"</f>
        <v>1</v>
      </c>
      <c r="E149" s="8" t="str">
        <f>"4"</f>
        <v>4</v>
      </c>
      <c r="F149" s="8" t="str">
        <f>"1"</f>
        <v>1</v>
      </c>
      <c r="G149" s="10">
        <v>1494006921.76</v>
      </c>
    </row>
    <row r="150" spans="1:7" s="11" customFormat="1" ht="15">
      <c r="A150" s="7">
        <v>45380</v>
      </c>
      <c r="B150" s="8" t="str">
        <f t="shared" si="20"/>
        <v>1860</v>
      </c>
      <c r="C150" s="9" t="str">
        <f t="shared" si="21"/>
        <v>Прочие дебиторы по банковской деятельности</v>
      </c>
      <c r="D150" s="8" t="str">
        <f t="shared" si="22"/>
        <v>1</v>
      </c>
      <c r="E150" s="8" t="str">
        <f>"4"</f>
        <v>4</v>
      </c>
      <c r="F150" s="8" t="str">
        <f>"2"</f>
        <v>2</v>
      </c>
      <c r="G150" s="10">
        <v>36010394.38</v>
      </c>
    </row>
    <row r="151" spans="1:7" s="11" customFormat="1" ht="15">
      <c r="A151" s="7">
        <v>45380</v>
      </c>
      <c r="B151" s="8" t="str">
        <f t="shared" si="20"/>
        <v>1860</v>
      </c>
      <c r="C151" s="9" t="str">
        <f t="shared" si="21"/>
        <v>Прочие дебиторы по банковской деятельности</v>
      </c>
      <c r="D151" s="8" t="str">
        <f t="shared" si="22"/>
        <v>1</v>
      </c>
      <c r="E151" s="8" t="str">
        <f>"4"</f>
        <v>4</v>
      </c>
      <c r="F151" s="8" t="str">
        <f>"3"</f>
        <v>3</v>
      </c>
      <c r="G151" s="10">
        <v>131815006.25</v>
      </c>
    </row>
    <row r="152" spans="1:7" s="11" customFormat="1" ht="15">
      <c r="A152" s="7">
        <v>45380</v>
      </c>
      <c r="B152" s="8" t="str">
        <f t="shared" si="20"/>
        <v>1860</v>
      </c>
      <c r="C152" s="9" t="str">
        <f t="shared" si="21"/>
        <v>Прочие дебиторы по банковской деятельности</v>
      </c>
      <c r="D152" s="8" t="str">
        <f t="shared" si="22"/>
        <v>1</v>
      </c>
      <c r="E152" s="8" t="str">
        <f>"5"</f>
        <v>5</v>
      </c>
      <c r="F152" s="8" t="str">
        <f>"1"</f>
        <v>1</v>
      </c>
      <c r="G152" s="10">
        <v>29717223.09</v>
      </c>
    </row>
    <row r="153" spans="1:7" s="11" customFormat="1" ht="15">
      <c r="A153" s="7">
        <v>45380</v>
      </c>
      <c r="B153" s="8" t="str">
        <f t="shared" si="20"/>
        <v>1860</v>
      </c>
      <c r="C153" s="9" t="str">
        <f t="shared" si="21"/>
        <v>Прочие дебиторы по банковской деятельности</v>
      </c>
      <c r="D153" s="8" t="str">
        <f t="shared" si="22"/>
        <v>1</v>
      </c>
      <c r="E153" s="8" t="str">
        <f>"5"</f>
        <v>5</v>
      </c>
      <c r="F153" s="8" t="str">
        <f>"2"</f>
        <v>2</v>
      </c>
      <c r="G153" s="10">
        <v>684465537.73</v>
      </c>
    </row>
    <row r="154" spans="1:7" s="11" customFormat="1" ht="15">
      <c r="A154" s="7">
        <v>45380</v>
      </c>
      <c r="B154" s="8" t="str">
        <f t="shared" si="20"/>
        <v>1860</v>
      </c>
      <c r="C154" s="9" t="str">
        <f t="shared" si="21"/>
        <v>Прочие дебиторы по банковской деятельности</v>
      </c>
      <c r="D154" s="8" t="str">
        <f t="shared" si="22"/>
        <v>1</v>
      </c>
      <c r="E154" s="8" t="str">
        <f>"6"</f>
        <v>6</v>
      </c>
      <c r="F154" s="8" t="str">
        <f>"1"</f>
        <v>1</v>
      </c>
      <c r="G154" s="10">
        <v>27632610.05</v>
      </c>
    </row>
    <row r="155" spans="1:7" s="11" customFormat="1" ht="15">
      <c r="A155" s="7">
        <v>45380</v>
      </c>
      <c r="B155" s="8" t="str">
        <f t="shared" si="20"/>
        <v>1860</v>
      </c>
      <c r="C155" s="9" t="str">
        <f t="shared" si="21"/>
        <v>Прочие дебиторы по банковской деятельности</v>
      </c>
      <c r="D155" s="8" t="str">
        <f t="shared" si="22"/>
        <v>1</v>
      </c>
      <c r="E155" s="8" t="str">
        <f>"7"</f>
        <v>7</v>
      </c>
      <c r="F155" s="8" t="str">
        <f>"1"</f>
        <v>1</v>
      </c>
      <c r="G155" s="10">
        <v>381044342.05</v>
      </c>
    </row>
    <row r="156" spans="1:7" s="11" customFormat="1" ht="15">
      <c r="A156" s="7">
        <v>45380</v>
      </c>
      <c r="B156" s="8" t="str">
        <f t="shared" si="20"/>
        <v>1860</v>
      </c>
      <c r="C156" s="9" t="str">
        <f t="shared" si="21"/>
        <v>Прочие дебиторы по банковской деятельности</v>
      </c>
      <c r="D156" s="8" t="str">
        <f t="shared" si="22"/>
        <v>1</v>
      </c>
      <c r="E156" s="8" t="str">
        <f>"9"</f>
        <v>9</v>
      </c>
      <c r="F156" s="8" t="str">
        <f>"1"</f>
        <v>1</v>
      </c>
      <c r="G156" s="10">
        <v>2395603159.73</v>
      </c>
    </row>
    <row r="157" spans="1:7" s="11" customFormat="1" ht="15">
      <c r="A157" s="7">
        <v>45380</v>
      </c>
      <c r="B157" s="8" t="str">
        <f t="shared" si="20"/>
        <v>1860</v>
      </c>
      <c r="C157" s="9" t="str">
        <f t="shared" si="21"/>
        <v>Прочие дебиторы по банковской деятельности</v>
      </c>
      <c r="D157" s="8" t="str">
        <f t="shared" si="22"/>
        <v>1</v>
      </c>
      <c r="E157" s="8" t="str">
        <f>"9"</f>
        <v>9</v>
      </c>
      <c r="F157" s="8" t="str">
        <f>"2"</f>
        <v>2</v>
      </c>
      <c r="G157" s="10">
        <v>98127206.04</v>
      </c>
    </row>
    <row r="158" spans="1:7" s="11" customFormat="1" ht="15">
      <c r="A158" s="7">
        <v>45380</v>
      </c>
      <c r="B158" s="8" t="str">
        <f t="shared" si="20"/>
        <v>1860</v>
      </c>
      <c r="C158" s="9" t="str">
        <f t="shared" si="21"/>
        <v>Прочие дебиторы по банковской деятельности</v>
      </c>
      <c r="D158" s="8" t="str">
        <f t="shared" si="22"/>
        <v>1</v>
      </c>
      <c r="E158" s="8" t="str">
        <f>"9"</f>
        <v>9</v>
      </c>
      <c r="F158" s="8" t="str">
        <f>"3"</f>
        <v>3</v>
      </c>
      <c r="G158" s="10">
        <v>29978615.44</v>
      </c>
    </row>
    <row r="159" spans="1:7" s="11" customFormat="1" ht="15">
      <c r="A159" s="7">
        <v>45380</v>
      </c>
      <c r="B159" s="8" t="str">
        <f t="shared" si="20"/>
        <v>1860</v>
      </c>
      <c r="C159" s="9" t="str">
        <f t="shared" si="21"/>
        <v>Прочие дебиторы по банковской деятельности</v>
      </c>
      <c r="D159" s="8" t="str">
        <f aca="true" t="shared" si="23" ref="D159:D165">"2"</f>
        <v>2</v>
      </c>
      <c r="E159" s="8" t="str">
        <f>"5"</f>
        <v>5</v>
      </c>
      <c r="F159" s="8" t="str">
        <f>"1"</f>
        <v>1</v>
      </c>
      <c r="G159" s="10">
        <v>391800.78</v>
      </c>
    </row>
    <row r="160" spans="1:7" s="11" customFormat="1" ht="15">
      <c r="A160" s="7">
        <v>45380</v>
      </c>
      <c r="B160" s="8" t="str">
        <f t="shared" si="20"/>
        <v>1860</v>
      </c>
      <c r="C160" s="9" t="str">
        <f t="shared" si="21"/>
        <v>Прочие дебиторы по банковской деятельности</v>
      </c>
      <c r="D160" s="8" t="str">
        <f t="shared" si="23"/>
        <v>2</v>
      </c>
      <c r="E160" s="8" t="str">
        <f>"5"</f>
        <v>5</v>
      </c>
      <c r="F160" s="8" t="str">
        <f>"2"</f>
        <v>2</v>
      </c>
      <c r="G160" s="10">
        <v>69439211.91</v>
      </c>
    </row>
    <row r="161" spans="1:7" s="11" customFormat="1" ht="15">
      <c r="A161" s="7">
        <v>45380</v>
      </c>
      <c r="B161" s="8" t="str">
        <f t="shared" si="20"/>
        <v>1860</v>
      </c>
      <c r="C161" s="9" t="str">
        <f t="shared" si="21"/>
        <v>Прочие дебиторы по банковской деятельности</v>
      </c>
      <c r="D161" s="8" t="str">
        <f t="shared" si="23"/>
        <v>2</v>
      </c>
      <c r="E161" s="8" t="str">
        <f>"7"</f>
        <v>7</v>
      </c>
      <c r="F161" s="8" t="str">
        <f>"1"</f>
        <v>1</v>
      </c>
      <c r="G161" s="10">
        <v>14625100.75</v>
      </c>
    </row>
    <row r="162" spans="1:7" s="11" customFormat="1" ht="15">
      <c r="A162" s="7">
        <v>45380</v>
      </c>
      <c r="B162" s="8" t="str">
        <f t="shared" si="20"/>
        <v>1860</v>
      </c>
      <c r="C162" s="9" t="str">
        <f t="shared" si="21"/>
        <v>Прочие дебиторы по банковской деятельности</v>
      </c>
      <c r="D162" s="8" t="str">
        <f t="shared" si="23"/>
        <v>2</v>
      </c>
      <c r="E162" s="8" t="str">
        <f>"7"</f>
        <v>7</v>
      </c>
      <c r="F162" s="8" t="str">
        <f>"2"</f>
        <v>2</v>
      </c>
      <c r="G162" s="10">
        <v>22339000</v>
      </c>
    </row>
    <row r="163" spans="1:7" s="11" customFormat="1" ht="15">
      <c r="A163" s="7">
        <v>45380</v>
      </c>
      <c r="B163" s="8" t="str">
        <f t="shared" si="20"/>
        <v>1860</v>
      </c>
      <c r="C163" s="9" t="str">
        <f t="shared" si="21"/>
        <v>Прочие дебиторы по банковской деятельности</v>
      </c>
      <c r="D163" s="8" t="str">
        <f t="shared" si="23"/>
        <v>2</v>
      </c>
      <c r="E163" s="8" t="str">
        <f>"9"</f>
        <v>9</v>
      </c>
      <c r="F163" s="8" t="str">
        <f>"1"</f>
        <v>1</v>
      </c>
      <c r="G163" s="10">
        <v>5558766.92</v>
      </c>
    </row>
    <row r="164" spans="1:7" s="11" customFormat="1" ht="15">
      <c r="A164" s="7">
        <v>45380</v>
      </c>
      <c r="B164" s="8" t="str">
        <f t="shared" si="20"/>
        <v>1860</v>
      </c>
      <c r="C164" s="9" t="str">
        <f t="shared" si="21"/>
        <v>Прочие дебиторы по банковской деятельности</v>
      </c>
      <c r="D164" s="8" t="str">
        <f t="shared" si="23"/>
        <v>2</v>
      </c>
      <c r="E164" s="8" t="str">
        <f>"9"</f>
        <v>9</v>
      </c>
      <c r="F164" s="8" t="str">
        <f>"2"</f>
        <v>2</v>
      </c>
      <c r="G164" s="10">
        <v>1233564.05</v>
      </c>
    </row>
    <row r="165" spans="1:7" s="11" customFormat="1" ht="15">
      <c r="A165" s="7">
        <v>45380</v>
      </c>
      <c r="B165" s="8" t="str">
        <f t="shared" si="20"/>
        <v>1860</v>
      </c>
      <c r="C165" s="9" t="str">
        <f t="shared" si="21"/>
        <v>Прочие дебиторы по банковской деятельности</v>
      </c>
      <c r="D165" s="8" t="str">
        <f t="shared" si="23"/>
        <v>2</v>
      </c>
      <c r="E165" s="8" t="str">
        <f>"9"</f>
        <v>9</v>
      </c>
      <c r="F165" s="8" t="str">
        <f>"3"</f>
        <v>3</v>
      </c>
      <c r="G165" s="10">
        <v>622787.15</v>
      </c>
    </row>
    <row r="166" spans="1:7" s="11" customFormat="1" ht="15">
      <c r="A166" s="7">
        <v>45380</v>
      </c>
      <c r="B166" s="8" t="str">
        <f>"1861"</f>
        <v>1861</v>
      </c>
      <c r="C166" s="9" t="str">
        <f>"Дебиторы по гарантиям"</f>
        <v>Дебиторы по гарантиям</v>
      </c>
      <c r="D166" s="8" t="str">
        <f aca="true" t="shared" si="24" ref="D166:D187">"1"</f>
        <v>1</v>
      </c>
      <c r="E166" s="8" t="str">
        <f>"7"</f>
        <v>7</v>
      </c>
      <c r="F166" s="8" t="str">
        <f aca="true" t="shared" si="25" ref="F166:F173">"1"</f>
        <v>1</v>
      </c>
      <c r="G166" s="10">
        <v>144407988.92</v>
      </c>
    </row>
    <row r="167" spans="1:7" s="11" customFormat="1" ht="15">
      <c r="A167" s="7">
        <v>45380</v>
      </c>
      <c r="B167" s="8" t="str">
        <f aca="true" t="shared" si="26" ref="B167:B172">"1867"</f>
        <v>1867</v>
      </c>
      <c r="C167" s="9" t="str">
        <f aca="true" t="shared" si="27" ref="C167:C172">"Прочие дебиторы по неосновной деятельности"</f>
        <v>Прочие дебиторы по неосновной деятельности</v>
      </c>
      <c r="D167" s="8" t="str">
        <f t="shared" si="24"/>
        <v>1</v>
      </c>
      <c r="E167" s="8" t="str">
        <f>"1"</f>
        <v>1</v>
      </c>
      <c r="F167" s="8" t="str">
        <f t="shared" si="25"/>
        <v>1</v>
      </c>
      <c r="G167" s="10">
        <v>1581708.78</v>
      </c>
    </row>
    <row r="168" spans="1:7" s="11" customFormat="1" ht="15">
      <c r="A168" s="7">
        <v>45380</v>
      </c>
      <c r="B168" s="8" t="str">
        <f t="shared" si="26"/>
        <v>1867</v>
      </c>
      <c r="C168" s="9" t="str">
        <f t="shared" si="27"/>
        <v>Прочие дебиторы по неосновной деятельности</v>
      </c>
      <c r="D168" s="8" t="str">
        <f t="shared" si="24"/>
        <v>1</v>
      </c>
      <c r="E168" s="8" t="str">
        <f>"3"</f>
        <v>3</v>
      </c>
      <c r="F168" s="8" t="str">
        <f t="shared" si="25"/>
        <v>1</v>
      </c>
      <c r="G168" s="10">
        <v>1257</v>
      </c>
    </row>
    <row r="169" spans="1:7" s="11" customFormat="1" ht="15">
      <c r="A169" s="7">
        <v>45380</v>
      </c>
      <c r="B169" s="8" t="str">
        <f t="shared" si="26"/>
        <v>1867</v>
      </c>
      <c r="C169" s="9" t="str">
        <f t="shared" si="27"/>
        <v>Прочие дебиторы по неосновной деятельности</v>
      </c>
      <c r="D169" s="8" t="str">
        <f t="shared" si="24"/>
        <v>1</v>
      </c>
      <c r="E169" s="8" t="str">
        <f>"5"</f>
        <v>5</v>
      </c>
      <c r="F169" s="8" t="str">
        <f t="shared" si="25"/>
        <v>1</v>
      </c>
      <c r="G169" s="10">
        <v>714200</v>
      </c>
    </row>
    <row r="170" spans="1:7" s="11" customFormat="1" ht="15">
      <c r="A170" s="7">
        <v>45380</v>
      </c>
      <c r="B170" s="8" t="str">
        <f t="shared" si="26"/>
        <v>1867</v>
      </c>
      <c r="C170" s="9" t="str">
        <f t="shared" si="27"/>
        <v>Прочие дебиторы по неосновной деятельности</v>
      </c>
      <c r="D170" s="8" t="str">
        <f t="shared" si="24"/>
        <v>1</v>
      </c>
      <c r="E170" s="8" t="str">
        <f>"6"</f>
        <v>6</v>
      </c>
      <c r="F170" s="8" t="str">
        <f t="shared" si="25"/>
        <v>1</v>
      </c>
      <c r="G170" s="10">
        <v>892023.34</v>
      </c>
    </row>
    <row r="171" spans="1:7" s="11" customFormat="1" ht="15">
      <c r="A171" s="7">
        <v>45380</v>
      </c>
      <c r="B171" s="8" t="str">
        <f t="shared" si="26"/>
        <v>1867</v>
      </c>
      <c r="C171" s="9" t="str">
        <f t="shared" si="27"/>
        <v>Прочие дебиторы по неосновной деятельности</v>
      </c>
      <c r="D171" s="8" t="str">
        <f t="shared" si="24"/>
        <v>1</v>
      </c>
      <c r="E171" s="8" t="str">
        <f>"7"</f>
        <v>7</v>
      </c>
      <c r="F171" s="8" t="str">
        <f t="shared" si="25"/>
        <v>1</v>
      </c>
      <c r="G171" s="10">
        <v>403611387.58</v>
      </c>
    </row>
    <row r="172" spans="1:7" s="11" customFormat="1" ht="15">
      <c r="A172" s="7">
        <v>45380</v>
      </c>
      <c r="B172" s="8" t="str">
        <f t="shared" si="26"/>
        <v>1867</v>
      </c>
      <c r="C172" s="9" t="str">
        <f t="shared" si="27"/>
        <v>Прочие дебиторы по неосновной деятельности</v>
      </c>
      <c r="D172" s="8" t="str">
        <f t="shared" si="24"/>
        <v>1</v>
      </c>
      <c r="E172" s="8" t="str">
        <f>"9"</f>
        <v>9</v>
      </c>
      <c r="F172" s="8" t="str">
        <f t="shared" si="25"/>
        <v>1</v>
      </c>
      <c r="G172" s="10">
        <v>28376998.87</v>
      </c>
    </row>
    <row r="173" spans="1:7" s="11" customFormat="1" ht="15">
      <c r="A173" s="7">
        <v>45380</v>
      </c>
      <c r="B173" s="8" t="str">
        <f>"1870"</f>
        <v>1870</v>
      </c>
      <c r="C173" s="9" t="str">
        <f>"Прочие транзитные счета"</f>
        <v>Прочие транзитные счета</v>
      </c>
      <c r="D173" s="8" t="str">
        <f t="shared" si="24"/>
        <v>1</v>
      </c>
      <c r="E173" s="8" t="str">
        <f>"4"</f>
        <v>4</v>
      </c>
      <c r="F173" s="8" t="str">
        <f t="shared" si="25"/>
        <v>1</v>
      </c>
      <c r="G173" s="10">
        <v>2451060396.64</v>
      </c>
    </row>
    <row r="174" spans="1:7" s="11" customFormat="1" ht="15">
      <c r="A174" s="7">
        <v>45380</v>
      </c>
      <c r="B174" s="8" t="str">
        <f>"1870"</f>
        <v>1870</v>
      </c>
      <c r="C174" s="9" t="str">
        <f>"Прочие транзитные счета"</f>
        <v>Прочие транзитные счета</v>
      </c>
      <c r="D174" s="8" t="str">
        <f t="shared" si="24"/>
        <v>1</v>
      </c>
      <c r="E174" s="8" t="str">
        <f>"4"</f>
        <v>4</v>
      </c>
      <c r="F174" s="8" t="str">
        <f>"2"</f>
        <v>2</v>
      </c>
      <c r="G174" s="10">
        <v>149945833.43</v>
      </c>
    </row>
    <row r="175" spans="1:7" s="11" customFormat="1" ht="15">
      <c r="A175" s="7">
        <v>45380</v>
      </c>
      <c r="B175" s="8" t="str">
        <f>"1870"</f>
        <v>1870</v>
      </c>
      <c r="C175" s="9" t="str">
        <f>"Прочие транзитные счета"</f>
        <v>Прочие транзитные счета</v>
      </c>
      <c r="D175" s="8" t="str">
        <f t="shared" si="24"/>
        <v>1</v>
      </c>
      <c r="E175" s="8" t="str">
        <f>"4"</f>
        <v>4</v>
      </c>
      <c r="F175" s="8" t="str">
        <f>"3"</f>
        <v>3</v>
      </c>
      <c r="G175" s="10">
        <v>454064805.6</v>
      </c>
    </row>
    <row r="176" spans="1:7" s="11" customFormat="1" ht="15">
      <c r="A176" s="7">
        <v>45380</v>
      </c>
      <c r="B176" s="8" t="str">
        <f>"1870"</f>
        <v>1870</v>
      </c>
      <c r="C176" s="9" t="str">
        <f>"Прочие транзитные счета"</f>
        <v>Прочие транзитные счета</v>
      </c>
      <c r="D176" s="8" t="str">
        <f t="shared" si="24"/>
        <v>1</v>
      </c>
      <c r="E176" s="8" t="str">
        <f>"9"</f>
        <v>9</v>
      </c>
      <c r="F176" s="8" t="str">
        <f>"1"</f>
        <v>1</v>
      </c>
      <c r="G176" s="10">
        <v>534418851.15</v>
      </c>
    </row>
    <row r="177" spans="1:7" s="11" customFormat="1" ht="15">
      <c r="A177" s="7">
        <v>45380</v>
      </c>
      <c r="B177" s="8" t="str">
        <f>"1870"</f>
        <v>1870</v>
      </c>
      <c r="C177" s="9" t="str">
        <f>"Прочие транзитные счета"</f>
        <v>Прочие транзитные счета</v>
      </c>
      <c r="D177" s="8" t="str">
        <f t="shared" si="24"/>
        <v>1</v>
      </c>
      <c r="E177" s="8" t="str">
        <f>"9"</f>
        <v>9</v>
      </c>
      <c r="F177" s="8" t="str">
        <f>"2"</f>
        <v>2</v>
      </c>
      <c r="G177" s="10">
        <v>1458595919.99</v>
      </c>
    </row>
    <row r="178" spans="1:7" s="11" customFormat="1" ht="15">
      <c r="A178" s="7">
        <v>45380</v>
      </c>
      <c r="B178" s="8" t="str">
        <f aca="true" t="shared" si="28" ref="B178:B189">"1877"</f>
        <v>1877</v>
      </c>
      <c r="C178" s="9" t="str">
        <f aca="true" t="shared" si="29" ref="C178:C18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D178" s="8" t="str">
        <f t="shared" si="24"/>
        <v>1</v>
      </c>
      <c r="E178" s="8" t="str">
        <f>"1"</f>
        <v>1</v>
      </c>
      <c r="F178" s="8" t="str">
        <f>"1"</f>
        <v>1</v>
      </c>
      <c r="G178" s="10">
        <v>-89628.82</v>
      </c>
    </row>
    <row r="179" spans="1:7" s="11" customFormat="1" ht="15">
      <c r="A179" s="7">
        <v>45380</v>
      </c>
      <c r="B179" s="8" t="str">
        <f t="shared" si="28"/>
        <v>1877</v>
      </c>
      <c r="C179" s="9" t="str">
        <f t="shared" si="29"/>
        <v>Резервы (провизии) по дебиторской задолженности, связанной с банковской деятельностью</v>
      </c>
      <c r="D179" s="8" t="str">
        <f t="shared" si="24"/>
        <v>1</v>
      </c>
      <c r="E179" s="8" t="str">
        <f>"4"</f>
        <v>4</v>
      </c>
      <c r="F179" s="8" t="str">
        <f>"1"</f>
        <v>1</v>
      </c>
      <c r="G179" s="10">
        <v>-1373301643.94</v>
      </c>
    </row>
    <row r="180" spans="1:7" s="11" customFormat="1" ht="15">
      <c r="A180" s="7">
        <v>45380</v>
      </c>
      <c r="B180" s="8" t="str">
        <f t="shared" si="28"/>
        <v>1877</v>
      </c>
      <c r="C180" s="9" t="str">
        <f t="shared" si="29"/>
        <v>Резервы (провизии) по дебиторской задолженности, связанной с банковской деятельностью</v>
      </c>
      <c r="D180" s="8" t="str">
        <f t="shared" si="24"/>
        <v>1</v>
      </c>
      <c r="E180" s="8" t="str">
        <f>"4"</f>
        <v>4</v>
      </c>
      <c r="F180" s="8" t="str">
        <f>"2"</f>
        <v>2</v>
      </c>
      <c r="G180" s="10">
        <v>-134162962.09</v>
      </c>
    </row>
    <row r="181" spans="1:7" s="11" customFormat="1" ht="15">
      <c r="A181" s="7">
        <v>45380</v>
      </c>
      <c r="B181" s="8" t="str">
        <f t="shared" si="28"/>
        <v>1877</v>
      </c>
      <c r="C181" s="9" t="str">
        <f t="shared" si="29"/>
        <v>Резервы (провизии) по дебиторской задолженности, связанной с банковской деятельностью</v>
      </c>
      <c r="D181" s="8" t="str">
        <f t="shared" si="24"/>
        <v>1</v>
      </c>
      <c r="E181" s="8" t="str">
        <f>"4"</f>
        <v>4</v>
      </c>
      <c r="F181" s="8" t="str">
        <f>"3"</f>
        <v>3</v>
      </c>
      <c r="G181" s="10">
        <v>-445862254.81</v>
      </c>
    </row>
    <row r="182" spans="1:7" s="11" customFormat="1" ht="15">
      <c r="A182" s="7">
        <v>45380</v>
      </c>
      <c r="B182" s="8" t="str">
        <f t="shared" si="28"/>
        <v>1877</v>
      </c>
      <c r="C182" s="9" t="str">
        <f t="shared" si="29"/>
        <v>Резервы (провизии) по дебиторской задолженности, связанной с банковской деятельностью</v>
      </c>
      <c r="D182" s="8" t="str">
        <f t="shared" si="24"/>
        <v>1</v>
      </c>
      <c r="E182" s="8" t="str">
        <f>"5"</f>
        <v>5</v>
      </c>
      <c r="F182" s="8" t="str">
        <f>"1"</f>
        <v>1</v>
      </c>
      <c r="G182" s="10">
        <v>-603252</v>
      </c>
    </row>
    <row r="183" spans="1:7" s="11" customFormat="1" ht="15">
      <c r="A183" s="7">
        <v>45380</v>
      </c>
      <c r="B183" s="8" t="str">
        <f t="shared" si="28"/>
        <v>1877</v>
      </c>
      <c r="C183" s="9" t="str">
        <f t="shared" si="29"/>
        <v>Резервы (провизии) по дебиторской задолженности, связанной с банковской деятельностью</v>
      </c>
      <c r="D183" s="8" t="str">
        <f t="shared" si="24"/>
        <v>1</v>
      </c>
      <c r="E183" s="8" t="str">
        <f>"7"</f>
        <v>7</v>
      </c>
      <c r="F183" s="8" t="str">
        <f>"1"</f>
        <v>1</v>
      </c>
      <c r="G183" s="10">
        <v>-358740309.29</v>
      </c>
    </row>
    <row r="184" spans="1:7" s="11" customFormat="1" ht="15">
      <c r="A184" s="7">
        <v>45380</v>
      </c>
      <c r="B184" s="8" t="str">
        <f t="shared" si="28"/>
        <v>1877</v>
      </c>
      <c r="C184" s="9" t="str">
        <f t="shared" si="29"/>
        <v>Резервы (провизии) по дебиторской задолженности, связанной с банковской деятельностью</v>
      </c>
      <c r="D184" s="8" t="str">
        <f t="shared" si="24"/>
        <v>1</v>
      </c>
      <c r="E184" s="8" t="str">
        <f>"7"</f>
        <v>7</v>
      </c>
      <c r="F184" s="8" t="str">
        <f>"2"</f>
        <v>2</v>
      </c>
      <c r="G184" s="10">
        <v>-203677950.06</v>
      </c>
    </row>
    <row r="185" spans="1:7" s="11" customFormat="1" ht="15">
      <c r="A185" s="7">
        <v>45380</v>
      </c>
      <c r="B185" s="8" t="str">
        <f t="shared" si="28"/>
        <v>1877</v>
      </c>
      <c r="C185" s="9" t="str">
        <f t="shared" si="29"/>
        <v>Резервы (провизии) по дебиторской задолженности, связанной с банковской деятельностью</v>
      </c>
      <c r="D185" s="8" t="str">
        <f t="shared" si="24"/>
        <v>1</v>
      </c>
      <c r="E185" s="8" t="str">
        <f>"9"</f>
        <v>9</v>
      </c>
      <c r="F185" s="8" t="str">
        <f>"1"</f>
        <v>1</v>
      </c>
      <c r="G185" s="10">
        <v>-1026072604.66</v>
      </c>
    </row>
    <row r="186" spans="1:7" s="11" customFormat="1" ht="15">
      <c r="A186" s="7">
        <v>45380</v>
      </c>
      <c r="B186" s="8" t="str">
        <f t="shared" si="28"/>
        <v>1877</v>
      </c>
      <c r="C186" s="9" t="str">
        <f t="shared" si="29"/>
        <v>Резервы (провизии) по дебиторской задолженности, связанной с банковской деятельностью</v>
      </c>
      <c r="D186" s="8" t="str">
        <f t="shared" si="24"/>
        <v>1</v>
      </c>
      <c r="E186" s="8" t="str">
        <f>"9"</f>
        <v>9</v>
      </c>
      <c r="F186" s="8" t="str">
        <f>"2"</f>
        <v>2</v>
      </c>
      <c r="G186" s="10">
        <v>-36192023.96</v>
      </c>
    </row>
    <row r="187" spans="1:7" s="11" customFormat="1" ht="15">
      <c r="A187" s="7">
        <v>45380</v>
      </c>
      <c r="B187" s="8" t="str">
        <f t="shared" si="28"/>
        <v>1877</v>
      </c>
      <c r="C187" s="9" t="str">
        <f t="shared" si="29"/>
        <v>Резервы (провизии) по дебиторской задолженности, связанной с банковской деятельностью</v>
      </c>
      <c r="D187" s="8" t="str">
        <f t="shared" si="24"/>
        <v>1</v>
      </c>
      <c r="E187" s="8" t="str">
        <f>"9"</f>
        <v>9</v>
      </c>
      <c r="F187" s="8" t="str">
        <f>"3"</f>
        <v>3</v>
      </c>
      <c r="G187" s="10">
        <v>-3118070.59</v>
      </c>
    </row>
    <row r="188" spans="1:7" s="11" customFormat="1" ht="15">
      <c r="A188" s="7">
        <v>45380</v>
      </c>
      <c r="B188" s="8" t="str">
        <f t="shared" si="28"/>
        <v>1877</v>
      </c>
      <c r="C188" s="9" t="str">
        <f t="shared" si="29"/>
        <v>Резервы (провизии) по дебиторской задолженности, связанной с банковской деятельностью</v>
      </c>
      <c r="D188" s="8" t="str">
        <f>"2"</f>
        <v>2</v>
      </c>
      <c r="E188" s="8" t="str">
        <f>"5"</f>
        <v>5</v>
      </c>
      <c r="F188" s="8" t="str">
        <f aca="true" t="shared" si="30" ref="F188:F197">"1"</f>
        <v>1</v>
      </c>
      <c r="G188" s="10">
        <v>-68.78</v>
      </c>
    </row>
    <row r="189" spans="1:7" s="11" customFormat="1" ht="15">
      <c r="A189" s="7">
        <v>45380</v>
      </c>
      <c r="B189" s="8" t="str">
        <f t="shared" si="28"/>
        <v>1877</v>
      </c>
      <c r="C189" s="9" t="str">
        <f t="shared" si="29"/>
        <v>Резервы (провизии) по дебиторской задолженности, связанной с банковской деятельностью</v>
      </c>
      <c r="D189" s="8" t="str">
        <f>"2"</f>
        <v>2</v>
      </c>
      <c r="E189" s="8" t="str">
        <f>"7"</f>
        <v>7</v>
      </c>
      <c r="F189" s="8" t="str">
        <f t="shared" si="30"/>
        <v>1</v>
      </c>
      <c r="G189" s="10">
        <v>-8594771.75</v>
      </c>
    </row>
    <row r="190" spans="1:7" s="11" customFormat="1" ht="15">
      <c r="A190" s="7">
        <v>45380</v>
      </c>
      <c r="B190" s="8" t="str">
        <f>"1878"</f>
        <v>1878</v>
      </c>
      <c r="C190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0" s="8" t="str">
        <f>"1"</f>
        <v>1</v>
      </c>
      <c r="E190" s="8" t="str">
        <f>"1"</f>
        <v>1</v>
      </c>
      <c r="F190" s="8" t="str">
        <f t="shared" si="30"/>
        <v>1</v>
      </c>
      <c r="G190" s="10">
        <v>-1567279.5</v>
      </c>
    </row>
    <row r="191" spans="1:7" s="11" customFormat="1" ht="15">
      <c r="A191" s="7">
        <v>45380</v>
      </c>
      <c r="B191" s="8" t="str">
        <f>"1878"</f>
        <v>1878</v>
      </c>
      <c r="C191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1" s="8" t="str">
        <f>"1"</f>
        <v>1</v>
      </c>
      <c r="E191" s="8" t="str">
        <f>"6"</f>
        <v>6</v>
      </c>
      <c r="F191" s="8" t="str">
        <f t="shared" si="30"/>
        <v>1</v>
      </c>
      <c r="G191" s="10">
        <v>-421087.61</v>
      </c>
    </row>
    <row r="192" spans="1:7" s="11" customFormat="1" ht="15">
      <c r="A192" s="7">
        <v>45380</v>
      </c>
      <c r="B192" s="8" t="str">
        <f>"1878"</f>
        <v>1878</v>
      </c>
      <c r="C192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2" s="8" t="str">
        <f>"1"</f>
        <v>1</v>
      </c>
      <c r="E192" s="8" t="str">
        <f>"7"</f>
        <v>7</v>
      </c>
      <c r="F192" s="8" t="str">
        <f t="shared" si="30"/>
        <v>1</v>
      </c>
      <c r="G192" s="10">
        <v>-293177990.79</v>
      </c>
    </row>
    <row r="193" spans="1:7" s="11" customFormat="1" ht="15">
      <c r="A193" s="7">
        <v>45380</v>
      </c>
      <c r="B193" s="8" t="str">
        <f>"1878"</f>
        <v>1878</v>
      </c>
      <c r="C193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3" s="8" t="str">
        <f>"1"</f>
        <v>1</v>
      </c>
      <c r="E193" s="8" t="str">
        <f>"9"</f>
        <v>9</v>
      </c>
      <c r="F193" s="8" t="str">
        <f t="shared" si="30"/>
        <v>1</v>
      </c>
      <c r="G193" s="10">
        <v>-2022892.98</v>
      </c>
    </row>
    <row r="194" spans="1:7" s="11" customFormat="1" ht="15">
      <c r="A194" s="7">
        <v>45380</v>
      </c>
      <c r="B194" s="8" t="str">
        <f>"1878"</f>
        <v>1878</v>
      </c>
      <c r="C194" s="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D194" s="8" t="str">
        <f>"2"</f>
        <v>2</v>
      </c>
      <c r="E194" s="8" t="str">
        <f>"7"</f>
        <v>7</v>
      </c>
      <c r="F194" s="8" t="str">
        <f t="shared" si="30"/>
        <v>1</v>
      </c>
      <c r="G194" s="10">
        <v>-70441288.74</v>
      </c>
    </row>
    <row r="195" spans="1:7" s="11" customFormat="1" ht="15">
      <c r="A195" s="7">
        <v>45380</v>
      </c>
      <c r="B195" s="8" t="str">
        <f>"1879"</f>
        <v>1879</v>
      </c>
      <c r="C195" s="9" t="str">
        <f>"Начисленная неустойка (штраф, пеня)"</f>
        <v>Начисленная неустойка (штраф, пеня)</v>
      </c>
      <c r="D195" s="8" t="str">
        <f>"1"</f>
        <v>1</v>
      </c>
      <c r="E195" s="8" t="str">
        <f>"7"</f>
        <v>7</v>
      </c>
      <c r="F195" s="8" t="str">
        <f t="shared" si="30"/>
        <v>1</v>
      </c>
      <c r="G195" s="10">
        <v>7203691.11</v>
      </c>
    </row>
    <row r="196" spans="1:7" s="11" customFormat="1" ht="15">
      <c r="A196" s="7">
        <v>45380</v>
      </c>
      <c r="B196" s="8" t="str">
        <f>"1879"</f>
        <v>1879</v>
      </c>
      <c r="C196" s="9" t="str">
        <f>"Начисленная неустойка (штраф, пеня)"</f>
        <v>Начисленная неустойка (штраф, пеня)</v>
      </c>
      <c r="D196" s="8" t="str">
        <f>"1"</f>
        <v>1</v>
      </c>
      <c r="E196" s="8" t="str">
        <f>"9"</f>
        <v>9</v>
      </c>
      <c r="F196" s="8" t="str">
        <f t="shared" si="30"/>
        <v>1</v>
      </c>
      <c r="G196" s="10">
        <v>140865795.57</v>
      </c>
    </row>
    <row r="197" spans="1:7" s="11" customFormat="1" ht="15">
      <c r="A197" s="7">
        <v>45380</v>
      </c>
      <c r="B197" s="8" t="str">
        <f>"1879"</f>
        <v>1879</v>
      </c>
      <c r="C197" s="9" t="str">
        <f>"Начисленная неустойка (штраф, пеня)"</f>
        <v>Начисленная неустойка (штраф, пеня)</v>
      </c>
      <c r="D197" s="8" t="str">
        <f>"2"</f>
        <v>2</v>
      </c>
      <c r="E197" s="8" t="str">
        <f>"9"</f>
        <v>9</v>
      </c>
      <c r="F197" s="8" t="str">
        <f t="shared" si="30"/>
        <v>1</v>
      </c>
      <c r="G197" s="10">
        <v>85303.8</v>
      </c>
    </row>
    <row r="198" spans="1:7" s="11" customFormat="1" ht="15">
      <c r="A198" s="7">
        <v>45380</v>
      </c>
      <c r="B198" s="8" t="str">
        <f>"1892"</f>
        <v>1892</v>
      </c>
      <c r="C198" s="9" t="str">
        <f>"Требования по операциям форвард"</f>
        <v>Требования по операциям форвард</v>
      </c>
      <c r="D198" s="8" t="str">
        <f>"1"</f>
        <v>1</v>
      </c>
      <c r="E198" s="8" t="str">
        <f>"4"</f>
        <v>4</v>
      </c>
      <c r="F198" s="8" t="str">
        <f>"2"</f>
        <v>2</v>
      </c>
      <c r="G198" s="10">
        <v>9007.08</v>
      </c>
    </row>
    <row r="199" spans="1:7" s="11" customFormat="1" ht="15">
      <c r="A199" s="7">
        <v>45380</v>
      </c>
      <c r="B199" s="8" t="str">
        <f>"1894"</f>
        <v>1894</v>
      </c>
      <c r="C199" s="9" t="str">
        <f>"Требования по операциям спот"</f>
        <v>Требования по операциям спот</v>
      </c>
      <c r="D199" s="8" t="str">
        <f>"1"</f>
        <v>1</v>
      </c>
      <c r="E199" s="8" t="str">
        <f>"4"</f>
        <v>4</v>
      </c>
      <c r="F199" s="8" t="str">
        <f>"2"</f>
        <v>2</v>
      </c>
      <c r="G199" s="10">
        <v>297538200</v>
      </c>
    </row>
    <row r="200" spans="1:7" s="11" customFormat="1" ht="15">
      <c r="A200" s="7">
        <v>45380</v>
      </c>
      <c r="B200" s="8" t="str">
        <f>"1894"</f>
        <v>1894</v>
      </c>
      <c r="C200" s="9" t="str">
        <f>"Требования по операциям спот"</f>
        <v>Требования по операциям спот</v>
      </c>
      <c r="D200" s="8" t="str">
        <f>"1"</f>
        <v>1</v>
      </c>
      <c r="E200" s="8" t="str">
        <f>"5"</f>
        <v>5</v>
      </c>
      <c r="F200" s="8" t="str">
        <f>"2"</f>
        <v>2</v>
      </c>
      <c r="G200" s="10">
        <v>1250984000</v>
      </c>
    </row>
    <row r="201" spans="1:7" s="11" customFormat="1" ht="15">
      <c r="A201" s="7">
        <v>45380</v>
      </c>
      <c r="B201" s="8" t="str">
        <f>"1894"</f>
        <v>1894</v>
      </c>
      <c r="C201" s="9" t="str">
        <f>"Требования по операциям спот"</f>
        <v>Требования по операциям спот</v>
      </c>
      <c r="D201" s="8" t="str">
        <f>"1"</f>
        <v>1</v>
      </c>
      <c r="E201" s="8" t="str">
        <f>"5"</f>
        <v>5</v>
      </c>
      <c r="F201" s="8" t="str">
        <f>"3"</f>
        <v>3</v>
      </c>
      <c r="G201" s="10">
        <v>2008600000</v>
      </c>
    </row>
    <row r="202" spans="1:7" s="11" customFormat="1" ht="15">
      <c r="A202" s="7">
        <v>45380</v>
      </c>
      <c r="B202" s="8" t="str">
        <f>"1894"</f>
        <v>1894</v>
      </c>
      <c r="C202" s="9" t="str">
        <f>"Требования по операциям спот"</f>
        <v>Требования по операциям спот</v>
      </c>
      <c r="D202" s="8" t="str">
        <f>"2"</f>
        <v>2</v>
      </c>
      <c r="E202" s="8" t="str">
        <f>"4"</f>
        <v>4</v>
      </c>
      <c r="F202" s="8" t="str">
        <f>"2"</f>
        <v>2</v>
      </c>
      <c r="G202" s="10">
        <v>4378444000</v>
      </c>
    </row>
    <row r="203" spans="1:7" s="11" customFormat="1" ht="15">
      <c r="A203" s="7">
        <v>45380</v>
      </c>
      <c r="B203" s="8" t="str">
        <f>"1894"</f>
        <v>1894</v>
      </c>
      <c r="C203" s="9" t="str">
        <f>"Требования по операциям спот"</f>
        <v>Требования по операциям спот</v>
      </c>
      <c r="D203" s="8" t="str">
        <f>"2"</f>
        <v>2</v>
      </c>
      <c r="E203" s="8" t="str">
        <f>"5"</f>
        <v>5</v>
      </c>
      <c r="F203" s="8" t="str">
        <f>"2"</f>
        <v>2</v>
      </c>
      <c r="G203" s="10">
        <v>161221367.89</v>
      </c>
    </row>
    <row r="204" spans="1:7" s="11" customFormat="1" ht="15">
      <c r="A204" s="7">
        <v>45380</v>
      </c>
      <c r="B204" s="8" t="str">
        <f>"1895"</f>
        <v>1895</v>
      </c>
      <c r="C204" s="9" t="str">
        <f>"Требования по операциям своп"</f>
        <v>Требования по операциям своп</v>
      </c>
      <c r="D204" s="8" t="str">
        <f>"2"</f>
        <v>2</v>
      </c>
      <c r="E204" s="8" t="str">
        <f>"5"</f>
        <v>5</v>
      </c>
      <c r="F204" s="8" t="str">
        <f>"3"</f>
        <v>3</v>
      </c>
      <c r="G204" s="10">
        <v>516524.8</v>
      </c>
    </row>
    <row r="205" spans="1:7" s="11" customFormat="1" ht="15">
      <c r="A205" s="7">
        <v>45380</v>
      </c>
      <c r="B205" s="8" t="str">
        <f>"2013"</f>
        <v>2013</v>
      </c>
      <c r="C205" s="9" t="str">
        <f>"Корреспондентские счета других банков"</f>
        <v>Корреспондентские счета других банков</v>
      </c>
      <c r="D205" s="8" t="str">
        <f>"2"</f>
        <v>2</v>
      </c>
      <c r="E205" s="8" t="str">
        <f>"4"</f>
        <v>4</v>
      </c>
      <c r="F205" s="8" t="str">
        <f>"1"</f>
        <v>1</v>
      </c>
      <c r="G205" s="10">
        <v>2304250309.2</v>
      </c>
    </row>
    <row r="206" spans="1:7" s="11" customFormat="1" ht="15">
      <c r="A206" s="7">
        <v>45380</v>
      </c>
      <c r="B206" s="8" t="str">
        <f>"2066"</f>
        <v>2066</v>
      </c>
      <c r="C206" s="9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D206" s="8" t="str">
        <f aca="true" t="shared" si="31" ref="D206:D221">"1"</f>
        <v>1</v>
      </c>
      <c r="E206" s="8" t="str">
        <f>"5"</f>
        <v>5</v>
      </c>
      <c r="F206" s="8" t="str">
        <f>"1"</f>
        <v>1</v>
      </c>
      <c r="G206" s="10">
        <v>14000000000</v>
      </c>
    </row>
    <row r="207" spans="1:7" s="11" customFormat="1" ht="15">
      <c r="A207" s="7">
        <v>45380</v>
      </c>
      <c r="B207" s="8" t="str">
        <f>"2127"</f>
        <v>2127</v>
      </c>
      <c r="C207" s="9" t="str">
        <f>"Долгосрочные вклады других банков"</f>
        <v>Долгосрочные вклады других банков</v>
      </c>
      <c r="D207" s="8" t="str">
        <f t="shared" si="31"/>
        <v>1</v>
      </c>
      <c r="E207" s="8" t="str">
        <f>"4"</f>
        <v>4</v>
      </c>
      <c r="F207" s="8" t="str">
        <f>"1"</f>
        <v>1</v>
      </c>
      <c r="G207" s="10">
        <v>70000000000</v>
      </c>
    </row>
    <row r="208" spans="1:7" s="11" customFormat="1" ht="15">
      <c r="A208" s="7">
        <v>45380</v>
      </c>
      <c r="B208" s="8" t="str">
        <f>"2202"</f>
        <v>2202</v>
      </c>
      <c r="C208" s="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D208" s="8" t="str">
        <f t="shared" si="31"/>
        <v>1</v>
      </c>
      <c r="E208" s="8" t="str">
        <f>"5"</f>
        <v>5</v>
      </c>
      <c r="F208" s="8" t="str">
        <f>"1"</f>
        <v>1</v>
      </c>
      <c r="G208" s="10">
        <v>200</v>
      </c>
    </row>
    <row r="209" spans="1:7" s="11" customFormat="1" ht="15">
      <c r="A209" s="7">
        <v>45380</v>
      </c>
      <c r="B209" s="8" t="str">
        <f>"2202"</f>
        <v>2202</v>
      </c>
      <c r="C209" s="9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D209" s="8" t="str">
        <f t="shared" si="31"/>
        <v>1</v>
      </c>
      <c r="E209" s="8" t="str">
        <f>"5"</f>
        <v>5</v>
      </c>
      <c r="F209" s="8" t="str">
        <f>"2"</f>
        <v>2</v>
      </c>
      <c r="G209" s="10">
        <v>23593922.43</v>
      </c>
    </row>
    <row r="210" spans="1:7" s="11" customFormat="1" ht="15">
      <c r="A210" s="7">
        <v>45380</v>
      </c>
      <c r="B210" s="8" t="str">
        <f aca="true" t="shared" si="32" ref="B210:B226">"2203"</f>
        <v>2203</v>
      </c>
      <c r="C210" s="9" t="str">
        <f aca="true" t="shared" si="33" ref="C210:C226">"Текущие счета юридических лиц"</f>
        <v>Текущие счета юридических лиц</v>
      </c>
      <c r="D210" s="8" t="str">
        <f t="shared" si="31"/>
        <v>1</v>
      </c>
      <c r="E210" s="8" t="str">
        <f>"2"</f>
        <v>2</v>
      </c>
      <c r="F210" s="8" t="str">
        <f>"1"</f>
        <v>1</v>
      </c>
      <c r="G210" s="10">
        <v>17219857.79</v>
      </c>
    </row>
    <row r="211" spans="1:7" s="11" customFormat="1" ht="15">
      <c r="A211" s="7">
        <v>45380</v>
      </c>
      <c r="B211" s="8" t="str">
        <f t="shared" si="32"/>
        <v>2203</v>
      </c>
      <c r="C211" s="9" t="str">
        <f t="shared" si="33"/>
        <v>Текущие счета юридических лиц</v>
      </c>
      <c r="D211" s="8" t="str">
        <f t="shared" si="31"/>
        <v>1</v>
      </c>
      <c r="E211" s="8" t="str">
        <f>"5"</f>
        <v>5</v>
      </c>
      <c r="F211" s="8" t="str">
        <f>"1"</f>
        <v>1</v>
      </c>
      <c r="G211" s="10">
        <v>571689645.51</v>
      </c>
    </row>
    <row r="212" spans="1:7" s="11" customFormat="1" ht="15">
      <c r="A212" s="7">
        <v>45380</v>
      </c>
      <c r="B212" s="8" t="str">
        <f t="shared" si="32"/>
        <v>2203</v>
      </c>
      <c r="C212" s="9" t="str">
        <f t="shared" si="33"/>
        <v>Текущие счета юридических лиц</v>
      </c>
      <c r="D212" s="8" t="str">
        <f t="shared" si="31"/>
        <v>1</v>
      </c>
      <c r="E212" s="8" t="str">
        <f>"5"</f>
        <v>5</v>
      </c>
      <c r="F212" s="8" t="str">
        <f>"2"</f>
        <v>2</v>
      </c>
      <c r="G212" s="10">
        <v>6761356221.78</v>
      </c>
    </row>
    <row r="213" spans="1:7" s="11" customFormat="1" ht="15">
      <c r="A213" s="7">
        <v>45380</v>
      </c>
      <c r="B213" s="8" t="str">
        <f t="shared" si="32"/>
        <v>2203</v>
      </c>
      <c r="C213" s="9" t="str">
        <f t="shared" si="33"/>
        <v>Текущие счета юридических лиц</v>
      </c>
      <c r="D213" s="8" t="str">
        <f t="shared" si="31"/>
        <v>1</v>
      </c>
      <c r="E213" s="8" t="str">
        <f>"5"</f>
        <v>5</v>
      </c>
      <c r="F213" s="8" t="str">
        <f>"3"</f>
        <v>3</v>
      </c>
      <c r="G213" s="10">
        <v>102929563.59</v>
      </c>
    </row>
    <row r="214" spans="1:7" s="11" customFormat="1" ht="15">
      <c r="A214" s="7">
        <v>45380</v>
      </c>
      <c r="B214" s="8" t="str">
        <f t="shared" si="32"/>
        <v>2203</v>
      </c>
      <c r="C214" s="9" t="str">
        <f t="shared" si="33"/>
        <v>Текущие счета юридических лиц</v>
      </c>
      <c r="D214" s="8" t="str">
        <f t="shared" si="31"/>
        <v>1</v>
      </c>
      <c r="E214" s="8" t="str">
        <f>"6"</f>
        <v>6</v>
      </c>
      <c r="F214" s="8" t="str">
        <f>"1"</f>
        <v>1</v>
      </c>
      <c r="G214" s="10">
        <v>105477612.6</v>
      </c>
    </row>
    <row r="215" spans="1:7" s="11" customFormat="1" ht="15">
      <c r="A215" s="7">
        <v>45380</v>
      </c>
      <c r="B215" s="8" t="str">
        <f t="shared" si="32"/>
        <v>2203</v>
      </c>
      <c r="C215" s="9" t="str">
        <f t="shared" si="33"/>
        <v>Текущие счета юридических лиц</v>
      </c>
      <c r="D215" s="8" t="str">
        <f t="shared" si="31"/>
        <v>1</v>
      </c>
      <c r="E215" s="8" t="str">
        <f>"6"</f>
        <v>6</v>
      </c>
      <c r="F215" s="8" t="str">
        <f>"3"</f>
        <v>3</v>
      </c>
      <c r="G215" s="10">
        <v>10276.38</v>
      </c>
    </row>
    <row r="216" spans="1:7" s="11" customFormat="1" ht="15">
      <c r="A216" s="7">
        <v>45380</v>
      </c>
      <c r="B216" s="8" t="str">
        <f t="shared" si="32"/>
        <v>2203</v>
      </c>
      <c r="C216" s="9" t="str">
        <f t="shared" si="33"/>
        <v>Текущие счета юридических лиц</v>
      </c>
      <c r="D216" s="8" t="str">
        <f t="shared" si="31"/>
        <v>1</v>
      </c>
      <c r="E216" s="8" t="str">
        <f>"7"</f>
        <v>7</v>
      </c>
      <c r="F216" s="8" t="str">
        <f>"1"</f>
        <v>1</v>
      </c>
      <c r="G216" s="10">
        <v>53087462791.96</v>
      </c>
    </row>
    <row r="217" spans="1:7" s="11" customFormat="1" ht="15">
      <c r="A217" s="7">
        <v>45380</v>
      </c>
      <c r="B217" s="8" t="str">
        <f t="shared" si="32"/>
        <v>2203</v>
      </c>
      <c r="C217" s="9" t="str">
        <f t="shared" si="33"/>
        <v>Текущие счета юридических лиц</v>
      </c>
      <c r="D217" s="8" t="str">
        <f t="shared" si="31"/>
        <v>1</v>
      </c>
      <c r="E217" s="8" t="str">
        <f>"7"</f>
        <v>7</v>
      </c>
      <c r="F217" s="8" t="str">
        <f>"2"</f>
        <v>2</v>
      </c>
      <c r="G217" s="10">
        <v>6665149634.21</v>
      </c>
    </row>
    <row r="218" spans="1:7" s="11" customFormat="1" ht="15">
      <c r="A218" s="7">
        <v>45380</v>
      </c>
      <c r="B218" s="8" t="str">
        <f t="shared" si="32"/>
        <v>2203</v>
      </c>
      <c r="C218" s="9" t="str">
        <f t="shared" si="33"/>
        <v>Текущие счета юридических лиц</v>
      </c>
      <c r="D218" s="8" t="str">
        <f t="shared" si="31"/>
        <v>1</v>
      </c>
      <c r="E218" s="8" t="str">
        <f>"7"</f>
        <v>7</v>
      </c>
      <c r="F218" s="8" t="str">
        <f>"3"</f>
        <v>3</v>
      </c>
      <c r="G218" s="10">
        <v>4654926932.7</v>
      </c>
    </row>
    <row r="219" spans="1:7" s="11" customFormat="1" ht="15">
      <c r="A219" s="7">
        <v>45380</v>
      </c>
      <c r="B219" s="8" t="str">
        <f t="shared" si="32"/>
        <v>2203</v>
      </c>
      <c r="C219" s="9" t="str">
        <f t="shared" si="33"/>
        <v>Текущие счета юридических лиц</v>
      </c>
      <c r="D219" s="8" t="str">
        <f t="shared" si="31"/>
        <v>1</v>
      </c>
      <c r="E219" s="8" t="str">
        <f>"8"</f>
        <v>8</v>
      </c>
      <c r="F219" s="8" t="str">
        <f>"1"</f>
        <v>1</v>
      </c>
      <c r="G219" s="10">
        <v>1056517479.21</v>
      </c>
    </row>
    <row r="220" spans="1:7" s="11" customFormat="1" ht="15">
      <c r="A220" s="7">
        <v>45380</v>
      </c>
      <c r="B220" s="8" t="str">
        <f t="shared" si="32"/>
        <v>2203</v>
      </c>
      <c r="C220" s="9" t="str">
        <f t="shared" si="33"/>
        <v>Текущие счета юридических лиц</v>
      </c>
      <c r="D220" s="8" t="str">
        <f t="shared" si="31"/>
        <v>1</v>
      </c>
      <c r="E220" s="8" t="str">
        <f>"8"</f>
        <v>8</v>
      </c>
      <c r="F220" s="8" t="str">
        <f>"2"</f>
        <v>2</v>
      </c>
      <c r="G220" s="10">
        <v>40983238.76</v>
      </c>
    </row>
    <row r="221" spans="1:7" s="11" customFormat="1" ht="15">
      <c r="A221" s="7">
        <v>45380</v>
      </c>
      <c r="B221" s="8" t="str">
        <f t="shared" si="32"/>
        <v>2203</v>
      </c>
      <c r="C221" s="9" t="str">
        <f t="shared" si="33"/>
        <v>Текущие счета юридических лиц</v>
      </c>
      <c r="D221" s="8" t="str">
        <f t="shared" si="31"/>
        <v>1</v>
      </c>
      <c r="E221" s="8" t="str">
        <f>"8"</f>
        <v>8</v>
      </c>
      <c r="F221" s="8" t="str">
        <f>"3"</f>
        <v>3</v>
      </c>
      <c r="G221" s="10">
        <v>33029103.8</v>
      </c>
    </row>
    <row r="222" spans="1:7" s="11" customFormat="1" ht="15">
      <c r="A222" s="7">
        <v>45380</v>
      </c>
      <c r="B222" s="8" t="str">
        <f t="shared" si="32"/>
        <v>2203</v>
      </c>
      <c r="C222" s="9" t="str">
        <f t="shared" si="33"/>
        <v>Текущие счета юридических лиц</v>
      </c>
      <c r="D222" s="8" t="str">
        <f>"2"</f>
        <v>2</v>
      </c>
      <c r="E222" s="8" t="str">
        <f>"5"</f>
        <v>5</v>
      </c>
      <c r="F222" s="8" t="str">
        <f>"2"</f>
        <v>2</v>
      </c>
      <c r="G222" s="10">
        <v>15032.47</v>
      </c>
    </row>
    <row r="223" spans="1:7" s="11" customFormat="1" ht="15">
      <c r="A223" s="7">
        <v>45380</v>
      </c>
      <c r="B223" s="8" t="str">
        <f t="shared" si="32"/>
        <v>2203</v>
      </c>
      <c r="C223" s="9" t="str">
        <f t="shared" si="33"/>
        <v>Текущие счета юридических лиц</v>
      </c>
      <c r="D223" s="8" t="str">
        <f>"2"</f>
        <v>2</v>
      </c>
      <c r="E223" s="8" t="str">
        <f>"7"</f>
        <v>7</v>
      </c>
      <c r="F223" s="8" t="str">
        <f>"1"</f>
        <v>1</v>
      </c>
      <c r="G223" s="10">
        <v>686948189.77</v>
      </c>
    </row>
    <row r="224" spans="1:7" s="11" customFormat="1" ht="15">
      <c r="A224" s="7">
        <v>45380</v>
      </c>
      <c r="B224" s="8" t="str">
        <f t="shared" si="32"/>
        <v>2203</v>
      </c>
      <c r="C224" s="9" t="str">
        <f t="shared" si="33"/>
        <v>Текущие счета юридических лиц</v>
      </c>
      <c r="D224" s="8" t="str">
        <f>"2"</f>
        <v>2</v>
      </c>
      <c r="E224" s="8" t="str">
        <f>"7"</f>
        <v>7</v>
      </c>
      <c r="F224" s="8" t="str">
        <f>"2"</f>
        <v>2</v>
      </c>
      <c r="G224" s="10">
        <v>2569867975.3</v>
      </c>
    </row>
    <row r="225" spans="1:7" s="11" customFormat="1" ht="15">
      <c r="A225" s="7">
        <v>45380</v>
      </c>
      <c r="B225" s="8" t="str">
        <f t="shared" si="32"/>
        <v>2203</v>
      </c>
      <c r="C225" s="9" t="str">
        <f t="shared" si="33"/>
        <v>Текущие счета юридических лиц</v>
      </c>
      <c r="D225" s="8" t="str">
        <f>"2"</f>
        <v>2</v>
      </c>
      <c r="E225" s="8" t="str">
        <f>"7"</f>
        <v>7</v>
      </c>
      <c r="F225" s="8" t="str">
        <f>"3"</f>
        <v>3</v>
      </c>
      <c r="G225" s="10">
        <v>266003902.98</v>
      </c>
    </row>
    <row r="226" spans="1:7" s="11" customFormat="1" ht="15">
      <c r="A226" s="7">
        <v>45380</v>
      </c>
      <c r="B226" s="8" t="str">
        <f t="shared" si="32"/>
        <v>2203</v>
      </c>
      <c r="C226" s="9" t="str">
        <f t="shared" si="33"/>
        <v>Текущие счета юридических лиц</v>
      </c>
      <c r="D226" s="8" t="str">
        <f>"2"</f>
        <v>2</v>
      </c>
      <c r="E226" s="8" t="str">
        <f>"8"</f>
        <v>8</v>
      </c>
      <c r="F226" s="8" t="str">
        <f>"1"</f>
        <v>1</v>
      </c>
      <c r="G226" s="10">
        <v>2448582.83</v>
      </c>
    </row>
    <row r="227" spans="1:7" s="11" customFormat="1" ht="15">
      <c r="A227" s="7">
        <v>45380</v>
      </c>
      <c r="B227" s="8" t="str">
        <f aca="true" t="shared" si="34" ref="B227:B232">"2204"</f>
        <v>2204</v>
      </c>
      <c r="C227" s="9" t="str">
        <f aca="true" t="shared" si="35" ref="C227:C232">"Текущие счета физических лиц"</f>
        <v>Текущие счета физических лиц</v>
      </c>
      <c r="D227" s="8" t="str">
        <f>"1"</f>
        <v>1</v>
      </c>
      <c r="E227" s="8" t="str">
        <f aca="true" t="shared" si="36" ref="E227:E260">"9"</f>
        <v>9</v>
      </c>
      <c r="F227" s="8" t="str">
        <f>"1"</f>
        <v>1</v>
      </c>
      <c r="G227" s="10">
        <v>22604812202.19</v>
      </c>
    </row>
    <row r="228" spans="1:7" s="11" customFormat="1" ht="15">
      <c r="A228" s="7">
        <v>45380</v>
      </c>
      <c r="B228" s="8" t="str">
        <f t="shared" si="34"/>
        <v>2204</v>
      </c>
      <c r="C228" s="9" t="str">
        <f t="shared" si="35"/>
        <v>Текущие счета физических лиц</v>
      </c>
      <c r="D228" s="8" t="str">
        <f>"1"</f>
        <v>1</v>
      </c>
      <c r="E228" s="8" t="str">
        <f t="shared" si="36"/>
        <v>9</v>
      </c>
      <c r="F228" s="8" t="str">
        <f>"2"</f>
        <v>2</v>
      </c>
      <c r="G228" s="10">
        <v>2942840210.63</v>
      </c>
    </row>
    <row r="229" spans="1:7" s="11" customFormat="1" ht="15">
      <c r="A229" s="7">
        <v>45380</v>
      </c>
      <c r="B229" s="8" t="str">
        <f t="shared" si="34"/>
        <v>2204</v>
      </c>
      <c r="C229" s="9" t="str">
        <f t="shared" si="35"/>
        <v>Текущие счета физических лиц</v>
      </c>
      <c r="D229" s="8" t="str">
        <f>"1"</f>
        <v>1</v>
      </c>
      <c r="E229" s="8" t="str">
        <f t="shared" si="36"/>
        <v>9</v>
      </c>
      <c r="F229" s="8" t="str">
        <f>"3"</f>
        <v>3</v>
      </c>
      <c r="G229" s="10">
        <v>2370835249.42</v>
      </c>
    </row>
    <row r="230" spans="1:7" s="11" customFormat="1" ht="15">
      <c r="A230" s="7">
        <v>45380</v>
      </c>
      <c r="B230" s="8" t="str">
        <f t="shared" si="34"/>
        <v>2204</v>
      </c>
      <c r="C230" s="9" t="str">
        <f t="shared" si="35"/>
        <v>Текущие счета физических лиц</v>
      </c>
      <c r="D230" s="8" t="str">
        <f>"2"</f>
        <v>2</v>
      </c>
      <c r="E230" s="8" t="str">
        <f t="shared" si="36"/>
        <v>9</v>
      </c>
      <c r="F230" s="8" t="str">
        <f>"1"</f>
        <v>1</v>
      </c>
      <c r="G230" s="10">
        <v>838319301.78</v>
      </c>
    </row>
    <row r="231" spans="1:7" s="11" customFormat="1" ht="15">
      <c r="A231" s="7">
        <v>45380</v>
      </c>
      <c r="B231" s="8" t="str">
        <f t="shared" si="34"/>
        <v>2204</v>
      </c>
      <c r="C231" s="9" t="str">
        <f t="shared" si="35"/>
        <v>Текущие счета физических лиц</v>
      </c>
      <c r="D231" s="8" t="str">
        <f>"2"</f>
        <v>2</v>
      </c>
      <c r="E231" s="8" t="str">
        <f t="shared" si="36"/>
        <v>9</v>
      </c>
      <c r="F231" s="8" t="str">
        <f>"2"</f>
        <v>2</v>
      </c>
      <c r="G231" s="10">
        <v>2677274433.69</v>
      </c>
    </row>
    <row r="232" spans="1:7" s="11" customFormat="1" ht="15">
      <c r="A232" s="7">
        <v>45380</v>
      </c>
      <c r="B232" s="8" t="str">
        <f t="shared" si="34"/>
        <v>2204</v>
      </c>
      <c r="C232" s="9" t="str">
        <f t="shared" si="35"/>
        <v>Текущие счета физических лиц</v>
      </c>
      <c r="D232" s="8" t="str">
        <f>"2"</f>
        <v>2</v>
      </c>
      <c r="E232" s="8" t="str">
        <f t="shared" si="36"/>
        <v>9</v>
      </c>
      <c r="F232" s="8" t="str">
        <f>"3"</f>
        <v>3</v>
      </c>
      <c r="G232" s="10">
        <v>721088005.72</v>
      </c>
    </row>
    <row r="233" spans="1:7" s="11" customFormat="1" ht="15">
      <c r="A233" s="7">
        <v>45380</v>
      </c>
      <c r="B233" s="8" t="str">
        <f aca="true" t="shared" si="37" ref="B233:B238">"2205"</f>
        <v>2205</v>
      </c>
      <c r="C233" s="9" t="str">
        <f aca="true" t="shared" si="38" ref="C233:C238">"Вклады до востребования физических лиц"</f>
        <v>Вклады до востребования физических лиц</v>
      </c>
      <c r="D233" s="8" t="str">
        <f>"1"</f>
        <v>1</v>
      </c>
      <c r="E233" s="8" t="str">
        <f t="shared" si="36"/>
        <v>9</v>
      </c>
      <c r="F233" s="8" t="str">
        <f>"1"</f>
        <v>1</v>
      </c>
      <c r="G233" s="10">
        <v>78944335.79</v>
      </c>
    </row>
    <row r="234" spans="1:7" s="11" customFormat="1" ht="15">
      <c r="A234" s="7">
        <v>45380</v>
      </c>
      <c r="B234" s="8" t="str">
        <f t="shared" si="37"/>
        <v>2205</v>
      </c>
      <c r="C234" s="9" t="str">
        <f t="shared" si="38"/>
        <v>Вклады до востребования физических лиц</v>
      </c>
      <c r="D234" s="8" t="str">
        <f>"1"</f>
        <v>1</v>
      </c>
      <c r="E234" s="8" t="str">
        <f t="shared" si="36"/>
        <v>9</v>
      </c>
      <c r="F234" s="8" t="str">
        <f>"2"</f>
        <v>2</v>
      </c>
      <c r="G234" s="10">
        <v>178502719.67</v>
      </c>
    </row>
    <row r="235" spans="1:7" s="11" customFormat="1" ht="15">
      <c r="A235" s="7">
        <v>45380</v>
      </c>
      <c r="B235" s="8" t="str">
        <f t="shared" si="37"/>
        <v>2205</v>
      </c>
      <c r="C235" s="9" t="str">
        <f t="shared" si="38"/>
        <v>Вклады до востребования физических лиц</v>
      </c>
      <c r="D235" s="8" t="str">
        <f>"1"</f>
        <v>1</v>
      </c>
      <c r="E235" s="8" t="str">
        <f t="shared" si="36"/>
        <v>9</v>
      </c>
      <c r="F235" s="8" t="str">
        <f>"3"</f>
        <v>3</v>
      </c>
      <c r="G235" s="10">
        <v>43232762.18</v>
      </c>
    </row>
    <row r="236" spans="1:7" s="11" customFormat="1" ht="15">
      <c r="A236" s="7">
        <v>45380</v>
      </c>
      <c r="B236" s="8" t="str">
        <f t="shared" si="37"/>
        <v>2205</v>
      </c>
      <c r="C236" s="9" t="str">
        <f t="shared" si="38"/>
        <v>Вклады до востребования физических лиц</v>
      </c>
      <c r="D236" s="8" t="str">
        <f>"2"</f>
        <v>2</v>
      </c>
      <c r="E236" s="8" t="str">
        <f t="shared" si="36"/>
        <v>9</v>
      </c>
      <c r="F236" s="8" t="str">
        <f>"1"</f>
        <v>1</v>
      </c>
      <c r="G236" s="10">
        <v>9467594.06</v>
      </c>
    </row>
    <row r="237" spans="1:7" s="11" customFormat="1" ht="15">
      <c r="A237" s="7">
        <v>45380</v>
      </c>
      <c r="B237" s="8" t="str">
        <f t="shared" si="37"/>
        <v>2205</v>
      </c>
      <c r="C237" s="9" t="str">
        <f t="shared" si="38"/>
        <v>Вклады до востребования физических лиц</v>
      </c>
      <c r="D237" s="8" t="str">
        <f>"2"</f>
        <v>2</v>
      </c>
      <c r="E237" s="8" t="str">
        <f t="shared" si="36"/>
        <v>9</v>
      </c>
      <c r="F237" s="8" t="str">
        <f>"2"</f>
        <v>2</v>
      </c>
      <c r="G237" s="10">
        <v>98130863.32</v>
      </c>
    </row>
    <row r="238" spans="1:7" s="11" customFormat="1" ht="15">
      <c r="A238" s="7">
        <v>45380</v>
      </c>
      <c r="B238" s="8" t="str">
        <f t="shared" si="37"/>
        <v>2205</v>
      </c>
      <c r="C238" s="9" t="str">
        <f t="shared" si="38"/>
        <v>Вклады до востребования физических лиц</v>
      </c>
      <c r="D238" s="8" t="str">
        <f>"2"</f>
        <v>2</v>
      </c>
      <c r="E238" s="8" t="str">
        <f t="shared" si="36"/>
        <v>9</v>
      </c>
      <c r="F238" s="8" t="str">
        <f>"3"</f>
        <v>3</v>
      </c>
      <c r="G238" s="10">
        <v>452260.89</v>
      </c>
    </row>
    <row r="239" spans="1:7" s="11" customFormat="1" ht="15">
      <c r="A239" s="7">
        <v>45380</v>
      </c>
      <c r="B239" s="8" t="str">
        <f aca="true" t="shared" si="39" ref="B239:B244">"2206"</f>
        <v>2206</v>
      </c>
      <c r="C239" s="9" t="str">
        <f aca="true" t="shared" si="40" ref="C239:C244">"Краткосрочные вклады физических лиц"</f>
        <v>Краткосрочные вклады физических лиц</v>
      </c>
      <c r="D239" s="8" t="str">
        <f>"1"</f>
        <v>1</v>
      </c>
      <c r="E239" s="8" t="str">
        <f t="shared" si="36"/>
        <v>9</v>
      </c>
      <c r="F239" s="8" t="str">
        <f>"1"</f>
        <v>1</v>
      </c>
      <c r="G239" s="10">
        <v>84712408105.04</v>
      </c>
    </row>
    <row r="240" spans="1:7" s="11" customFormat="1" ht="15">
      <c r="A240" s="7">
        <v>45380</v>
      </c>
      <c r="B240" s="8" t="str">
        <f t="shared" si="39"/>
        <v>2206</v>
      </c>
      <c r="C240" s="9" t="str">
        <f t="shared" si="40"/>
        <v>Краткосрочные вклады физических лиц</v>
      </c>
      <c r="D240" s="8" t="str">
        <f>"1"</f>
        <v>1</v>
      </c>
      <c r="E240" s="8" t="str">
        <f t="shared" si="36"/>
        <v>9</v>
      </c>
      <c r="F240" s="8" t="str">
        <f>"2"</f>
        <v>2</v>
      </c>
      <c r="G240" s="10">
        <v>10199563616.65</v>
      </c>
    </row>
    <row r="241" spans="1:7" s="11" customFormat="1" ht="15">
      <c r="A241" s="7">
        <v>45380</v>
      </c>
      <c r="B241" s="8" t="str">
        <f t="shared" si="39"/>
        <v>2206</v>
      </c>
      <c r="C241" s="9" t="str">
        <f t="shared" si="40"/>
        <v>Краткосрочные вклады физических лиц</v>
      </c>
      <c r="D241" s="8" t="str">
        <f>"1"</f>
        <v>1</v>
      </c>
      <c r="E241" s="8" t="str">
        <f t="shared" si="36"/>
        <v>9</v>
      </c>
      <c r="F241" s="8" t="str">
        <f>"3"</f>
        <v>3</v>
      </c>
      <c r="G241" s="10">
        <v>1085510982.76</v>
      </c>
    </row>
    <row r="242" spans="1:7" s="11" customFormat="1" ht="15">
      <c r="A242" s="7">
        <v>45380</v>
      </c>
      <c r="B242" s="8" t="str">
        <f t="shared" si="39"/>
        <v>2206</v>
      </c>
      <c r="C242" s="9" t="str">
        <f t="shared" si="40"/>
        <v>Краткосрочные вклады физических лиц</v>
      </c>
      <c r="D242" s="8" t="str">
        <f>"2"</f>
        <v>2</v>
      </c>
      <c r="E242" s="8" t="str">
        <f t="shared" si="36"/>
        <v>9</v>
      </c>
      <c r="F242" s="8" t="str">
        <f>"1"</f>
        <v>1</v>
      </c>
      <c r="G242" s="10">
        <v>1975042365.68</v>
      </c>
    </row>
    <row r="243" spans="1:7" s="11" customFormat="1" ht="15">
      <c r="A243" s="7">
        <v>45380</v>
      </c>
      <c r="B243" s="8" t="str">
        <f t="shared" si="39"/>
        <v>2206</v>
      </c>
      <c r="C243" s="9" t="str">
        <f t="shared" si="40"/>
        <v>Краткосрочные вклады физических лиц</v>
      </c>
      <c r="D243" s="8" t="str">
        <f>"2"</f>
        <v>2</v>
      </c>
      <c r="E243" s="8" t="str">
        <f t="shared" si="36"/>
        <v>9</v>
      </c>
      <c r="F243" s="8" t="str">
        <f>"2"</f>
        <v>2</v>
      </c>
      <c r="G243" s="10">
        <v>1430200218.94</v>
      </c>
    </row>
    <row r="244" spans="1:7" s="11" customFormat="1" ht="15">
      <c r="A244" s="7">
        <v>45380</v>
      </c>
      <c r="B244" s="8" t="str">
        <f t="shared" si="39"/>
        <v>2206</v>
      </c>
      <c r="C244" s="9" t="str">
        <f t="shared" si="40"/>
        <v>Краткосрочные вклады физических лиц</v>
      </c>
      <c r="D244" s="8" t="str">
        <f>"2"</f>
        <v>2</v>
      </c>
      <c r="E244" s="8" t="str">
        <f t="shared" si="36"/>
        <v>9</v>
      </c>
      <c r="F244" s="8" t="str">
        <f>"3"</f>
        <v>3</v>
      </c>
      <c r="G244" s="10">
        <v>43402931.3</v>
      </c>
    </row>
    <row r="245" spans="1:7" s="11" customFormat="1" ht="15">
      <c r="A245" s="7">
        <v>45380</v>
      </c>
      <c r="B245" s="8" t="str">
        <f aca="true" t="shared" si="41" ref="B245:B250">"2207"</f>
        <v>2207</v>
      </c>
      <c r="C245" s="9" t="str">
        <f aca="true" t="shared" si="42" ref="C245:C250">"Долгосрочные вклады физических лиц"</f>
        <v>Долгосрочные вклады физических лиц</v>
      </c>
      <c r="D245" s="8" t="str">
        <f>"1"</f>
        <v>1</v>
      </c>
      <c r="E245" s="8" t="str">
        <f t="shared" si="36"/>
        <v>9</v>
      </c>
      <c r="F245" s="8" t="str">
        <f>"1"</f>
        <v>1</v>
      </c>
      <c r="G245" s="10">
        <v>97901090941.5</v>
      </c>
    </row>
    <row r="246" spans="1:7" s="11" customFormat="1" ht="15">
      <c r="A246" s="7">
        <v>45380</v>
      </c>
      <c r="B246" s="8" t="str">
        <f t="shared" si="41"/>
        <v>2207</v>
      </c>
      <c r="C246" s="9" t="str">
        <f t="shared" si="42"/>
        <v>Долгосрочные вклады физических лиц</v>
      </c>
      <c r="D246" s="8" t="str">
        <f>"1"</f>
        <v>1</v>
      </c>
      <c r="E246" s="8" t="str">
        <f t="shared" si="36"/>
        <v>9</v>
      </c>
      <c r="F246" s="8" t="str">
        <f>"2"</f>
        <v>2</v>
      </c>
      <c r="G246" s="10">
        <v>23251042002.59</v>
      </c>
    </row>
    <row r="247" spans="1:7" s="11" customFormat="1" ht="15">
      <c r="A247" s="7">
        <v>45380</v>
      </c>
      <c r="B247" s="8" t="str">
        <f t="shared" si="41"/>
        <v>2207</v>
      </c>
      <c r="C247" s="9" t="str">
        <f t="shared" si="42"/>
        <v>Долгосрочные вклады физических лиц</v>
      </c>
      <c r="D247" s="8" t="str">
        <f>"1"</f>
        <v>1</v>
      </c>
      <c r="E247" s="8" t="str">
        <f t="shared" si="36"/>
        <v>9</v>
      </c>
      <c r="F247" s="8" t="str">
        <f>"3"</f>
        <v>3</v>
      </c>
      <c r="G247" s="10">
        <v>2746577385.81</v>
      </c>
    </row>
    <row r="248" spans="1:7" s="11" customFormat="1" ht="15">
      <c r="A248" s="7">
        <v>45380</v>
      </c>
      <c r="B248" s="8" t="str">
        <f t="shared" si="41"/>
        <v>2207</v>
      </c>
      <c r="C248" s="9" t="str">
        <f t="shared" si="42"/>
        <v>Долгосрочные вклады физических лиц</v>
      </c>
      <c r="D248" s="8" t="str">
        <f>"2"</f>
        <v>2</v>
      </c>
      <c r="E248" s="8" t="str">
        <f t="shared" si="36"/>
        <v>9</v>
      </c>
      <c r="F248" s="8" t="str">
        <f>"1"</f>
        <v>1</v>
      </c>
      <c r="G248" s="10">
        <v>3112392011.55</v>
      </c>
    </row>
    <row r="249" spans="1:7" s="11" customFormat="1" ht="15">
      <c r="A249" s="7">
        <v>45380</v>
      </c>
      <c r="B249" s="8" t="str">
        <f t="shared" si="41"/>
        <v>2207</v>
      </c>
      <c r="C249" s="9" t="str">
        <f t="shared" si="42"/>
        <v>Долгосрочные вклады физических лиц</v>
      </c>
      <c r="D249" s="8" t="str">
        <f>"2"</f>
        <v>2</v>
      </c>
      <c r="E249" s="8" t="str">
        <f t="shared" si="36"/>
        <v>9</v>
      </c>
      <c r="F249" s="8" t="str">
        <f>"2"</f>
        <v>2</v>
      </c>
      <c r="G249" s="10">
        <v>1342028498.5</v>
      </c>
    </row>
    <row r="250" spans="1:7" s="11" customFormat="1" ht="15">
      <c r="A250" s="7">
        <v>45380</v>
      </c>
      <c r="B250" s="8" t="str">
        <f t="shared" si="41"/>
        <v>2207</v>
      </c>
      <c r="C250" s="9" t="str">
        <f t="shared" si="42"/>
        <v>Долгосрочные вклады физических лиц</v>
      </c>
      <c r="D250" s="8" t="str">
        <f>"2"</f>
        <v>2</v>
      </c>
      <c r="E250" s="8" t="str">
        <f t="shared" si="36"/>
        <v>9</v>
      </c>
      <c r="F250" s="8" t="str">
        <f>"3"</f>
        <v>3</v>
      </c>
      <c r="G250" s="10">
        <v>36993528.53</v>
      </c>
    </row>
    <row r="251" spans="1:7" s="11" customFormat="1" ht="15">
      <c r="A251" s="7">
        <v>45380</v>
      </c>
      <c r="B251" s="8" t="str">
        <f>"2208"</f>
        <v>2208</v>
      </c>
      <c r="C251" s="9" t="str">
        <f>"Условные вклады физических лиц"</f>
        <v>Условные вклады физических лиц</v>
      </c>
      <c r="D251" s="8" t="str">
        <f>"1"</f>
        <v>1</v>
      </c>
      <c r="E251" s="8" t="str">
        <f t="shared" si="36"/>
        <v>9</v>
      </c>
      <c r="F251" s="8" t="str">
        <f>"1"</f>
        <v>1</v>
      </c>
      <c r="G251" s="10">
        <v>341013820.02</v>
      </c>
    </row>
    <row r="252" spans="1:7" s="11" customFormat="1" ht="15">
      <c r="A252" s="7">
        <v>45380</v>
      </c>
      <c r="B252" s="8" t="str">
        <f>"2208"</f>
        <v>2208</v>
      </c>
      <c r="C252" s="9" t="str">
        <f>"Условные вклады физических лиц"</f>
        <v>Условные вклады физических лиц</v>
      </c>
      <c r="D252" s="8" t="str">
        <f>"1"</f>
        <v>1</v>
      </c>
      <c r="E252" s="8" t="str">
        <f t="shared" si="36"/>
        <v>9</v>
      </c>
      <c r="F252" s="8" t="str">
        <f>"2"</f>
        <v>2</v>
      </c>
      <c r="G252" s="10">
        <v>42305598.2</v>
      </c>
    </row>
    <row r="253" spans="1:7" s="11" customFormat="1" ht="15">
      <c r="A253" s="7">
        <v>45380</v>
      </c>
      <c r="B253" s="8" t="str">
        <f>"2208"</f>
        <v>2208</v>
      </c>
      <c r="C253" s="9" t="str">
        <f>"Условные вклады физических лиц"</f>
        <v>Условные вклады физических лиц</v>
      </c>
      <c r="D253" s="8" t="str">
        <f>"2"</f>
        <v>2</v>
      </c>
      <c r="E253" s="8" t="str">
        <f t="shared" si="36"/>
        <v>9</v>
      </c>
      <c r="F253" s="8" t="str">
        <f>"1"</f>
        <v>1</v>
      </c>
      <c r="G253" s="10">
        <v>104077</v>
      </c>
    </row>
    <row r="254" spans="1:7" s="11" customFormat="1" ht="15">
      <c r="A254" s="7">
        <v>45380</v>
      </c>
      <c r="B254" s="8" t="str">
        <f>"2208"</f>
        <v>2208</v>
      </c>
      <c r="C254" s="9" t="str">
        <f>"Условные вклады физических лиц"</f>
        <v>Условные вклады физических лиц</v>
      </c>
      <c r="D254" s="8" t="str">
        <f>"2"</f>
        <v>2</v>
      </c>
      <c r="E254" s="8" t="str">
        <f t="shared" si="36"/>
        <v>9</v>
      </c>
      <c r="F254" s="8" t="str">
        <f>"2"</f>
        <v>2</v>
      </c>
      <c r="G254" s="10">
        <v>2363466.2</v>
      </c>
    </row>
    <row r="255" spans="1:7" s="11" customFormat="1" ht="15">
      <c r="A255" s="7">
        <v>45380</v>
      </c>
      <c r="B255" s="8" t="str">
        <f>"2212"</f>
        <v>2212</v>
      </c>
      <c r="C255" s="9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55" s="8" t="str">
        <f>"1"</f>
        <v>1</v>
      </c>
      <c r="E255" s="8" t="str">
        <f t="shared" si="36"/>
        <v>9</v>
      </c>
      <c r="F255" s="8">
        <f>""</f>
      </c>
      <c r="G255" s="10">
        <v>842964318.32</v>
      </c>
    </row>
    <row r="256" spans="1:7" s="11" customFormat="1" ht="15">
      <c r="A256" s="7">
        <v>45380</v>
      </c>
      <c r="B256" s="8" t="str">
        <f>"2212"</f>
        <v>2212</v>
      </c>
      <c r="C256" s="9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D256" s="8" t="str">
        <f>"2"</f>
        <v>2</v>
      </c>
      <c r="E256" s="8" t="str">
        <f t="shared" si="36"/>
        <v>9</v>
      </c>
      <c r="F256" s="8">
        <f>""</f>
      </c>
      <c r="G256" s="10">
        <v>32729.49</v>
      </c>
    </row>
    <row r="257" spans="1:7" s="11" customFormat="1" ht="15">
      <c r="A257" s="7">
        <v>45380</v>
      </c>
      <c r="B257" s="8" t="str">
        <f>"2213"</f>
        <v>2213</v>
      </c>
      <c r="C257" s="9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D257" s="8" t="str">
        <f>"1"</f>
        <v>1</v>
      </c>
      <c r="E257" s="8" t="str">
        <f t="shared" si="36"/>
        <v>9</v>
      </c>
      <c r="F257" s="8" t="str">
        <f>"1"</f>
        <v>1</v>
      </c>
      <c r="G257" s="10">
        <v>8933900431.5</v>
      </c>
    </row>
    <row r="258" spans="1:7" s="11" customFormat="1" ht="15">
      <c r="A258" s="7">
        <v>45380</v>
      </c>
      <c r="B258" s="8" t="str">
        <f>"2213"</f>
        <v>2213</v>
      </c>
      <c r="C258" s="9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D258" s="8" t="str">
        <f>"1"</f>
        <v>1</v>
      </c>
      <c r="E258" s="8" t="str">
        <f t="shared" si="36"/>
        <v>9</v>
      </c>
      <c r="F258" s="8" t="str">
        <f>"2"</f>
        <v>2</v>
      </c>
      <c r="G258" s="10">
        <v>1839606079.19</v>
      </c>
    </row>
    <row r="259" spans="1:7" s="11" customFormat="1" ht="15">
      <c r="A259" s="7">
        <v>45380</v>
      </c>
      <c r="B259" s="8" t="str">
        <f>"2214"</f>
        <v>2214</v>
      </c>
      <c r="C259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59" s="8" t="str">
        <f>"1"</f>
        <v>1</v>
      </c>
      <c r="E259" s="8" t="str">
        <f t="shared" si="36"/>
        <v>9</v>
      </c>
      <c r="F259" s="8" t="str">
        <f>"1"</f>
        <v>1</v>
      </c>
      <c r="G259" s="10">
        <v>172842010852.03</v>
      </c>
    </row>
    <row r="260" spans="1:7" s="11" customFormat="1" ht="15">
      <c r="A260" s="7">
        <v>45380</v>
      </c>
      <c r="B260" s="8" t="str">
        <f>"2214"</f>
        <v>2214</v>
      </c>
      <c r="C260" s="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D260" s="8" t="str">
        <f>"2"</f>
        <v>2</v>
      </c>
      <c r="E260" s="8" t="str">
        <f t="shared" si="36"/>
        <v>9</v>
      </c>
      <c r="F260" s="8" t="str">
        <f>"1"</f>
        <v>1</v>
      </c>
      <c r="G260" s="10">
        <v>4560318527.06</v>
      </c>
    </row>
    <row r="261" spans="1:7" s="11" customFormat="1" ht="15">
      <c r="A261" s="7">
        <v>45380</v>
      </c>
      <c r="B261" s="8" t="str">
        <f aca="true" t="shared" si="43" ref="B261:B272">"2215"</f>
        <v>2215</v>
      </c>
      <c r="C261" s="9" t="str">
        <f aca="true" t="shared" si="44" ref="C261:C272">"Краткосрочные вклады юридических лиц"</f>
        <v>Краткосрочные вклады юридических лиц</v>
      </c>
      <c r="D261" s="8" t="str">
        <f aca="true" t="shared" si="45" ref="D261:D268">"1"</f>
        <v>1</v>
      </c>
      <c r="E261" s="8" t="str">
        <f>"5"</f>
        <v>5</v>
      </c>
      <c r="F261" s="8" t="str">
        <f>"1"</f>
        <v>1</v>
      </c>
      <c r="G261" s="10">
        <v>18075735315.31</v>
      </c>
    </row>
    <row r="262" spans="1:7" s="11" customFormat="1" ht="15">
      <c r="A262" s="7">
        <v>45380</v>
      </c>
      <c r="B262" s="8" t="str">
        <f t="shared" si="43"/>
        <v>2215</v>
      </c>
      <c r="C262" s="9" t="str">
        <f t="shared" si="44"/>
        <v>Краткосрочные вклады юридических лиц</v>
      </c>
      <c r="D262" s="8" t="str">
        <f t="shared" si="45"/>
        <v>1</v>
      </c>
      <c r="E262" s="8" t="str">
        <f>"5"</f>
        <v>5</v>
      </c>
      <c r="F262" s="8" t="str">
        <f>"2"</f>
        <v>2</v>
      </c>
      <c r="G262" s="10">
        <v>1634654881.9</v>
      </c>
    </row>
    <row r="263" spans="1:7" s="11" customFormat="1" ht="15">
      <c r="A263" s="7">
        <v>45380</v>
      </c>
      <c r="B263" s="8" t="str">
        <f t="shared" si="43"/>
        <v>2215</v>
      </c>
      <c r="C263" s="9" t="str">
        <f t="shared" si="44"/>
        <v>Краткосрочные вклады юридических лиц</v>
      </c>
      <c r="D263" s="8" t="str">
        <f t="shared" si="45"/>
        <v>1</v>
      </c>
      <c r="E263" s="8" t="str">
        <f>"5"</f>
        <v>5</v>
      </c>
      <c r="F263" s="8" t="str">
        <f>"3"</f>
        <v>3</v>
      </c>
      <c r="G263" s="10">
        <v>102717844.29</v>
      </c>
    </row>
    <row r="264" spans="1:7" s="11" customFormat="1" ht="15">
      <c r="A264" s="7">
        <v>45380</v>
      </c>
      <c r="B264" s="8" t="str">
        <f t="shared" si="43"/>
        <v>2215</v>
      </c>
      <c r="C264" s="9" t="str">
        <f t="shared" si="44"/>
        <v>Краткосрочные вклады юридических лиц</v>
      </c>
      <c r="D264" s="8" t="str">
        <f t="shared" si="45"/>
        <v>1</v>
      </c>
      <c r="E264" s="8" t="str">
        <f>"6"</f>
        <v>6</v>
      </c>
      <c r="F264" s="8" t="str">
        <f>"1"</f>
        <v>1</v>
      </c>
      <c r="G264" s="10">
        <v>16723420569.52</v>
      </c>
    </row>
    <row r="265" spans="1:7" s="11" customFormat="1" ht="15">
      <c r="A265" s="7">
        <v>45380</v>
      </c>
      <c r="B265" s="8" t="str">
        <f t="shared" si="43"/>
        <v>2215</v>
      </c>
      <c r="C265" s="9" t="str">
        <f t="shared" si="44"/>
        <v>Краткосрочные вклады юридических лиц</v>
      </c>
      <c r="D265" s="8" t="str">
        <f t="shared" si="45"/>
        <v>1</v>
      </c>
      <c r="E265" s="8" t="str">
        <f>"7"</f>
        <v>7</v>
      </c>
      <c r="F265" s="8" t="str">
        <f>"1"</f>
        <v>1</v>
      </c>
      <c r="G265" s="10">
        <v>264487844913.84</v>
      </c>
    </row>
    <row r="266" spans="1:7" s="11" customFormat="1" ht="15">
      <c r="A266" s="7">
        <v>45380</v>
      </c>
      <c r="B266" s="8" t="str">
        <f t="shared" si="43"/>
        <v>2215</v>
      </c>
      <c r="C266" s="9" t="str">
        <f t="shared" si="44"/>
        <v>Краткосрочные вклады юридических лиц</v>
      </c>
      <c r="D266" s="8" t="str">
        <f t="shared" si="45"/>
        <v>1</v>
      </c>
      <c r="E266" s="8" t="str">
        <f>"7"</f>
        <v>7</v>
      </c>
      <c r="F266" s="8" t="str">
        <f>"2"</f>
        <v>2</v>
      </c>
      <c r="G266" s="10">
        <v>26196274701.11</v>
      </c>
    </row>
    <row r="267" spans="1:7" s="11" customFormat="1" ht="15">
      <c r="A267" s="7">
        <v>45380</v>
      </c>
      <c r="B267" s="8" t="str">
        <f t="shared" si="43"/>
        <v>2215</v>
      </c>
      <c r="C267" s="9" t="str">
        <f t="shared" si="44"/>
        <v>Краткосрочные вклады юридических лиц</v>
      </c>
      <c r="D267" s="8" t="str">
        <f t="shared" si="45"/>
        <v>1</v>
      </c>
      <c r="E267" s="8" t="str">
        <f>"7"</f>
        <v>7</v>
      </c>
      <c r="F267" s="8" t="str">
        <f>"3"</f>
        <v>3</v>
      </c>
      <c r="G267" s="10">
        <v>2103845662.88</v>
      </c>
    </row>
    <row r="268" spans="1:7" s="11" customFormat="1" ht="15">
      <c r="A268" s="7">
        <v>45380</v>
      </c>
      <c r="B268" s="8" t="str">
        <f t="shared" si="43"/>
        <v>2215</v>
      </c>
      <c r="C268" s="9" t="str">
        <f t="shared" si="44"/>
        <v>Краткосрочные вклады юридических лиц</v>
      </c>
      <c r="D268" s="8" t="str">
        <f t="shared" si="45"/>
        <v>1</v>
      </c>
      <c r="E268" s="8" t="str">
        <f>"8"</f>
        <v>8</v>
      </c>
      <c r="F268" s="8" t="str">
        <f>"1"</f>
        <v>1</v>
      </c>
      <c r="G268" s="10">
        <v>1072922293.62</v>
      </c>
    </row>
    <row r="269" spans="1:7" s="11" customFormat="1" ht="15">
      <c r="A269" s="7">
        <v>45380</v>
      </c>
      <c r="B269" s="8" t="str">
        <f t="shared" si="43"/>
        <v>2215</v>
      </c>
      <c r="C269" s="9" t="str">
        <f t="shared" si="44"/>
        <v>Краткосрочные вклады юридических лиц</v>
      </c>
      <c r="D269" s="8" t="str">
        <f>"2"</f>
        <v>2</v>
      </c>
      <c r="E269" s="8" t="str">
        <f>"7"</f>
        <v>7</v>
      </c>
      <c r="F269" s="8" t="str">
        <f>"1"</f>
        <v>1</v>
      </c>
      <c r="G269" s="10">
        <v>272025190.9</v>
      </c>
    </row>
    <row r="270" spans="1:7" s="11" customFormat="1" ht="15">
      <c r="A270" s="7">
        <v>45380</v>
      </c>
      <c r="B270" s="8" t="str">
        <f t="shared" si="43"/>
        <v>2215</v>
      </c>
      <c r="C270" s="9" t="str">
        <f t="shared" si="44"/>
        <v>Краткосрочные вклады юридических лиц</v>
      </c>
      <c r="D270" s="8" t="str">
        <f>"2"</f>
        <v>2</v>
      </c>
      <c r="E270" s="8" t="str">
        <f>"7"</f>
        <v>7</v>
      </c>
      <c r="F270" s="8" t="str">
        <f>"2"</f>
        <v>2</v>
      </c>
      <c r="G270" s="10">
        <v>722938323.51</v>
      </c>
    </row>
    <row r="271" spans="1:7" s="11" customFormat="1" ht="15">
      <c r="A271" s="7">
        <v>45380</v>
      </c>
      <c r="B271" s="8" t="str">
        <f t="shared" si="43"/>
        <v>2215</v>
      </c>
      <c r="C271" s="9" t="str">
        <f t="shared" si="44"/>
        <v>Краткосрочные вклады юридических лиц</v>
      </c>
      <c r="D271" s="8" t="str">
        <f>"2"</f>
        <v>2</v>
      </c>
      <c r="E271" s="8" t="str">
        <f>"7"</f>
        <v>7</v>
      </c>
      <c r="F271" s="8" t="str">
        <f>"3"</f>
        <v>3</v>
      </c>
      <c r="G271" s="10">
        <v>52156227.2</v>
      </c>
    </row>
    <row r="272" spans="1:7" s="11" customFormat="1" ht="15">
      <c r="A272" s="7">
        <v>45380</v>
      </c>
      <c r="B272" s="8" t="str">
        <f t="shared" si="43"/>
        <v>2215</v>
      </c>
      <c r="C272" s="9" t="str">
        <f t="shared" si="44"/>
        <v>Краткосрочные вклады юридических лиц</v>
      </c>
      <c r="D272" s="8" t="str">
        <f>"2"</f>
        <v>2</v>
      </c>
      <c r="E272" s="8" t="str">
        <f>"8"</f>
        <v>8</v>
      </c>
      <c r="F272" s="8" t="str">
        <f>"1"</f>
        <v>1</v>
      </c>
      <c r="G272" s="10">
        <v>450000</v>
      </c>
    </row>
    <row r="273" spans="1:7" s="11" customFormat="1" ht="15">
      <c r="A273" s="7">
        <v>45380</v>
      </c>
      <c r="B273" s="8" t="str">
        <f aca="true" t="shared" si="46" ref="B273:B278">"2217"</f>
        <v>2217</v>
      </c>
      <c r="C273" s="9" t="str">
        <f aca="true" t="shared" si="47" ref="C273:C278">"Долгосрочные вклады юридических лиц"</f>
        <v>Долгосрочные вклады юридических лиц</v>
      </c>
      <c r="D273" s="8" t="str">
        <f aca="true" t="shared" si="48" ref="D273:D284">"1"</f>
        <v>1</v>
      </c>
      <c r="E273" s="8" t="str">
        <f>"5"</f>
        <v>5</v>
      </c>
      <c r="F273" s="8" t="str">
        <f>"1"</f>
        <v>1</v>
      </c>
      <c r="G273" s="10">
        <v>2907931471.61</v>
      </c>
    </row>
    <row r="274" spans="1:7" s="11" customFormat="1" ht="15">
      <c r="A274" s="7">
        <v>45380</v>
      </c>
      <c r="B274" s="8" t="str">
        <f t="shared" si="46"/>
        <v>2217</v>
      </c>
      <c r="C274" s="9" t="str">
        <f t="shared" si="47"/>
        <v>Долгосрочные вклады юридических лиц</v>
      </c>
      <c r="D274" s="8" t="str">
        <f t="shared" si="48"/>
        <v>1</v>
      </c>
      <c r="E274" s="8" t="str">
        <f>"6"</f>
        <v>6</v>
      </c>
      <c r="F274" s="8" t="str">
        <f>"1"</f>
        <v>1</v>
      </c>
      <c r="G274" s="10">
        <v>3000000</v>
      </c>
    </row>
    <row r="275" spans="1:7" s="11" customFormat="1" ht="15">
      <c r="A275" s="7">
        <v>45380</v>
      </c>
      <c r="B275" s="8" t="str">
        <f t="shared" si="46"/>
        <v>2217</v>
      </c>
      <c r="C275" s="9" t="str">
        <f t="shared" si="47"/>
        <v>Долгосрочные вклады юридических лиц</v>
      </c>
      <c r="D275" s="8" t="str">
        <f t="shared" si="48"/>
        <v>1</v>
      </c>
      <c r="E275" s="8" t="str">
        <f>"7"</f>
        <v>7</v>
      </c>
      <c r="F275" s="8" t="str">
        <f>"1"</f>
        <v>1</v>
      </c>
      <c r="G275" s="10">
        <v>915574202.18</v>
      </c>
    </row>
    <row r="276" spans="1:7" s="11" customFormat="1" ht="15">
      <c r="A276" s="7">
        <v>45380</v>
      </c>
      <c r="B276" s="8" t="str">
        <f t="shared" si="46"/>
        <v>2217</v>
      </c>
      <c r="C276" s="9" t="str">
        <f t="shared" si="47"/>
        <v>Долгосрочные вклады юридических лиц</v>
      </c>
      <c r="D276" s="8" t="str">
        <f t="shared" si="48"/>
        <v>1</v>
      </c>
      <c r="E276" s="8" t="str">
        <f>"7"</f>
        <v>7</v>
      </c>
      <c r="F276" s="8" t="str">
        <f>"2"</f>
        <v>2</v>
      </c>
      <c r="G276" s="10">
        <v>352589558.93</v>
      </c>
    </row>
    <row r="277" spans="1:7" s="11" customFormat="1" ht="15">
      <c r="A277" s="7">
        <v>45380</v>
      </c>
      <c r="B277" s="8" t="str">
        <f t="shared" si="46"/>
        <v>2217</v>
      </c>
      <c r="C277" s="9" t="str">
        <f t="shared" si="47"/>
        <v>Долгосрочные вклады юридических лиц</v>
      </c>
      <c r="D277" s="8" t="str">
        <f t="shared" si="48"/>
        <v>1</v>
      </c>
      <c r="E277" s="8" t="str">
        <f>"7"</f>
        <v>7</v>
      </c>
      <c r="F277" s="8" t="str">
        <f>"3"</f>
        <v>3</v>
      </c>
      <c r="G277" s="10">
        <v>1279511863.76</v>
      </c>
    </row>
    <row r="278" spans="1:7" s="11" customFormat="1" ht="15">
      <c r="A278" s="7">
        <v>45380</v>
      </c>
      <c r="B278" s="8" t="str">
        <f t="shared" si="46"/>
        <v>2217</v>
      </c>
      <c r="C278" s="9" t="str">
        <f t="shared" si="47"/>
        <v>Долгосрочные вклады юридических лиц</v>
      </c>
      <c r="D278" s="8" t="str">
        <f t="shared" si="48"/>
        <v>1</v>
      </c>
      <c r="E278" s="8" t="str">
        <f>"8"</f>
        <v>8</v>
      </c>
      <c r="F278" s="8" t="str">
        <f>"1"</f>
        <v>1</v>
      </c>
      <c r="G278" s="10">
        <v>3292129.41</v>
      </c>
    </row>
    <row r="279" spans="1:7" s="11" customFormat="1" ht="15">
      <c r="A279" s="7">
        <v>45380</v>
      </c>
      <c r="B279" s="8" t="str">
        <f>"2218"</f>
        <v>2218</v>
      </c>
      <c r="C279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D279" s="8" t="str">
        <f t="shared" si="48"/>
        <v>1</v>
      </c>
      <c r="E279" s="8" t="str">
        <f>"5"</f>
        <v>5</v>
      </c>
      <c r="F279" s="8" t="str">
        <f>"1"</f>
        <v>1</v>
      </c>
      <c r="G279" s="10">
        <v>100000000000</v>
      </c>
    </row>
    <row r="280" spans="1:7" s="11" customFormat="1" ht="15">
      <c r="A280" s="7">
        <v>45380</v>
      </c>
      <c r="B280" s="8" t="str">
        <f>"2218"</f>
        <v>2218</v>
      </c>
      <c r="C280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D280" s="8" t="str">
        <f t="shared" si="48"/>
        <v>1</v>
      </c>
      <c r="E280" s="8" t="str">
        <f>"6"</f>
        <v>6</v>
      </c>
      <c r="F280" s="8" t="str">
        <f>"1"</f>
        <v>1</v>
      </c>
      <c r="G280" s="10">
        <v>70000000000</v>
      </c>
    </row>
    <row r="281" spans="1:7" s="11" customFormat="1" ht="15">
      <c r="A281" s="7">
        <v>45380</v>
      </c>
      <c r="B281" s="8" t="str">
        <f>"2218"</f>
        <v>2218</v>
      </c>
      <c r="C281" s="9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D281" s="8" t="str">
        <f t="shared" si="48"/>
        <v>1</v>
      </c>
      <c r="E281" s="8" t="str">
        <f>"7"</f>
        <v>7</v>
      </c>
      <c r="F281" s="8" t="str">
        <f>"1"</f>
        <v>1</v>
      </c>
      <c r="G281" s="10">
        <v>30000000000</v>
      </c>
    </row>
    <row r="282" spans="1:7" s="11" customFormat="1" ht="15">
      <c r="A282" s="7">
        <v>45380</v>
      </c>
      <c r="B282" s="8" t="str">
        <f aca="true" t="shared" si="49" ref="B282:B287">"2219"</f>
        <v>2219</v>
      </c>
      <c r="C282" s="9" t="str">
        <f aca="true" t="shared" si="50" ref="C282:C287">"Условные вклады юридических лиц"</f>
        <v>Условные вклады юридических лиц</v>
      </c>
      <c r="D282" s="8" t="str">
        <f t="shared" si="48"/>
        <v>1</v>
      </c>
      <c r="E282" s="8" t="str">
        <f>"7"</f>
        <v>7</v>
      </c>
      <c r="F282" s="8" t="str">
        <f>"1"</f>
        <v>1</v>
      </c>
      <c r="G282" s="10">
        <v>1515614775.63</v>
      </c>
    </row>
    <row r="283" spans="1:7" s="11" customFormat="1" ht="15">
      <c r="A283" s="7">
        <v>45380</v>
      </c>
      <c r="B283" s="8" t="str">
        <f t="shared" si="49"/>
        <v>2219</v>
      </c>
      <c r="C283" s="9" t="str">
        <f t="shared" si="50"/>
        <v>Условные вклады юридических лиц</v>
      </c>
      <c r="D283" s="8" t="str">
        <f t="shared" si="48"/>
        <v>1</v>
      </c>
      <c r="E283" s="8" t="str">
        <f>"7"</f>
        <v>7</v>
      </c>
      <c r="F283" s="8" t="str">
        <f>"2"</f>
        <v>2</v>
      </c>
      <c r="G283" s="10">
        <v>848918841.47</v>
      </c>
    </row>
    <row r="284" spans="1:7" s="11" customFormat="1" ht="15">
      <c r="A284" s="7">
        <v>45380</v>
      </c>
      <c r="B284" s="8" t="str">
        <f t="shared" si="49"/>
        <v>2219</v>
      </c>
      <c r="C284" s="9" t="str">
        <f t="shared" si="50"/>
        <v>Условные вклады юридических лиц</v>
      </c>
      <c r="D284" s="8" t="str">
        <f t="shared" si="48"/>
        <v>1</v>
      </c>
      <c r="E284" s="8" t="str">
        <f>"8"</f>
        <v>8</v>
      </c>
      <c r="F284" s="8" t="str">
        <f>"1"</f>
        <v>1</v>
      </c>
      <c r="G284" s="10">
        <v>257000</v>
      </c>
    </row>
    <row r="285" spans="1:7" s="11" customFormat="1" ht="15">
      <c r="A285" s="7">
        <v>45380</v>
      </c>
      <c r="B285" s="8" t="str">
        <f t="shared" si="49"/>
        <v>2219</v>
      </c>
      <c r="C285" s="9" t="str">
        <f t="shared" si="50"/>
        <v>Условные вклады юридических лиц</v>
      </c>
      <c r="D285" s="8" t="str">
        <f>"2"</f>
        <v>2</v>
      </c>
      <c r="E285" s="8" t="str">
        <f>"7"</f>
        <v>7</v>
      </c>
      <c r="F285" s="8" t="str">
        <f>"1"</f>
        <v>1</v>
      </c>
      <c r="G285" s="10">
        <v>192000</v>
      </c>
    </row>
    <row r="286" spans="1:7" s="11" customFormat="1" ht="15">
      <c r="A286" s="7">
        <v>45380</v>
      </c>
      <c r="B286" s="8" t="str">
        <f t="shared" si="49"/>
        <v>2219</v>
      </c>
      <c r="C286" s="9" t="str">
        <f t="shared" si="50"/>
        <v>Условные вклады юридических лиц</v>
      </c>
      <c r="D286" s="8" t="str">
        <f>"2"</f>
        <v>2</v>
      </c>
      <c r="E286" s="8" t="str">
        <f>"8"</f>
        <v>8</v>
      </c>
      <c r="F286" s="8" t="str">
        <f>"1"</f>
        <v>1</v>
      </c>
      <c r="G286" s="10">
        <v>50774</v>
      </c>
    </row>
    <row r="287" spans="1:7" s="11" customFormat="1" ht="15">
      <c r="A287" s="7">
        <v>45380</v>
      </c>
      <c r="B287" s="8" t="str">
        <f t="shared" si="49"/>
        <v>2219</v>
      </c>
      <c r="C287" s="9" t="str">
        <f t="shared" si="50"/>
        <v>Условные вклады юридических лиц</v>
      </c>
      <c r="D287" s="8" t="str">
        <f>"2"</f>
        <v>2</v>
      </c>
      <c r="E287" s="8" t="str">
        <f>"8"</f>
        <v>8</v>
      </c>
      <c r="F287" s="8" t="str">
        <f>"2"</f>
        <v>2</v>
      </c>
      <c r="G287" s="10">
        <v>105578.58</v>
      </c>
    </row>
    <row r="288" spans="1:7" s="11" customFormat="1" ht="15">
      <c r="A288" s="7">
        <v>45380</v>
      </c>
      <c r="B288" s="8" t="str">
        <f>"2223"</f>
        <v>2223</v>
      </c>
      <c r="C288" s="9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D288" s="8" t="str">
        <f>"1"</f>
        <v>1</v>
      </c>
      <c r="E288" s="8" t="str">
        <f>"7"</f>
        <v>7</v>
      </c>
      <c r="F288" s="8" t="str">
        <f>"1"</f>
        <v>1</v>
      </c>
      <c r="G288" s="10">
        <v>7451119534.33</v>
      </c>
    </row>
    <row r="289" spans="1:7" s="11" customFormat="1" ht="15">
      <c r="A289" s="7">
        <v>45380</v>
      </c>
      <c r="B289" s="8" t="str">
        <f>"2227"</f>
        <v>2227</v>
      </c>
      <c r="C289" s="9" t="str">
        <f>"Обязательства по аренде"</f>
        <v>Обязательства по аренде</v>
      </c>
      <c r="D289" s="8" t="str">
        <f>"1"</f>
        <v>1</v>
      </c>
      <c r="E289" s="8" t="str">
        <f>"7"</f>
        <v>7</v>
      </c>
      <c r="F289" s="8" t="str">
        <f>"1"</f>
        <v>1</v>
      </c>
      <c r="G289" s="10">
        <v>1185954161.64</v>
      </c>
    </row>
    <row r="290" spans="1:7" s="11" customFormat="1" ht="15">
      <c r="A290" s="7">
        <v>45380</v>
      </c>
      <c r="B290" s="8" t="str">
        <f>"2227"</f>
        <v>2227</v>
      </c>
      <c r="C290" s="9" t="str">
        <f>"Обязательства по аренде"</f>
        <v>Обязательства по аренде</v>
      </c>
      <c r="D290" s="8" t="str">
        <f>"1"</f>
        <v>1</v>
      </c>
      <c r="E290" s="8" t="str">
        <f>"9"</f>
        <v>9</v>
      </c>
      <c r="F290" s="8" t="str">
        <f>"1"</f>
        <v>1</v>
      </c>
      <c r="G290" s="10">
        <v>649126724.95</v>
      </c>
    </row>
    <row r="291" spans="1:7" s="11" customFormat="1" ht="15">
      <c r="A291" s="7">
        <v>45380</v>
      </c>
      <c r="B291" s="8" t="str">
        <f>"2229"</f>
        <v>2229</v>
      </c>
      <c r="C291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D291" s="8" t="str">
        <f>"1"</f>
        <v>1</v>
      </c>
      <c r="E291" s="8" t="str">
        <f>"9"</f>
        <v>9</v>
      </c>
      <c r="F291" s="8" t="str">
        <f>"1"</f>
        <v>1</v>
      </c>
      <c r="G291" s="10">
        <v>2928200601.09</v>
      </c>
    </row>
    <row r="292" spans="1:7" s="11" customFormat="1" ht="15">
      <c r="A292" s="7">
        <v>45380</v>
      </c>
      <c r="B292" s="8" t="str">
        <f>"2229"</f>
        <v>2229</v>
      </c>
      <c r="C292" s="9" t="str">
        <f>"Сберегательные вклады физических лиц (более одного года)"</f>
        <v>Сберегательные вклады физических лиц (более одного года)</v>
      </c>
      <c r="D292" s="8" t="str">
        <f>"2"</f>
        <v>2</v>
      </c>
      <c r="E292" s="8" t="str">
        <f>"9"</f>
        <v>9</v>
      </c>
      <c r="F292" s="8" t="str">
        <f>"1"</f>
        <v>1</v>
      </c>
      <c r="G292" s="10">
        <v>119717140.4</v>
      </c>
    </row>
    <row r="293" spans="1:7" s="11" customFormat="1" ht="15">
      <c r="A293" s="7">
        <v>45380</v>
      </c>
      <c r="B293" s="8" t="str">
        <f aca="true" t="shared" si="51" ref="B293:B306">"2237"</f>
        <v>2237</v>
      </c>
      <c r="C293" s="9" t="str">
        <f aca="true" t="shared" si="52" ref="C293:C306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D293" s="8" t="str">
        <f aca="true" t="shared" si="53" ref="D293:D300">"1"</f>
        <v>1</v>
      </c>
      <c r="E293" s="8" t="str">
        <f>"5"</f>
        <v>5</v>
      </c>
      <c r="F293" s="8" t="str">
        <f>"2"</f>
        <v>2</v>
      </c>
      <c r="G293" s="10">
        <v>364378577.48</v>
      </c>
    </row>
    <row r="294" spans="1:7" s="11" customFormat="1" ht="15">
      <c r="A294" s="7">
        <v>45380</v>
      </c>
      <c r="B294" s="8" t="str">
        <f t="shared" si="51"/>
        <v>2237</v>
      </c>
      <c r="C294" s="9" t="str">
        <f t="shared" si="52"/>
        <v>Счет хранения указаний отправителя в соответствии с валютным законодательством Республики Казахстан</v>
      </c>
      <c r="D294" s="8" t="str">
        <f t="shared" si="53"/>
        <v>1</v>
      </c>
      <c r="E294" s="8" t="str">
        <f>"5"</f>
        <v>5</v>
      </c>
      <c r="F294" s="8" t="str">
        <f>"3"</f>
        <v>3</v>
      </c>
      <c r="G294" s="10">
        <v>4840</v>
      </c>
    </row>
    <row r="295" spans="1:7" s="11" customFormat="1" ht="15">
      <c r="A295" s="7">
        <v>45380</v>
      </c>
      <c r="B295" s="8" t="str">
        <f t="shared" si="51"/>
        <v>2237</v>
      </c>
      <c r="C295" s="9" t="str">
        <f t="shared" si="52"/>
        <v>Счет хранения указаний отправителя в соответствии с валютным законодательством Республики Казахстан</v>
      </c>
      <c r="D295" s="8" t="str">
        <f t="shared" si="53"/>
        <v>1</v>
      </c>
      <c r="E295" s="8" t="str">
        <f>"7"</f>
        <v>7</v>
      </c>
      <c r="F295" s="8" t="str">
        <f>"1"</f>
        <v>1</v>
      </c>
      <c r="G295" s="10">
        <v>295466598.52</v>
      </c>
    </row>
    <row r="296" spans="1:7" s="11" customFormat="1" ht="15">
      <c r="A296" s="7">
        <v>45380</v>
      </c>
      <c r="B296" s="8" t="str">
        <f t="shared" si="51"/>
        <v>2237</v>
      </c>
      <c r="C296" s="9" t="str">
        <f t="shared" si="52"/>
        <v>Счет хранения указаний отправителя в соответствии с валютным законодательством Республики Казахстан</v>
      </c>
      <c r="D296" s="8" t="str">
        <f t="shared" si="53"/>
        <v>1</v>
      </c>
      <c r="E296" s="8" t="str">
        <f>"7"</f>
        <v>7</v>
      </c>
      <c r="F296" s="8" t="str">
        <f>"2"</f>
        <v>2</v>
      </c>
      <c r="G296" s="10">
        <v>1115631796.13</v>
      </c>
    </row>
    <row r="297" spans="1:7" s="11" customFormat="1" ht="15">
      <c r="A297" s="7">
        <v>45380</v>
      </c>
      <c r="B297" s="8" t="str">
        <f t="shared" si="51"/>
        <v>2237</v>
      </c>
      <c r="C297" s="9" t="str">
        <f t="shared" si="52"/>
        <v>Счет хранения указаний отправителя в соответствии с валютным законодательством Республики Казахстан</v>
      </c>
      <c r="D297" s="8" t="str">
        <f t="shared" si="53"/>
        <v>1</v>
      </c>
      <c r="E297" s="8" t="str">
        <f>"7"</f>
        <v>7</v>
      </c>
      <c r="F297" s="8" t="str">
        <f>"3"</f>
        <v>3</v>
      </c>
      <c r="G297" s="10">
        <v>974299048.49</v>
      </c>
    </row>
    <row r="298" spans="1:7" s="11" customFormat="1" ht="15">
      <c r="A298" s="7">
        <v>45380</v>
      </c>
      <c r="B298" s="8" t="str">
        <f t="shared" si="51"/>
        <v>2237</v>
      </c>
      <c r="C298" s="9" t="str">
        <f t="shared" si="52"/>
        <v>Счет хранения указаний отправителя в соответствии с валютным законодательством Республики Казахстан</v>
      </c>
      <c r="D298" s="8" t="str">
        <f t="shared" si="53"/>
        <v>1</v>
      </c>
      <c r="E298" s="8" t="str">
        <f>"9"</f>
        <v>9</v>
      </c>
      <c r="F298" s="8" t="str">
        <f>"1"</f>
        <v>1</v>
      </c>
      <c r="G298" s="10">
        <v>800</v>
      </c>
    </row>
    <row r="299" spans="1:7" s="11" customFormat="1" ht="15">
      <c r="A299" s="7">
        <v>45380</v>
      </c>
      <c r="B299" s="8" t="str">
        <f t="shared" si="51"/>
        <v>2237</v>
      </c>
      <c r="C299" s="9" t="str">
        <f t="shared" si="52"/>
        <v>Счет хранения указаний отправителя в соответствии с валютным законодательством Республики Казахстан</v>
      </c>
      <c r="D299" s="8" t="str">
        <f t="shared" si="53"/>
        <v>1</v>
      </c>
      <c r="E299" s="8" t="str">
        <f>"9"</f>
        <v>9</v>
      </c>
      <c r="F299" s="8" t="str">
        <f>"2"</f>
        <v>2</v>
      </c>
      <c r="G299" s="10">
        <v>94042015.42</v>
      </c>
    </row>
    <row r="300" spans="1:7" s="11" customFormat="1" ht="15">
      <c r="A300" s="7">
        <v>45380</v>
      </c>
      <c r="B300" s="8" t="str">
        <f t="shared" si="51"/>
        <v>2237</v>
      </c>
      <c r="C300" s="9" t="str">
        <f t="shared" si="52"/>
        <v>Счет хранения указаний отправителя в соответствии с валютным законодательством Республики Казахстан</v>
      </c>
      <c r="D300" s="8" t="str">
        <f t="shared" si="53"/>
        <v>1</v>
      </c>
      <c r="E300" s="8" t="str">
        <f>"9"</f>
        <v>9</v>
      </c>
      <c r="F300" s="8" t="str">
        <f>"3"</f>
        <v>3</v>
      </c>
      <c r="G300" s="10">
        <v>113905039.45</v>
      </c>
    </row>
    <row r="301" spans="1:7" s="11" customFormat="1" ht="15">
      <c r="A301" s="7">
        <v>45380</v>
      </c>
      <c r="B301" s="8" t="str">
        <f t="shared" si="51"/>
        <v>2237</v>
      </c>
      <c r="C301" s="9" t="str">
        <f t="shared" si="52"/>
        <v>Счет хранения указаний отправителя в соответствии с валютным законодательством Республики Казахстан</v>
      </c>
      <c r="D301" s="8" t="str">
        <f aca="true" t="shared" si="54" ref="D301:D306">"2"</f>
        <v>2</v>
      </c>
      <c r="E301" s="8" t="str">
        <f>"7"</f>
        <v>7</v>
      </c>
      <c r="F301" s="8" t="str">
        <f>"1"</f>
        <v>1</v>
      </c>
      <c r="G301" s="10">
        <v>159251466.4</v>
      </c>
    </row>
    <row r="302" spans="1:7" s="11" customFormat="1" ht="15">
      <c r="A302" s="7">
        <v>45380</v>
      </c>
      <c r="B302" s="8" t="str">
        <f t="shared" si="51"/>
        <v>2237</v>
      </c>
      <c r="C302" s="9" t="str">
        <f t="shared" si="52"/>
        <v>Счет хранения указаний отправителя в соответствии с валютным законодательством Республики Казахстан</v>
      </c>
      <c r="D302" s="8" t="str">
        <f t="shared" si="54"/>
        <v>2</v>
      </c>
      <c r="E302" s="8" t="str">
        <f>"7"</f>
        <v>7</v>
      </c>
      <c r="F302" s="8" t="str">
        <f>"2"</f>
        <v>2</v>
      </c>
      <c r="G302" s="10">
        <v>114898510.2</v>
      </c>
    </row>
    <row r="303" spans="1:7" s="11" customFormat="1" ht="15">
      <c r="A303" s="7">
        <v>45380</v>
      </c>
      <c r="B303" s="8" t="str">
        <f t="shared" si="51"/>
        <v>2237</v>
      </c>
      <c r="C303" s="9" t="str">
        <f t="shared" si="52"/>
        <v>Счет хранения указаний отправителя в соответствии с валютным законодательством Республики Казахстан</v>
      </c>
      <c r="D303" s="8" t="str">
        <f t="shared" si="54"/>
        <v>2</v>
      </c>
      <c r="E303" s="8" t="str">
        <f>"7"</f>
        <v>7</v>
      </c>
      <c r="F303" s="8" t="str">
        <f>"3"</f>
        <v>3</v>
      </c>
      <c r="G303" s="10">
        <v>107106483.98</v>
      </c>
    </row>
    <row r="304" spans="1:7" s="11" customFormat="1" ht="15">
      <c r="A304" s="7">
        <v>45380</v>
      </c>
      <c r="B304" s="8" t="str">
        <f t="shared" si="51"/>
        <v>2237</v>
      </c>
      <c r="C304" s="9" t="str">
        <f t="shared" si="52"/>
        <v>Счет хранения указаний отправителя в соответствии с валютным законодательством Республики Казахстан</v>
      </c>
      <c r="D304" s="8" t="str">
        <f t="shared" si="54"/>
        <v>2</v>
      </c>
      <c r="E304" s="8" t="str">
        <f>"9"</f>
        <v>9</v>
      </c>
      <c r="F304" s="8" t="str">
        <f>"1"</f>
        <v>1</v>
      </c>
      <c r="G304" s="10">
        <v>534593811.25</v>
      </c>
    </row>
    <row r="305" spans="1:7" s="11" customFormat="1" ht="15">
      <c r="A305" s="7">
        <v>45380</v>
      </c>
      <c r="B305" s="8" t="str">
        <f t="shared" si="51"/>
        <v>2237</v>
      </c>
      <c r="C305" s="9" t="str">
        <f t="shared" si="52"/>
        <v>Счет хранения указаний отправителя в соответствии с валютным законодательством Республики Казахстан</v>
      </c>
      <c r="D305" s="8" t="str">
        <f t="shared" si="54"/>
        <v>2</v>
      </c>
      <c r="E305" s="8" t="str">
        <f>"9"</f>
        <v>9</v>
      </c>
      <c r="F305" s="8" t="str">
        <f>"2"</f>
        <v>2</v>
      </c>
      <c r="G305" s="10">
        <v>85028908.57</v>
      </c>
    </row>
    <row r="306" spans="1:7" s="11" customFormat="1" ht="15">
      <c r="A306" s="7">
        <v>45380</v>
      </c>
      <c r="B306" s="8" t="str">
        <f t="shared" si="51"/>
        <v>2237</v>
      </c>
      <c r="C306" s="9" t="str">
        <f t="shared" si="52"/>
        <v>Счет хранения указаний отправителя в соответствии с валютным законодательством Республики Казахстан</v>
      </c>
      <c r="D306" s="8" t="str">
        <f t="shared" si="54"/>
        <v>2</v>
      </c>
      <c r="E306" s="8" t="str">
        <f>"9"</f>
        <v>9</v>
      </c>
      <c r="F306" s="8" t="str">
        <f>"3"</f>
        <v>3</v>
      </c>
      <c r="G306" s="10">
        <v>4840479.16</v>
      </c>
    </row>
    <row r="307" spans="1:7" s="11" customFormat="1" ht="15">
      <c r="A307" s="7">
        <v>45380</v>
      </c>
      <c r="B307" s="8" t="str">
        <f aca="true" t="shared" si="55" ref="B307:B313">"2240"</f>
        <v>2240</v>
      </c>
      <c r="C307" s="9" t="str">
        <f aca="true" t="shared" si="56" ref="C307:C313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D307" s="8" t="str">
        <f>"1"</f>
        <v>1</v>
      </c>
      <c r="E307" s="8" t="str">
        <f>"5"</f>
        <v>5</v>
      </c>
      <c r="F307" s="8" t="str">
        <f aca="true" t="shared" si="57" ref="F307:F319">"1"</f>
        <v>1</v>
      </c>
      <c r="G307" s="10">
        <v>115000</v>
      </c>
    </row>
    <row r="308" spans="1:7" s="11" customFormat="1" ht="15">
      <c r="A308" s="7">
        <v>45380</v>
      </c>
      <c r="B308" s="8" t="str">
        <f t="shared" si="55"/>
        <v>2240</v>
      </c>
      <c r="C308" s="9" t="str">
        <f t="shared" si="56"/>
        <v>Счет хранения денег, принятых в качестве обеспечения (заклад, задаток) обязательств клиентов</v>
      </c>
      <c r="D308" s="8" t="str">
        <f>"1"</f>
        <v>1</v>
      </c>
      <c r="E308" s="8" t="str">
        <f>"6"</f>
        <v>6</v>
      </c>
      <c r="F308" s="8" t="str">
        <f t="shared" si="57"/>
        <v>1</v>
      </c>
      <c r="G308" s="10">
        <v>15000</v>
      </c>
    </row>
    <row r="309" spans="1:7" s="11" customFormat="1" ht="15">
      <c r="A309" s="7">
        <v>45380</v>
      </c>
      <c r="B309" s="8" t="str">
        <f t="shared" si="55"/>
        <v>2240</v>
      </c>
      <c r="C309" s="9" t="str">
        <f t="shared" si="56"/>
        <v>Счет хранения денег, принятых в качестве обеспечения (заклад, задаток) обязательств клиентов</v>
      </c>
      <c r="D309" s="8" t="str">
        <f>"1"</f>
        <v>1</v>
      </c>
      <c r="E309" s="8" t="str">
        <f>"7"</f>
        <v>7</v>
      </c>
      <c r="F309" s="8" t="str">
        <f t="shared" si="57"/>
        <v>1</v>
      </c>
      <c r="G309" s="10">
        <v>5910243684.62</v>
      </c>
    </row>
    <row r="310" spans="1:7" s="11" customFormat="1" ht="15">
      <c r="A310" s="7">
        <v>45380</v>
      </c>
      <c r="B310" s="8" t="str">
        <f t="shared" si="55"/>
        <v>2240</v>
      </c>
      <c r="C310" s="9" t="str">
        <f t="shared" si="56"/>
        <v>Счет хранения денег, принятых в качестве обеспечения (заклад, задаток) обязательств клиентов</v>
      </c>
      <c r="D310" s="8" t="str">
        <f>"1"</f>
        <v>1</v>
      </c>
      <c r="E310" s="8" t="str">
        <f>"8"</f>
        <v>8</v>
      </c>
      <c r="F310" s="8" t="str">
        <f t="shared" si="57"/>
        <v>1</v>
      </c>
      <c r="G310" s="10">
        <v>10000000</v>
      </c>
    </row>
    <row r="311" spans="1:7" s="11" customFormat="1" ht="15">
      <c r="A311" s="7">
        <v>45380</v>
      </c>
      <c r="B311" s="8" t="str">
        <f t="shared" si="55"/>
        <v>2240</v>
      </c>
      <c r="C311" s="9" t="str">
        <f t="shared" si="56"/>
        <v>Счет хранения денег, принятых в качестве обеспечения (заклад, задаток) обязательств клиентов</v>
      </c>
      <c r="D311" s="8" t="str">
        <f>"1"</f>
        <v>1</v>
      </c>
      <c r="E311" s="8" t="str">
        <f>"9"</f>
        <v>9</v>
      </c>
      <c r="F311" s="8" t="str">
        <f t="shared" si="57"/>
        <v>1</v>
      </c>
      <c r="G311" s="10">
        <v>723200409.55</v>
      </c>
    </row>
    <row r="312" spans="1:7" s="11" customFormat="1" ht="15">
      <c r="A312" s="7">
        <v>45380</v>
      </c>
      <c r="B312" s="8" t="str">
        <f t="shared" si="55"/>
        <v>2240</v>
      </c>
      <c r="C312" s="9" t="str">
        <f t="shared" si="56"/>
        <v>Счет хранения денег, принятых в качестве обеспечения (заклад, задаток) обязательств клиентов</v>
      </c>
      <c r="D312" s="8" t="str">
        <f>"2"</f>
        <v>2</v>
      </c>
      <c r="E312" s="8" t="str">
        <f>"7"</f>
        <v>7</v>
      </c>
      <c r="F312" s="8" t="str">
        <f t="shared" si="57"/>
        <v>1</v>
      </c>
      <c r="G312" s="10">
        <v>340882989</v>
      </c>
    </row>
    <row r="313" spans="1:7" s="11" customFormat="1" ht="15">
      <c r="A313" s="7">
        <v>45380</v>
      </c>
      <c r="B313" s="8" t="str">
        <f t="shared" si="55"/>
        <v>2240</v>
      </c>
      <c r="C313" s="9" t="str">
        <f t="shared" si="56"/>
        <v>Счет хранения денег, принятых в качестве обеспечения (заклад, задаток) обязательств клиентов</v>
      </c>
      <c r="D313" s="8" t="str">
        <f>"2"</f>
        <v>2</v>
      </c>
      <c r="E313" s="8" t="str">
        <f>"9"</f>
        <v>9</v>
      </c>
      <c r="F313" s="8" t="str">
        <f t="shared" si="57"/>
        <v>1</v>
      </c>
      <c r="G313" s="10">
        <v>4500400</v>
      </c>
    </row>
    <row r="314" spans="1:7" s="11" customFormat="1" ht="15">
      <c r="A314" s="7">
        <v>45380</v>
      </c>
      <c r="B314" s="8" t="str">
        <f>"2301"</f>
        <v>2301</v>
      </c>
      <c r="C314" s="9" t="str">
        <f>"Выпущенные в обращение облигации"</f>
        <v>Выпущенные в обращение облигации</v>
      </c>
      <c r="D314" s="8" t="str">
        <f aca="true" t="shared" si="58" ref="D314:D327">"1"</f>
        <v>1</v>
      </c>
      <c r="E314" s="8" t="str">
        <f>"5"</f>
        <v>5</v>
      </c>
      <c r="F314" s="8" t="str">
        <f t="shared" si="57"/>
        <v>1</v>
      </c>
      <c r="G314" s="10">
        <v>400000000000</v>
      </c>
    </row>
    <row r="315" spans="1:7" s="11" customFormat="1" ht="15">
      <c r="A315" s="7">
        <v>45380</v>
      </c>
      <c r="B315" s="8" t="str">
        <f>"2404"</f>
        <v>2404</v>
      </c>
      <c r="C315" s="9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D315" s="8" t="str">
        <f t="shared" si="58"/>
        <v>1</v>
      </c>
      <c r="E315" s="8" t="str">
        <f>"5"</f>
        <v>5</v>
      </c>
      <c r="F315" s="8" t="str">
        <f t="shared" si="57"/>
        <v>1</v>
      </c>
      <c r="G315" s="10">
        <v>-2231650665.15</v>
      </c>
    </row>
    <row r="316" spans="1:7" s="11" customFormat="1" ht="15">
      <c r="A316" s="7">
        <v>45380</v>
      </c>
      <c r="B316" s="8" t="str">
        <f>"2406"</f>
        <v>2406</v>
      </c>
      <c r="C316" s="9" t="str">
        <f>"Субординированные облигации"</f>
        <v>Субординированные облигации</v>
      </c>
      <c r="D316" s="8" t="str">
        <f t="shared" si="58"/>
        <v>1</v>
      </c>
      <c r="E316" s="8" t="str">
        <f>"5"</f>
        <v>5</v>
      </c>
      <c r="F316" s="8" t="str">
        <f t="shared" si="57"/>
        <v>1</v>
      </c>
      <c r="G316" s="10">
        <v>3200000000</v>
      </c>
    </row>
    <row r="317" spans="1:7" s="11" customFormat="1" ht="15">
      <c r="A317" s="7">
        <v>45380</v>
      </c>
      <c r="B317" s="8" t="str">
        <f>"2706"</f>
        <v>2706</v>
      </c>
      <c r="C317" s="9" t="str">
        <f>"Начисленные расходы по займам и финансовому лизингу"</f>
        <v>Начисленные расходы по займам и финансовому лизингу</v>
      </c>
      <c r="D317" s="8" t="str">
        <f t="shared" si="58"/>
        <v>1</v>
      </c>
      <c r="E317" s="8" t="str">
        <f>"5"</f>
        <v>5</v>
      </c>
      <c r="F317" s="8" t="str">
        <f t="shared" si="57"/>
        <v>1</v>
      </c>
      <c r="G317" s="10">
        <v>103444444.74</v>
      </c>
    </row>
    <row r="318" spans="1:7" s="11" customFormat="1" ht="15">
      <c r="A318" s="7">
        <v>45380</v>
      </c>
      <c r="B318" s="8" t="str">
        <f>"2707"</f>
        <v>2707</v>
      </c>
      <c r="C318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18" s="8" t="str">
        <f t="shared" si="58"/>
        <v>1</v>
      </c>
      <c r="E318" s="8" t="str">
        <f>"7"</f>
        <v>7</v>
      </c>
      <c r="F318" s="8" t="str">
        <f t="shared" si="57"/>
        <v>1</v>
      </c>
      <c r="G318" s="10">
        <v>291903.61</v>
      </c>
    </row>
    <row r="319" spans="1:7" s="11" customFormat="1" ht="15">
      <c r="A319" s="7">
        <v>45380</v>
      </c>
      <c r="B319" s="8" t="str">
        <f>"2707"</f>
        <v>2707</v>
      </c>
      <c r="C319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19" s="8" t="str">
        <f t="shared" si="58"/>
        <v>1</v>
      </c>
      <c r="E319" s="8" t="str">
        <f>"9"</f>
        <v>9</v>
      </c>
      <c r="F319" s="8" t="str">
        <f t="shared" si="57"/>
        <v>1</v>
      </c>
      <c r="G319" s="10">
        <v>4379976.2</v>
      </c>
    </row>
    <row r="320" spans="1:7" s="11" customFormat="1" ht="15">
      <c r="A320" s="7">
        <v>45380</v>
      </c>
      <c r="B320" s="8" t="str">
        <f>"2707"</f>
        <v>2707</v>
      </c>
      <c r="C320" s="9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D320" s="8" t="str">
        <f t="shared" si="58"/>
        <v>1</v>
      </c>
      <c r="E320" s="8" t="str">
        <f>"9"</f>
        <v>9</v>
      </c>
      <c r="F320" s="8" t="str">
        <f>"2"</f>
        <v>2</v>
      </c>
      <c r="G320" s="10">
        <v>375715.17</v>
      </c>
    </row>
    <row r="321" spans="1:7" s="11" customFormat="1" ht="15">
      <c r="A321" s="7">
        <v>45380</v>
      </c>
      <c r="B321" s="8" t="str">
        <f>"2712"</f>
        <v>2712</v>
      </c>
      <c r="C321" s="9" t="str">
        <f>"Начисленные расходы по срочным вкладам других банков"</f>
        <v>Начисленные расходы по срочным вкладам других банков</v>
      </c>
      <c r="D321" s="8" t="str">
        <f t="shared" si="58"/>
        <v>1</v>
      </c>
      <c r="E321" s="8" t="str">
        <f>"4"</f>
        <v>4</v>
      </c>
      <c r="F321" s="8" t="str">
        <f>"1"</f>
        <v>1</v>
      </c>
      <c r="G321" s="10">
        <v>106944444.44</v>
      </c>
    </row>
    <row r="322" spans="1:7" s="11" customFormat="1" ht="15">
      <c r="A322" s="7">
        <v>45380</v>
      </c>
      <c r="B322" s="8" t="str">
        <f aca="true" t="shared" si="59" ref="B322:B329">"2719"</f>
        <v>2719</v>
      </c>
      <c r="C322" s="9" t="str">
        <f aca="true" t="shared" si="60" ref="C322:C329">"Начисленные расходы по условным вкладам клиентов"</f>
        <v>Начисленные расходы по условным вкладам клиентов</v>
      </c>
      <c r="D322" s="8" t="str">
        <f t="shared" si="58"/>
        <v>1</v>
      </c>
      <c r="E322" s="8" t="str">
        <f>"5"</f>
        <v>5</v>
      </c>
      <c r="F322" s="8" t="str">
        <f>"1"</f>
        <v>1</v>
      </c>
      <c r="G322" s="10">
        <v>328.09</v>
      </c>
    </row>
    <row r="323" spans="1:7" s="11" customFormat="1" ht="15">
      <c r="A323" s="7">
        <v>45380</v>
      </c>
      <c r="B323" s="8" t="str">
        <f t="shared" si="59"/>
        <v>2719</v>
      </c>
      <c r="C323" s="9" t="str">
        <f t="shared" si="60"/>
        <v>Начисленные расходы по условным вкладам клиентов</v>
      </c>
      <c r="D323" s="8" t="str">
        <f t="shared" si="58"/>
        <v>1</v>
      </c>
      <c r="E323" s="8" t="str">
        <f>"7"</f>
        <v>7</v>
      </c>
      <c r="F323" s="8" t="str">
        <f>"1"</f>
        <v>1</v>
      </c>
      <c r="G323" s="10">
        <v>28146822.45</v>
      </c>
    </row>
    <row r="324" spans="1:7" s="11" customFormat="1" ht="15">
      <c r="A324" s="7">
        <v>45380</v>
      </c>
      <c r="B324" s="8" t="str">
        <f t="shared" si="59"/>
        <v>2719</v>
      </c>
      <c r="C324" s="9" t="str">
        <f t="shared" si="60"/>
        <v>Начисленные расходы по условным вкладам клиентов</v>
      </c>
      <c r="D324" s="8" t="str">
        <f t="shared" si="58"/>
        <v>1</v>
      </c>
      <c r="E324" s="8" t="str">
        <f>"7"</f>
        <v>7</v>
      </c>
      <c r="F324" s="8" t="str">
        <f>"2"</f>
        <v>2</v>
      </c>
      <c r="G324" s="10">
        <v>7478248.31</v>
      </c>
    </row>
    <row r="325" spans="1:7" s="11" customFormat="1" ht="15">
      <c r="A325" s="7">
        <v>45380</v>
      </c>
      <c r="B325" s="8" t="str">
        <f t="shared" si="59"/>
        <v>2719</v>
      </c>
      <c r="C325" s="9" t="str">
        <f t="shared" si="60"/>
        <v>Начисленные расходы по условным вкладам клиентов</v>
      </c>
      <c r="D325" s="8" t="str">
        <f t="shared" si="58"/>
        <v>1</v>
      </c>
      <c r="E325" s="8" t="str">
        <f>"8"</f>
        <v>8</v>
      </c>
      <c r="F325" s="8" t="str">
        <f>"1"</f>
        <v>1</v>
      </c>
      <c r="G325" s="10">
        <v>11130.85</v>
      </c>
    </row>
    <row r="326" spans="1:7" s="11" customFormat="1" ht="15">
      <c r="A326" s="7">
        <v>45380</v>
      </c>
      <c r="B326" s="8" t="str">
        <f t="shared" si="59"/>
        <v>2719</v>
      </c>
      <c r="C326" s="9" t="str">
        <f t="shared" si="60"/>
        <v>Начисленные расходы по условным вкладам клиентов</v>
      </c>
      <c r="D326" s="8" t="str">
        <f t="shared" si="58"/>
        <v>1</v>
      </c>
      <c r="E326" s="8" t="str">
        <f>"9"</f>
        <v>9</v>
      </c>
      <c r="F326" s="8" t="str">
        <f>"1"</f>
        <v>1</v>
      </c>
      <c r="G326" s="10">
        <v>20336.01</v>
      </c>
    </row>
    <row r="327" spans="1:7" s="11" customFormat="1" ht="15">
      <c r="A327" s="7">
        <v>45380</v>
      </c>
      <c r="B327" s="8" t="str">
        <f t="shared" si="59"/>
        <v>2719</v>
      </c>
      <c r="C327" s="9" t="str">
        <f t="shared" si="60"/>
        <v>Начисленные расходы по условным вкладам клиентов</v>
      </c>
      <c r="D327" s="8" t="str">
        <f t="shared" si="58"/>
        <v>1</v>
      </c>
      <c r="E327" s="8" t="str">
        <f>"9"</f>
        <v>9</v>
      </c>
      <c r="F327" s="8" t="str">
        <f>"2"</f>
        <v>2</v>
      </c>
      <c r="G327" s="10">
        <v>3015.76</v>
      </c>
    </row>
    <row r="328" spans="1:7" s="11" customFormat="1" ht="15">
      <c r="A328" s="7">
        <v>45380</v>
      </c>
      <c r="B328" s="8" t="str">
        <f t="shared" si="59"/>
        <v>2719</v>
      </c>
      <c r="C328" s="9" t="str">
        <f t="shared" si="60"/>
        <v>Начисленные расходы по условным вкладам клиентов</v>
      </c>
      <c r="D328" s="8" t="str">
        <f>"2"</f>
        <v>2</v>
      </c>
      <c r="E328" s="8" t="str">
        <f>"7"</f>
        <v>7</v>
      </c>
      <c r="F328" s="8" t="str">
        <f>"1"</f>
        <v>1</v>
      </c>
      <c r="G328" s="10">
        <v>29.25</v>
      </c>
    </row>
    <row r="329" spans="1:7" s="11" customFormat="1" ht="15">
      <c r="A329" s="7">
        <v>45380</v>
      </c>
      <c r="B329" s="8" t="str">
        <f t="shared" si="59"/>
        <v>2719</v>
      </c>
      <c r="C329" s="9" t="str">
        <f t="shared" si="60"/>
        <v>Начисленные расходы по условным вкладам клиентов</v>
      </c>
      <c r="D329" s="8" t="str">
        <f>"2"</f>
        <v>2</v>
      </c>
      <c r="E329" s="8" t="str">
        <f>"8"</f>
        <v>8</v>
      </c>
      <c r="F329" s="8" t="str">
        <f>"2"</f>
        <v>2</v>
      </c>
      <c r="G329" s="10">
        <v>36408.1</v>
      </c>
    </row>
    <row r="330" spans="1:7" s="11" customFormat="1" ht="15">
      <c r="A330" s="7">
        <v>45380</v>
      </c>
      <c r="B330" s="8" t="str">
        <f>"2720"</f>
        <v>2720</v>
      </c>
      <c r="C330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0" s="8" t="str">
        <f>"1"</f>
        <v>1</v>
      </c>
      <c r="E330" s="8" t="str">
        <f>"9"</f>
        <v>9</v>
      </c>
      <c r="F330" s="8" t="str">
        <f>"1"</f>
        <v>1</v>
      </c>
      <c r="G330" s="10">
        <v>447034.56</v>
      </c>
    </row>
    <row r="331" spans="1:7" s="11" customFormat="1" ht="15">
      <c r="A331" s="7">
        <v>45380</v>
      </c>
      <c r="B331" s="8" t="str">
        <f>"2720"</f>
        <v>2720</v>
      </c>
      <c r="C331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1" s="8" t="str">
        <f>"1"</f>
        <v>1</v>
      </c>
      <c r="E331" s="8" t="str">
        <f>"9"</f>
        <v>9</v>
      </c>
      <c r="F331" s="8" t="str">
        <f>"2"</f>
        <v>2</v>
      </c>
      <c r="G331" s="10">
        <v>4704.6</v>
      </c>
    </row>
    <row r="332" spans="1:7" s="11" customFormat="1" ht="15">
      <c r="A332" s="7">
        <v>45380</v>
      </c>
      <c r="B332" s="8" t="str">
        <f>"2720"</f>
        <v>2720</v>
      </c>
      <c r="C332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2" s="8" t="str">
        <f>"1"</f>
        <v>1</v>
      </c>
      <c r="E332" s="8" t="str">
        <f>"9"</f>
        <v>9</v>
      </c>
      <c r="F332" s="8" t="str">
        <f>"3"</f>
        <v>3</v>
      </c>
      <c r="G332" s="10">
        <v>2353.94</v>
      </c>
    </row>
    <row r="333" spans="1:7" s="11" customFormat="1" ht="15">
      <c r="A333" s="7">
        <v>45380</v>
      </c>
      <c r="B333" s="8" t="str">
        <f>"2720"</f>
        <v>2720</v>
      </c>
      <c r="C333" s="9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D333" s="8" t="str">
        <f>"2"</f>
        <v>2</v>
      </c>
      <c r="E333" s="8" t="str">
        <f>"9"</f>
        <v>9</v>
      </c>
      <c r="F333" s="8" t="str">
        <f>"1"</f>
        <v>1</v>
      </c>
      <c r="G333" s="10">
        <v>24.23</v>
      </c>
    </row>
    <row r="334" spans="1:7" s="11" customFormat="1" ht="15">
      <c r="A334" s="7">
        <v>45380</v>
      </c>
      <c r="B334" s="8" t="str">
        <f aca="true" t="shared" si="61" ref="B334:B351">"2721"</f>
        <v>2721</v>
      </c>
      <c r="C334" s="9" t="str">
        <f aca="true" t="shared" si="62" ref="C334:C351">"Начисленные расходы по срочным вкладам клиентов"</f>
        <v>Начисленные расходы по срочным вкладам клиентов</v>
      </c>
      <c r="D334" s="8" t="str">
        <f aca="true" t="shared" si="63" ref="D334:D344">"1"</f>
        <v>1</v>
      </c>
      <c r="E334" s="8" t="str">
        <f>"5"</f>
        <v>5</v>
      </c>
      <c r="F334" s="8" t="str">
        <f>"1"</f>
        <v>1</v>
      </c>
      <c r="G334" s="10">
        <v>70769532.06</v>
      </c>
    </row>
    <row r="335" spans="1:7" s="11" customFormat="1" ht="15">
      <c r="A335" s="7">
        <v>45380</v>
      </c>
      <c r="B335" s="8" t="str">
        <f t="shared" si="61"/>
        <v>2721</v>
      </c>
      <c r="C335" s="9" t="str">
        <f t="shared" si="62"/>
        <v>Начисленные расходы по срочным вкладам клиентов</v>
      </c>
      <c r="D335" s="8" t="str">
        <f t="shared" si="63"/>
        <v>1</v>
      </c>
      <c r="E335" s="8" t="str">
        <f>"5"</f>
        <v>5</v>
      </c>
      <c r="F335" s="8" t="str">
        <f>"2"</f>
        <v>2</v>
      </c>
      <c r="G335" s="10">
        <v>326100.25</v>
      </c>
    </row>
    <row r="336" spans="1:7" s="11" customFormat="1" ht="15">
      <c r="A336" s="7">
        <v>45380</v>
      </c>
      <c r="B336" s="8" t="str">
        <f t="shared" si="61"/>
        <v>2721</v>
      </c>
      <c r="C336" s="9" t="str">
        <f t="shared" si="62"/>
        <v>Начисленные расходы по срочным вкладам клиентов</v>
      </c>
      <c r="D336" s="8" t="str">
        <f t="shared" si="63"/>
        <v>1</v>
      </c>
      <c r="E336" s="8" t="str">
        <f>"5"</f>
        <v>5</v>
      </c>
      <c r="F336" s="8" t="str">
        <f>"3"</f>
        <v>3</v>
      </c>
      <c r="G336" s="10">
        <v>757537.49</v>
      </c>
    </row>
    <row r="337" spans="1:7" s="11" customFormat="1" ht="15">
      <c r="A337" s="7">
        <v>45380</v>
      </c>
      <c r="B337" s="8" t="str">
        <f t="shared" si="61"/>
        <v>2721</v>
      </c>
      <c r="C337" s="9" t="str">
        <f t="shared" si="62"/>
        <v>Начисленные расходы по срочным вкладам клиентов</v>
      </c>
      <c r="D337" s="8" t="str">
        <f t="shared" si="63"/>
        <v>1</v>
      </c>
      <c r="E337" s="8" t="str">
        <f>"6"</f>
        <v>6</v>
      </c>
      <c r="F337" s="8" t="str">
        <f>"1"</f>
        <v>1</v>
      </c>
      <c r="G337" s="10">
        <v>144632201.15</v>
      </c>
    </row>
    <row r="338" spans="1:7" s="11" customFormat="1" ht="15">
      <c r="A338" s="7">
        <v>45380</v>
      </c>
      <c r="B338" s="8" t="str">
        <f t="shared" si="61"/>
        <v>2721</v>
      </c>
      <c r="C338" s="9" t="str">
        <f t="shared" si="62"/>
        <v>Начисленные расходы по срочным вкладам клиентов</v>
      </c>
      <c r="D338" s="8" t="str">
        <f t="shared" si="63"/>
        <v>1</v>
      </c>
      <c r="E338" s="8" t="str">
        <f>"7"</f>
        <v>7</v>
      </c>
      <c r="F338" s="8" t="str">
        <f>"1"</f>
        <v>1</v>
      </c>
      <c r="G338" s="10">
        <v>1863701953.22</v>
      </c>
    </row>
    <row r="339" spans="1:7" s="11" customFormat="1" ht="15">
      <c r="A339" s="7">
        <v>45380</v>
      </c>
      <c r="B339" s="8" t="str">
        <f t="shared" si="61"/>
        <v>2721</v>
      </c>
      <c r="C339" s="9" t="str">
        <f t="shared" si="62"/>
        <v>Начисленные расходы по срочным вкладам клиентов</v>
      </c>
      <c r="D339" s="8" t="str">
        <f t="shared" si="63"/>
        <v>1</v>
      </c>
      <c r="E339" s="8" t="str">
        <f>"7"</f>
        <v>7</v>
      </c>
      <c r="F339" s="8" t="str">
        <f>"2"</f>
        <v>2</v>
      </c>
      <c r="G339" s="10">
        <v>12486687.88</v>
      </c>
    </row>
    <row r="340" spans="1:7" s="11" customFormat="1" ht="15">
      <c r="A340" s="7">
        <v>45380</v>
      </c>
      <c r="B340" s="8" t="str">
        <f t="shared" si="61"/>
        <v>2721</v>
      </c>
      <c r="C340" s="9" t="str">
        <f t="shared" si="62"/>
        <v>Начисленные расходы по срочным вкладам клиентов</v>
      </c>
      <c r="D340" s="8" t="str">
        <f t="shared" si="63"/>
        <v>1</v>
      </c>
      <c r="E340" s="8" t="str">
        <f>"7"</f>
        <v>7</v>
      </c>
      <c r="F340" s="8" t="str">
        <f>"3"</f>
        <v>3</v>
      </c>
      <c r="G340" s="10">
        <v>8789538.61</v>
      </c>
    </row>
    <row r="341" spans="1:7" s="11" customFormat="1" ht="15">
      <c r="A341" s="7">
        <v>45380</v>
      </c>
      <c r="B341" s="8" t="str">
        <f t="shared" si="61"/>
        <v>2721</v>
      </c>
      <c r="C341" s="9" t="str">
        <f t="shared" si="62"/>
        <v>Начисленные расходы по срочным вкладам клиентов</v>
      </c>
      <c r="D341" s="8" t="str">
        <f t="shared" si="63"/>
        <v>1</v>
      </c>
      <c r="E341" s="8" t="str">
        <f>"8"</f>
        <v>8</v>
      </c>
      <c r="F341" s="8" t="str">
        <f>"1"</f>
        <v>1</v>
      </c>
      <c r="G341" s="10">
        <v>7968184.86</v>
      </c>
    </row>
    <row r="342" spans="1:7" s="11" customFormat="1" ht="15">
      <c r="A342" s="7">
        <v>45380</v>
      </c>
      <c r="B342" s="8" t="str">
        <f t="shared" si="61"/>
        <v>2721</v>
      </c>
      <c r="C342" s="9" t="str">
        <f t="shared" si="62"/>
        <v>Начисленные расходы по срочным вкладам клиентов</v>
      </c>
      <c r="D342" s="8" t="str">
        <f t="shared" si="63"/>
        <v>1</v>
      </c>
      <c r="E342" s="8" t="str">
        <f>"9"</f>
        <v>9</v>
      </c>
      <c r="F342" s="8" t="str">
        <f>"1"</f>
        <v>1</v>
      </c>
      <c r="G342" s="10">
        <v>678691618.68</v>
      </c>
    </row>
    <row r="343" spans="1:7" s="11" customFormat="1" ht="15">
      <c r="A343" s="7">
        <v>45380</v>
      </c>
      <c r="B343" s="8" t="str">
        <f t="shared" si="61"/>
        <v>2721</v>
      </c>
      <c r="C343" s="9" t="str">
        <f t="shared" si="62"/>
        <v>Начисленные расходы по срочным вкладам клиентов</v>
      </c>
      <c r="D343" s="8" t="str">
        <f t="shared" si="63"/>
        <v>1</v>
      </c>
      <c r="E343" s="8" t="str">
        <f>"9"</f>
        <v>9</v>
      </c>
      <c r="F343" s="8" t="str">
        <f>"2"</f>
        <v>2</v>
      </c>
      <c r="G343" s="10">
        <v>10384439.2</v>
      </c>
    </row>
    <row r="344" spans="1:7" s="11" customFormat="1" ht="15">
      <c r="A344" s="7">
        <v>45380</v>
      </c>
      <c r="B344" s="8" t="str">
        <f t="shared" si="61"/>
        <v>2721</v>
      </c>
      <c r="C344" s="9" t="str">
        <f t="shared" si="62"/>
        <v>Начисленные расходы по срочным вкладам клиентов</v>
      </c>
      <c r="D344" s="8" t="str">
        <f t="shared" si="63"/>
        <v>1</v>
      </c>
      <c r="E344" s="8" t="str">
        <f>"9"</f>
        <v>9</v>
      </c>
      <c r="F344" s="8" t="str">
        <f>"3"</f>
        <v>3</v>
      </c>
      <c r="G344" s="10">
        <v>1632208.09</v>
      </c>
    </row>
    <row r="345" spans="1:7" s="11" customFormat="1" ht="15">
      <c r="A345" s="7">
        <v>45380</v>
      </c>
      <c r="B345" s="8" t="str">
        <f t="shared" si="61"/>
        <v>2721</v>
      </c>
      <c r="C345" s="9" t="str">
        <f t="shared" si="62"/>
        <v>Начисленные расходы по срочным вкладам клиентов</v>
      </c>
      <c r="D345" s="8" t="str">
        <f aca="true" t="shared" si="64" ref="D345:D351">"2"</f>
        <v>2</v>
      </c>
      <c r="E345" s="8" t="str">
        <f>"7"</f>
        <v>7</v>
      </c>
      <c r="F345" s="8" t="str">
        <f>"1"</f>
        <v>1</v>
      </c>
      <c r="G345" s="10">
        <v>1156453.04</v>
      </c>
    </row>
    <row r="346" spans="1:7" s="11" customFormat="1" ht="15">
      <c r="A346" s="7">
        <v>45380</v>
      </c>
      <c r="B346" s="8" t="str">
        <f t="shared" si="61"/>
        <v>2721</v>
      </c>
      <c r="C346" s="9" t="str">
        <f t="shared" si="62"/>
        <v>Начисленные расходы по срочным вкладам клиентов</v>
      </c>
      <c r="D346" s="8" t="str">
        <f t="shared" si="64"/>
        <v>2</v>
      </c>
      <c r="E346" s="8" t="str">
        <f>"7"</f>
        <v>7</v>
      </c>
      <c r="F346" s="8" t="str">
        <f>"2"</f>
        <v>2</v>
      </c>
      <c r="G346" s="10">
        <v>241694.58</v>
      </c>
    </row>
    <row r="347" spans="1:7" s="11" customFormat="1" ht="15">
      <c r="A347" s="7">
        <v>45380</v>
      </c>
      <c r="B347" s="8" t="str">
        <f t="shared" si="61"/>
        <v>2721</v>
      </c>
      <c r="C347" s="9" t="str">
        <f t="shared" si="62"/>
        <v>Начисленные расходы по срочным вкладам клиентов</v>
      </c>
      <c r="D347" s="8" t="str">
        <f t="shared" si="64"/>
        <v>2</v>
      </c>
      <c r="E347" s="8" t="str">
        <f>"7"</f>
        <v>7</v>
      </c>
      <c r="F347" s="8" t="str">
        <f>"3"</f>
        <v>3</v>
      </c>
      <c r="G347" s="10">
        <v>46150.52</v>
      </c>
    </row>
    <row r="348" spans="1:7" s="11" customFormat="1" ht="15">
      <c r="A348" s="7">
        <v>45380</v>
      </c>
      <c r="B348" s="8" t="str">
        <f t="shared" si="61"/>
        <v>2721</v>
      </c>
      <c r="C348" s="9" t="str">
        <f t="shared" si="62"/>
        <v>Начисленные расходы по срочным вкладам клиентов</v>
      </c>
      <c r="D348" s="8" t="str">
        <f t="shared" si="64"/>
        <v>2</v>
      </c>
      <c r="E348" s="8" t="str">
        <f>"8"</f>
        <v>8</v>
      </c>
      <c r="F348" s="8" t="str">
        <f>"1"</f>
        <v>1</v>
      </c>
      <c r="G348" s="10">
        <v>442.62</v>
      </c>
    </row>
    <row r="349" spans="1:7" s="11" customFormat="1" ht="15">
      <c r="A349" s="7">
        <v>45380</v>
      </c>
      <c r="B349" s="8" t="str">
        <f t="shared" si="61"/>
        <v>2721</v>
      </c>
      <c r="C349" s="9" t="str">
        <f t="shared" si="62"/>
        <v>Начисленные расходы по срочным вкладам клиентов</v>
      </c>
      <c r="D349" s="8" t="str">
        <f t="shared" si="64"/>
        <v>2</v>
      </c>
      <c r="E349" s="8" t="str">
        <f>"9"</f>
        <v>9</v>
      </c>
      <c r="F349" s="8" t="str">
        <f>"1"</f>
        <v>1</v>
      </c>
      <c r="G349" s="10">
        <v>13951769.36</v>
      </c>
    </row>
    <row r="350" spans="1:7" s="11" customFormat="1" ht="15">
      <c r="A350" s="7">
        <v>45380</v>
      </c>
      <c r="B350" s="8" t="str">
        <f t="shared" si="61"/>
        <v>2721</v>
      </c>
      <c r="C350" s="9" t="str">
        <f t="shared" si="62"/>
        <v>Начисленные расходы по срочным вкладам клиентов</v>
      </c>
      <c r="D350" s="8" t="str">
        <f t="shared" si="64"/>
        <v>2</v>
      </c>
      <c r="E350" s="8" t="str">
        <f>"9"</f>
        <v>9</v>
      </c>
      <c r="F350" s="8" t="str">
        <f>"2"</f>
        <v>2</v>
      </c>
      <c r="G350" s="10">
        <v>500848.88</v>
      </c>
    </row>
    <row r="351" spans="1:7" s="11" customFormat="1" ht="15">
      <c r="A351" s="7">
        <v>45380</v>
      </c>
      <c r="B351" s="8" t="str">
        <f t="shared" si="61"/>
        <v>2721</v>
      </c>
      <c r="C351" s="9" t="str">
        <f t="shared" si="62"/>
        <v>Начисленные расходы по срочным вкладам клиентов</v>
      </c>
      <c r="D351" s="8" t="str">
        <f t="shared" si="64"/>
        <v>2</v>
      </c>
      <c r="E351" s="8" t="str">
        <f>"9"</f>
        <v>9</v>
      </c>
      <c r="F351" s="8" t="str">
        <f>"3"</f>
        <v>3</v>
      </c>
      <c r="G351" s="10">
        <v>34193.28</v>
      </c>
    </row>
    <row r="352" spans="1:7" s="11" customFormat="1" ht="15">
      <c r="A352" s="7">
        <v>45380</v>
      </c>
      <c r="B352" s="8" t="str">
        <f>"2723"</f>
        <v>2723</v>
      </c>
      <c r="C352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52" s="8" t="str">
        <f aca="true" t="shared" si="65" ref="D352:D358">"1"</f>
        <v>1</v>
      </c>
      <c r="E352" s="8" t="str">
        <f>"7"</f>
        <v>7</v>
      </c>
      <c r="F352" s="8" t="str">
        <f>"1"</f>
        <v>1</v>
      </c>
      <c r="G352" s="10">
        <v>46120524.81</v>
      </c>
    </row>
    <row r="353" spans="1:7" s="11" customFormat="1" ht="15">
      <c r="A353" s="7">
        <v>45380</v>
      </c>
      <c r="B353" s="8" t="str">
        <f>"2723"</f>
        <v>2723</v>
      </c>
      <c r="C353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53" s="8" t="str">
        <f t="shared" si="65"/>
        <v>1</v>
      </c>
      <c r="E353" s="8" t="str">
        <f>"9"</f>
        <v>9</v>
      </c>
      <c r="F353" s="8" t="str">
        <f>"1"</f>
        <v>1</v>
      </c>
      <c r="G353" s="10">
        <v>30451846.92</v>
      </c>
    </row>
    <row r="354" spans="1:7" s="11" customFormat="1" ht="15">
      <c r="A354" s="7">
        <v>45380</v>
      </c>
      <c r="B354" s="8" t="str">
        <f>"2723"</f>
        <v>2723</v>
      </c>
      <c r="C354" s="9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D354" s="8" t="str">
        <f t="shared" si="65"/>
        <v>1</v>
      </c>
      <c r="E354" s="8" t="str">
        <f>"9"</f>
        <v>9</v>
      </c>
      <c r="F354" s="8" t="str">
        <f>"2"</f>
        <v>2</v>
      </c>
      <c r="G354" s="10">
        <v>850874.64</v>
      </c>
    </row>
    <row r="355" spans="1:7" s="11" customFormat="1" ht="15">
      <c r="A355" s="7">
        <v>45380</v>
      </c>
      <c r="B355" s="8" t="str">
        <f>"2724"</f>
        <v>2724</v>
      </c>
      <c r="C355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D355" s="8" t="str">
        <f t="shared" si="65"/>
        <v>1</v>
      </c>
      <c r="E355" s="8" t="str">
        <f>"5"</f>
        <v>5</v>
      </c>
      <c r="F355" s="8" t="str">
        <f aca="true" t="shared" si="66" ref="F355:F373">"1"</f>
        <v>1</v>
      </c>
      <c r="G355" s="10">
        <v>1021857923.2</v>
      </c>
    </row>
    <row r="356" spans="1:7" s="11" customFormat="1" ht="15">
      <c r="A356" s="7">
        <v>45380</v>
      </c>
      <c r="B356" s="8" t="str">
        <f>"2724"</f>
        <v>2724</v>
      </c>
      <c r="C356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D356" s="8" t="str">
        <f t="shared" si="65"/>
        <v>1</v>
      </c>
      <c r="E356" s="8" t="str">
        <f>"6"</f>
        <v>6</v>
      </c>
      <c r="F356" s="8" t="str">
        <f t="shared" si="66"/>
        <v>1</v>
      </c>
      <c r="G356" s="10">
        <v>546994535.62</v>
      </c>
    </row>
    <row r="357" spans="1:7" s="11" customFormat="1" ht="15">
      <c r="A357" s="7">
        <v>45380</v>
      </c>
      <c r="B357" s="8" t="str">
        <f>"2724"</f>
        <v>2724</v>
      </c>
      <c r="C357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D357" s="8" t="str">
        <f t="shared" si="65"/>
        <v>1</v>
      </c>
      <c r="E357" s="8" t="str">
        <f>"7"</f>
        <v>7</v>
      </c>
      <c r="F357" s="8" t="str">
        <f t="shared" si="66"/>
        <v>1</v>
      </c>
      <c r="G357" s="10">
        <v>306605356.4</v>
      </c>
    </row>
    <row r="358" spans="1:7" s="11" customFormat="1" ht="15">
      <c r="A358" s="7">
        <v>45380</v>
      </c>
      <c r="B358" s="8" t="str">
        <f>"2724"</f>
        <v>2724</v>
      </c>
      <c r="C358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D358" s="8" t="str">
        <f t="shared" si="65"/>
        <v>1</v>
      </c>
      <c r="E358" s="8" t="str">
        <f>"9"</f>
        <v>9</v>
      </c>
      <c r="F358" s="8" t="str">
        <f t="shared" si="66"/>
        <v>1</v>
      </c>
      <c r="G358" s="10">
        <v>1099225956.82</v>
      </c>
    </row>
    <row r="359" spans="1:7" s="11" customFormat="1" ht="15">
      <c r="A359" s="7">
        <v>45380</v>
      </c>
      <c r="B359" s="8" t="str">
        <f>"2724"</f>
        <v>2724</v>
      </c>
      <c r="C359" s="9" t="str">
        <f>"Начисленные расходы по сберегательным вкладам клиентов"</f>
        <v>Начисленные расходы по сберегательным вкладам клиентов</v>
      </c>
      <c r="D359" s="8" t="str">
        <f>"2"</f>
        <v>2</v>
      </c>
      <c r="E359" s="8" t="str">
        <f>"9"</f>
        <v>9</v>
      </c>
      <c r="F359" s="8" t="str">
        <f t="shared" si="66"/>
        <v>1</v>
      </c>
      <c r="G359" s="10">
        <v>35318243.9</v>
      </c>
    </row>
    <row r="360" spans="1:7" s="11" customFormat="1" ht="15">
      <c r="A360" s="7">
        <v>45380</v>
      </c>
      <c r="B360" s="8" t="str">
        <f>"2730"</f>
        <v>2730</v>
      </c>
      <c r="C360" s="9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D360" s="8" t="str">
        <f aca="true" t="shared" si="67" ref="D360:D368">"1"</f>
        <v>1</v>
      </c>
      <c r="E360" s="8" t="str">
        <f>"5"</f>
        <v>5</v>
      </c>
      <c r="F360" s="8" t="str">
        <f t="shared" si="66"/>
        <v>1</v>
      </c>
      <c r="G360" s="10">
        <v>19602028594.91</v>
      </c>
    </row>
    <row r="361" spans="1:7" s="11" customFormat="1" ht="15">
      <c r="A361" s="7">
        <v>45380</v>
      </c>
      <c r="B361" s="8" t="str">
        <f>"2731"</f>
        <v>2731</v>
      </c>
      <c r="C361" s="9" t="str">
        <f>"Начисленные расходы по прочим операциям"</f>
        <v>Начисленные расходы по прочим операциям</v>
      </c>
      <c r="D361" s="8" t="str">
        <f t="shared" si="67"/>
        <v>1</v>
      </c>
      <c r="E361" s="8" t="str">
        <f>"9"</f>
        <v>9</v>
      </c>
      <c r="F361" s="8" t="str">
        <f t="shared" si="66"/>
        <v>1</v>
      </c>
      <c r="G361" s="10">
        <v>40901874.29</v>
      </c>
    </row>
    <row r="362" spans="1:7" s="11" customFormat="1" ht="15">
      <c r="A362" s="7">
        <v>45380</v>
      </c>
      <c r="B362" s="8" t="str">
        <f>"2756"</f>
        <v>2756</v>
      </c>
      <c r="C362" s="9" t="str">
        <f>"Начисленные расходы по субординированным облигациям"</f>
        <v>Начисленные расходы по субординированным облигациям</v>
      </c>
      <c r="D362" s="8" t="str">
        <f t="shared" si="67"/>
        <v>1</v>
      </c>
      <c r="E362" s="8" t="str">
        <f>"5"</f>
        <v>5</v>
      </c>
      <c r="F362" s="8" t="str">
        <f t="shared" si="66"/>
        <v>1</v>
      </c>
      <c r="G362" s="10">
        <v>194412.16</v>
      </c>
    </row>
    <row r="363" spans="1:7" s="11" customFormat="1" ht="15">
      <c r="A363" s="7">
        <v>45380</v>
      </c>
      <c r="B363" s="8" t="str">
        <f aca="true" t="shared" si="68" ref="B363:B369">"2770"</f>
        <v>2770</v>
      </c>
      <c r="C363" s="9" t="str">
        <f aca="true" t="shared" si="69" ref="C363:C36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D363" s="8" t="str">
        <f t="shared" si="67"/>
        <v>1</v>
      </c>
      <c r="E363" s="8" t="str">
        <f>"1"</f>
        <v>1</v>
      </c>
      <c r="F363" s="8" t="str">
        <f t="shared" si="66"/>
        <v>1</v>
      </c>
      <c r="G363" s="10">
        <v>150000</v>
      </c>
    </row>
    <row r="364" spans="1:7" s="11" customFormat="1" ht="15">
      <c r="A364" s="7">
        <v>45380</v>
      </c>
      <c r="B364" s="8" t="str">
        <f t="shared" si="68"/>
        <v>2770</v>
      </c>
      <c r="C364" s="9" t="str">
        <f t="shared" si="69"/>
        <v>Начисленные расходы по административно-хозяйственной деятельности</v>
      </c>
      <c r="D364" s="8" t="str">
        <f t="shared" si="67"/>
        <v>1</v>
      </c>
      <c r="E364" s="8" t="str">
        <f>"5"</f>
        <v>5</v>
      </c>
      <c r="F364" s="8" t="str">
        <f t="shared" si="66"/>
        <v>1</v>
      </c>
      <c r="G364" s="10">
        <v>13813393</v>
      </c>
    </row>
    <row r="365" spans="1:7" s="11" customFormat="1" ht="15">
      <c r="A365" s="7">
        <v>45380</v>
      </c>
      <c r="B365" s="8" t="str">
        <f t="shared" si="68"/>
        <v>2770</v>
      </c>
      <c r="C365" s="9" t="str">
        <f t="shared" si="69"/>
        <v>Начисленные расходы по административно-хозяйственной деятельности</v>
      </c>
      <c r="D365" s="8" t="str">
        <f t="shared" si="67"/>
        <v>1</v>
      </c>
      <c r="E365" s="8" t="str">
        <f>"6"</f>
        <v>6</v>
      </c>
      <c r="F365" s="8" t="str">
        <f t="shared" si="66"/>
        <v>1</v>
      </c>
      <c r="G365" s="10">
        <v>58488312.54</v>
      </c>
    </row>
    <row r="366" spans="1:7" s="11" customFormat="1" ht="15">
      <c r="A366" s="7">
        <v>45380</v>
      </c>
      <c r="B366" s="8" t="str">
        <f t="shared" si="68"/>
        <v>2770</v>
      </c>
      <c r="C366" s="9" t="str">
        <f t="shared" si="69"/>
        <v>Начисленные расходы по административно-хозяйственной деятельности</v>
      </c>
      <c r="D366" s="8" t="str">
        <f t="shared" si="67"/>
        <v>1</v>
      </c>
      <c r="E366" s="8" t="str">
        <f>"7"</f>
        <v>7</v>
      </c>
      <c r="F366" s="8" t="str">
        <f t="shared" si="66"/>
        <v>1</v>
      </c>
      <c r="G366" s="10">
        <v>1332359771.71</v>
      </c>
    </row>
    <row r="367" spans="1:7" s="11" customFormat="1" ht="15">
      <c r="A367" s="7">
        <v>45380</v>
      </c>
      <c r="B367" s="8" t="str">
        <f t="shared" si="68"/>
        <v>2770</v>
      </c>
      <c r="C367" s="9" t="str">
        <f t="shared" si="69"/>
        <v>Начисленные расходы по административно-хозяйственной деятельности</v>
      </c>
      <c r="D367" s="8" t="str">
        <f t="shared" si="67"/>
        <v>1</v>
      </c>
      <c r="E367" s="8" t="str">
        <f>"8"</f>
        <v>8</v>
      </c>
      <c r="F367" s="8" t="str">
        <f t="shared" si="66"/>
        <v>1</v>
      </c>
      <c r="G367" s="10">
        <v>12264506</v>
      </c>
    </row>
    <row r="368" spans="1:7" s="11" customFormat="1" ht="15">
      <c r="A368" s="7">
        <v>45380</v>
      </c>
      <c r="B368" s="8" t="str">
        <f t="shared" si="68"/>
        <v>2770</v>
      </c>
      <c r="C368" s="9" t="str">
        <f t="shared" si="69"/>
        <v>Начисленные расходы по административно-хозяйственной деятельности</v>
      </c>
      <c r="D368" s="8" t="str">
        <f t="shared" si="67"/>
        <v>1</v>
      </c>
      <c r="E368" s="8" t="str">
        <f>"9"</f>
        <v>9</v>
      </c>
      <c r="F368" s="8" t="str">
        <f t="shared" si="66"/>
        <v>1</v>
      </c>
      <c r="G368" s="10">
        <v>133401878</v>
      </c>
    </row>
    <row r="369" spans="1:7" s="11" customFormat="1" ht="15">
      <c r="A369" s="7">
        <v>45380</v>
      </c>
      <c r="B369" s="8" t="str">
        <f t="shared" si="68"/>
        <v>2770</v>
      </c>
      <c r="C369" s="9" t="str">
        <f t="shared" si="69"/>
        <v>Начисленные расходы по административно-хозяйственной деятельности</v>
      </c>
      <c r="D369" s="8" t="str">
        <f>"2"</f>
        <v>2</v>
      </c>
      <c r="E369" s="8" t="str">
        <f>"7"</f>
        <v>7</v>
      </c>
      <c r="F369" s="8" t="str">
        <f t="shared" si="66"/>
        <v>1</v>
      </c>
      <c r="G369" s="10">
        <v>64185229</v>
      </c>
    </row>
    <row r="370" spans="1:7" s="11" customFormat="1" ht="15">
      <c r="A370" s="7">
        <v>45380</v>
      </c>
      <c r="B370" s="8" t="str">
        <f>"2792"</f>
        <v>2792</v>
      </c>
      <c r="C370" s="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D370" s="8" t="str">
        <f aca="true" t="shared" si="70" ref="D370:D378">"1"</f>
        <v>1</v>
      </c>
      <c r="E370" s="8" t="str">
        <f>"7"</f>
        <v>7</v>
      </c>
      <c r="F370" s="8" t="str">
        <f t="shared" si="66"/>
        <v>1</v>
      </c>
      <c r="G370" s="10">
        <v>8967460.74</v>
      </c>
    </row>
    <row r="371" spans="1:7" s="11" customFormat="1" ht="15">
      <c r="A371" s="7">
        <v>45380</v>
      </c>
      <c r="B371" s="8" t="str">
        <f>"2792"</f>
        <v>2792</v>
      </c>
      <c r="C371" s="9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D371" s="8" t="str">
        <f t="shared" si="70"/>
        <v>1</v>
      </c>
      <c r="E371" s="8" t="str">
        <f>"9"</f>
        <v>9</v>
      </c>
      <c r="F371" s="8" t="str">
        <f t="shared" si="66"/>
        <v>1</v>
      </c>
      <c r="G371" s="10">
        <v>462190.97</v>
      </c>
    </row>
    <row r="372" spans="1:7" s="11" customFormat="1" ht="15">
      <c r="A372" s="7">
        <v>45380</v>
      </c>
      <c r="B372" s="8" t="str">
        <f aca="true" t="shared" si="71" ref="B372:B380">"2794"</f>
        <v>2794</v>
      </c>
      <c r="C372" s="9" t="str">
        <f aca="true" t="shared" si="72" ref="C372:C380">"Доходы будущих периодов"</f>
        <v>Доходы будущих периодов</v>
      </c>
      <c r="D372" s="8" t="str">
        <f t="shared" si="70"/>
        <v>1</v>
      </c>
      <c r="E372" s="8" t="str">
        <f>"5"</f>
        <v>5</v>
      </c>
      <c r="F372" s="8" t="str">
        <f t="shared" si="66"/>
        <v>1</v>
      </c>
      <c r="G372" s="10">
        <v>102959.24</v>
      </c>
    </row>
    <row r="373" spans="1:7" s="11" customFormat="1" ht="15">
      <c r="A373" s="7">
        <v>45380</v>
      </c>
      <c r="B373" s="8" t="str">
        <f t="shared" si="71"/>
        <v>2794</v>
      </c>
      <c r="C373" s="9" t="str">
        <f t="shared" si="72"/>
        <v>Доходы будущих периодов</v>
      </c>
      <c r="D373" s="8" t="str">
        <f t="shared" si="70"/>
        <v>1</v>
      </c>
      <c r="E373" s="8" t="str">
        <f>"7"</f>
        <v>7</v>
      </c>
      <c r="F373" s="8" t="str">
        <f t="shared" si="66"/>
        <v>1</v>
      </c>
      <c r="G373" s="10">
        <v>103388296.24</v>
      </c>
    </row>
    <row r="374" spans="1:7" s="11" customFormat="1" ht="15">
      <c r="A374" s="7">
        <v>45380</v>
      </c>
      <c r="B374" s="8" t="str">
        <f t="shared" si="71"/>
        <v>2794</v>
      </c>
      <c r="C374" s="9" t="str">
        <f t="shared" si="72"/>
        <v>Доходы будущих периодов</v>
      </c>
      <c r="D374" s="8" t="str">
        <f t="shared" si="70"/>
        <v>1</v>
      </c>
      <c r="E374" s="8" t="str">
        <f>"7"</f>
        <v>7</v>
      </c>
      <c r="F374" s="8" t="str">
        <f>"2"</f>
        <v>2</v>
      </c>
      <c r="G374" s="10">
        <v>10937.17</v>
      </c>
    </row>
    <row r="375" spans="1:7" s="11" customFormat="1" ht="15">
      <c r="A375" s="7">
        <v>45380</v>
      </c>
      <c r="B375" s="8" t="str">
        <f t="shared" si="71"/>
        <v>2794</v>
      </c>
      <c r="C375" s="9" t="str">
        <f t="shared" si="72"/>
        <v>Доходы будущих периодов</v>
      </c>
      <c r="D375" s="8" t="str">
        <f t="shared" si="70"/>
        <v>1</v>
      </c>
      <c r="E375" s="8" t="str">
        <f>"7"</f>
        <v>7</v>
      </c>
      <c r="F375" s="8" t="str">
        <f>"3"</f>
        <v>3</v>
      </c>
      <c r="G375" s="10">
        <v>216476.56</v>
      </c>
    </row>
    <row r="376" spans="1:7" s="11" customFormat="1" ht="15">
      <c r="A376" s="7">
        <v>45380</v>
      </c>
      <c r="B376" s="8" t="str">
        <f t="shared" si="71"/>
        <v>2794</v>
      </c>
      <c r="C376" s="9" t="str">
        <f t="shared" si="72"/>
        <v>Доходы будущих периодов</v>
      </c>
      <c r="D376" s="8" t="str">
        <f t="shared" si="70"/>
        <v>1</v>
      </c>
      <c r="E376" s="8" t="str">
        <f>"8"</f>
        <v>8</v>
      </c>
      <c r="F376" s="8" t="str">
        <f>"1"</f>
        <v>1</v>
      </c>
      <c r="G376" s="10">
        <v>85169.66</v>
      </c>
    </row>
    <row r="377" spans="1:7" s="11" customFormat="1" ht="15">
      <c r="A377" s="7">
        <v>45380</v>
      </c>
      <c r="B377" s="8" t="str">
        <f t="shared" si="71"/>
        <v>2794</v>
      </c>
      <c r="C377" s="9" t="str">
        <f t="shared" si="72"/>
        <v>Доходы будущих периодов</v>
      </c>
      <c r="D377" s="8" t="str">
        <f t="shared" si="70"/>
        <v>1</v>
      </c>
      <c r="E377" s="8" t="str">
        <f>"9"</f>
        <v>9</v>
      </c>
      <c r="F377" s="8" t="str">
        <f>"1"</f>
        <v>1</v>
      </c>
      <c r="G377" s="10">
        <v>14255422854.37</v>
      </c>
    </row>
    <row r="378" spans="1:7" s="11" customFormat="1" ht="15">
      <c r="A378" s="7">
        <v>45380</v>
      </c>
      <c r="B378" s="8" t="str">
        <f t="shared" si="71"/>
        <v>2794</v>
      </c>
      <c r="C378" s="9" t="str">
        <f t="shared" si="72"/>
        <v>Доходы будущих периодов</v>
      </c>
      <c r="D378" s="8" t="str">
        <f t="shared" si="70"/>
        <v>1</v>
      </c>
      <c r="E378" s="8" t="str">
        <f>"9"</f>
        <v>9</v>
      </c>
      <c r="F378" s="8" t="str">
        <f>"3"</f>
        <v>3</v>
      </c>
      <c r="G378" s="10">
        <v>25422.54</v>
      </c>
    </row>
    <row r="379" spans="1:7" s="11" customFormat="1" ht="15">
      <c r="A379" s="7">
        <v>45380</v>
      </c>
      <c r="B379" s="8" t="str">
        <f t="shared" si="71"/>
        <v>2794</v>
      </c>
      <c r="C379" s="9" t="str">
        <f t="shared" si="72"/>
        <v>Доходы будущих периодов</v>
      </c>
      <c r="D379" s="8" t="str">
        <f>"2"</f>
        <v>2</v>
      </c>
      <c r="E379" s="8" t="str">
        <f>"7"</f>
        <v>7</v>
      </c>
      <c r="F379" s="8" t="str">
        <f aca="true" t="shared" si="73" ref="F379:F386">"1"</f>
        <v>1</v>
      </c>
      <c r="G379" s="10">
        <v>109060.64</v>
      </c>
    </row>
    <row r="380" spans="1:7" s="11" customFormat="1" ht="15">
      <c r="A380" s="7">
        <v>45380</v>
      </c>
      <c r="B380" s="8" t="str">
        <f t="shared" si="71"/>
        <v>2794</v>
      </c>
      <c r="C380" s="9" t="str">
        <f t="shared" si="72"/>
        <v>Доходы будущих периодов</v>
      </c>
      <c r="D380" s="8" t="str">
        <f>"2"</f>
        <v>2</v>
      </c>
      <c r="E380" s="8" t="str">
        <f>"9"</f>
        <v>9</v>
      </c>
      <c r="F380" s="8" t="str">
        <f t="shared" si="73"/>
        <v>1</v>
      </c>
      <c r="G380" s="10">
        <v>4569.24</v>
      </c>
    </row>
    <row r="381" spans="1:7" s="11" customFormat="1" ht="15">
      <c r="A381" s="7">
        <v>45380</v>
      </c>
      <c r="B381" s="8" t="str">
        <f>"2799"</f>
        <v>2799</v>
      </c>
      <c r="C381" s="9" t="str">
        <f>"Прочие предоплаты"</f>
        <v>Прочие предоплаты</v>
      </c>
      <c r="D381" s="8" t="str">
        <f>"1"</f>
        <v>1</v>
      </c>
      <c r="E381" s="8" t="str">
        <f>"5"</f>
        <v>5</v>
      </c>
      <c r="F381" s="8" t="str">
        <f t="shared" si="73"/>
        <v>1</v>
      </c>
      <c r="G381" s="10">
        <v>25334.6</v>
      </c>
    </row>
    <row r="382" spans="1:7" s="11" customFormat="1" ht="15">
      <c r="A382" s="7">
        <v>45380</v>
      </c>
      <c r="B382" s="8" t="str">
        <f>"2799"</f>
        <v>2799</v>
      </c>
      <c r="C382" s="9" t="str">
        <f>"Прочие предоплаты"</f>
        <v>Прочие предоплаты</v>
      </c>
      <c r="D382" s="8" t="str">
        <f>"1"</f>
        <v>1</v>
      </c>
      <c r="E382" s="8" t="str">
        <f>"6"</f>
        <v>6</v>
      </c>
      <c r="F382" s="8" t="str">
        <f t="shared" si="73"/>
        <v>1</v>
      </c>
      <c r="G382" s="10">
        <v>2272.13</v>
      </c>
    </row>
    <row r="383" spans="1:7" s="11" customFormat="1" ht="15">
      <c r="A383" s="7">
        <v>45380</v>
      </c>
      <c r="B383" s="8" t="str">
        <f>"2799"</f>
        <v>2799</v>
      </c>
      <c r="C383" s="9" t="str">
        <f>"Прочие предоплаты"</f>
        <v>Прочие предоплаты</v>
      </c>
      <c r="D383" s="8" t="str">
        <f>"1"</f>
        <v>1</v>
      </c>
      <c r="E383" s="8" t="str">
        <f>"7"</f>
        <v>7</v>
      </c>
      <c r="F383" s="8" t="str">
        <f t="shared" si="73"/>
        <v>1</v>
      </c>
      <c r="G383" s="10">
        <v>134450.67</v>
      </c>
    </row>
    <row r="384" spans="1:7" s="11" customFormat="1" ht="15">
      <c r="A384" s="7">
        <v>45380</v>
      </c>
      <c r="B384" s="8" t="str">
        <f>"2799"</f>
        <v>2799</v>
      </c>
      <c r="C384" s="9" t="str">
        <f>"Прочие предоплаты"</f>
        <v>Прочие предоплаты</v>
      </c>
      <c r="D384" s="8" t="str">
        <f>"1"</f>
        <v>1</v>
      </c>
      <c r="E384" s="8" t="str">
        <f>"9"</f>
        <v>9</v>
      </c>
      <c r="F384" s="8" t="str">
        <f t="shared" si="73"/>
        <v>1</v>
      </c>
      <c r="G384" s="10">
        <v>124004686.28</v>
      </c>
    </row>
    <row r="385" spans="1:7" s="11" customFormat="1" ht="15">
      <c r="A385" s="7">
        <v>45380</v>
      </c>
      <c r="B385" s="8" t="str">
        <f>"2799"</f>
        <v>2799</v>
      </c>
      <c r="C385" s="9" t="str">
        <f>"Прочие предоплаты"</f>
        <v>Прочие предоплаты</v>
      </c>
      <c r="D385" s="8" t="str">
        <f>"2"</f>
        <v>2</v>
      </c>
      <c r="E385" s="8" t="str">
        <f>"9"</f>
        <v>9</v>
      </c>
      <c r="F385" s="8" t="str">
        <f t="shared" si="73"/>
        <v>1</v>
      </c>
      <c r="G385" s="10">
        <v>5221727</v>
      </c>
    </row>
    <row r="386" spans="1:7" s="11" customFormat="1" ht="15">
      <c r="A386" s="7">
        <v>45380</v>
      </c>
      <c r="B386" s="8" t="str">
        <f>"2851"</f>
        <v>2851</v>
      </c>
      <c r="C386" s="9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D386" s="8" t="str">
        <f>"1"</f>
        <v>1</v>
      </c>
      <c r="E386" s="8" t="str">
        <f>"1"</f>
        <v>1</v>
      </c>
      <c r="F386" s="8" t="str">
        <f t="shared" si="73"/>
        <v>1</v>
      </c>
      <c r="G386" s="10">
        <v>2584892226.54</v>
      </c>
    </row>
    <row r="387" spans="1:7" s="11" customFormat="1" ht="15">
      <c r="A387" s="7">
        <v>45380</v>
      </c>
      <c r="B387" s="8" t="str">
        <f>"2854"</f>
        <v>2854</v>
      </c>
      <c r="C387" s="9" t="str">
        <f>"Расчеты с работниками"</f>
        <v>Расчеты с работниками</v>
      </c>
      <c r="D387" s="8">
        <f>""</f>
      </c>
      <c r="E387" s="8">
        <f>""</f>
      </c>
      <c r="F387" s="8">
        <f>""</f>
      </c>
      <c r="G387" s="10">
        <v>10125819194.49</v>
      </c>
    </row>
    <row r="388" spans="1:7" s="11" customFormat="1" ht="15">
      <c r="A388" s="7">
        <v>45380</v>
      </c>
      <c r="B388" s="8" t="str">
        <f>"2856"</f>
        <v>2856</v>
      </c>
      <c r="C388" s="9" t="str">
        <f>"Кредиторы по капитальным вложениям"</f>
        <v>Кредиторы по капитальным вложениям</v>
      </c>
      <c r="D388" s="8" t="str">
        <f aca="true" t="shared" si="74" ref="D388:D398">"1"</f>
        <v>1</v>
      </c>
      <c r="E388" s="8" t="str">
        <f>"7"</f>
        <v>7</v>
      </c>
      <c r="F388" s="8" t="str">
        <f>"1"</f>
        <v>1</v>
      </c>
      <c r="G388" s="10">
        <v>203876.1</v>
      </c>
    </row>
    <row r="389" spans="1:7" s="11" customFormat="1" ht="15">
      <c r="A389" s="7">
        <v>45380</v>
      </c>
      <c r="B389" s="8" t="str">
        <f aca="true" t="shared" si="75" ref="B389:B402">"2860"</f>
        <v>2860</v>
      </c>
      <c r="C389" s="9" t="str">
        <f aca="true" t="shared" si="76" ref="C389:C402">"Прочие кредиторы по банковской деятельности"</f>
        <v>Прочие кредиторы по банковской деятельности</v>
      </c>
      <c r="D389" s="8" t="str">
        <f t="shared" si="74"/>
        <v>1</v>
      </c>
      <c r="E389" s="8" t="str">
        <f>"1"</f>
        <v>1</v>
      </c>
      <c r="F389" s="8" t="str">
        <f>"1"</f>
        <v>1</v>
      </c>
      <c r="G389" s="10">
        <v>14631473.98</v>
      </c>
    </row>
    <row r="390" spans="1:7" s="11" customFormat="1" ht="15">
      <c r="A390" s="7">
        <v>45380</v>
      </c>
      <c r="B390" s="8" t="str">
        <f t="shared" si="75"/>
        <v>2860</v>
      </c>
      <c r="C390" s="9" t="str">
        <f t="shared" si="76"/>
        <v>Прочие кредиторы по банковской деятельности</v>
      </c>
      <c r="D390" s="8" t="str">
        <f t="shared" si="74"/>
        <v>1</v>
      </c>
      <c r="E390" s="8" t="str">
        <f>"4"</f>
        <v>4</v>
      </c>
      <c r="F390" s="8" t="str">
        <f>"1"</f>
        <v>1</v>
      </c>
      <c r="G390" s="10">
        <v>1987768465.17</v>
      </c>
    </row>
    <row r="391" spans="1:7" s="11" customFormat="1" ht="15">
      <c r="A391" s="7">
        <v>45380</v>
      </c>
      <c r="B391" s="8" t="str">
        <f t="shared" si="75"/>
        <v>2860</v>
      </c>
      <c r="C391" s="9" t="str">
        <f t="shared" si="76"/>
        <v>Прочие кредиторы по банковской деятельности</v>
      </c>
      <c r="D391" s="8" t="str">
        <f t="shared" si="74"/>
        <v>1</v>
      </c>
      <c r="E391" s="8" t="str">
        <f>"4"</f>
        <v>4</v>
      </c>
      <c r="F391" s="8" t="str">
        <f>"2"</f>
        <v>2</v>
      </c>
      <c r="G391" s="10">
        <v>24138055.44</v>
      </c>
    </row>
    <row r="392" spans="1:7" s="11" customFormat="1" ht="15">
      <c r="A392" s="7">
        <v>45380</v>
      </c>
      <c r="B392" s="8" t="str">
        <f t="shared" si="75"/>
        <v>2860</v>
      </c>
      <c r="C392" s="9" t="str">
        <f t="shared" si="76"/>
        <v>Прочие кредиторы по банковской деятельности</v>
      </c>
      <c r="D392" s="8" t="str">
        <f t="shared" si="74"/>
        <v>1</v>
      </c>
      <c r="E392" s="8" t="str">
        <f>"4"</f>
        <v>4</v>
      </c>
      <c r="F392" s="8" t="str">
        <f>"3"</f>
        <v>3</v>
      </c>
      <c r="G392" s="10">
        <v>2377954.33</v>
      </c>
    </row>
    <row r="393" spans="1:7" s="11" customFormat="1" ht="15">
      <c r="A393" s="7">
        <v>45380</v>
      </c>
      <c r="B393" s="8" t="str">
        <f t="shared" si="75"/>
        <v>2860</v>
      </c>
      <c r="C393" s="9" t="str">
        <f t="shared" si="76"/>
        <v>Прочие кредиторы по банковской деятельности</v>
      </c>
      <c r="D393" s="8" t="str">
        <f t="shared" si="74"/>
        <v>1</v>
      </c>
      <c r="E393" s="8" t="str">
        <f>"5"</f>
        <v>5</v>
      </c>
      <c r="F393" s="8" t="str">
        <f>"1"</f>
        <v>1</v>
      </c>
      <c r="G393" s="10">
        <v>757056515.48</v>
      </c>
    </row>
    <row r="394" spans="1:7" s="11" customFormat="1" ht="15">
      <c r="A394" s="7">
        <v>45380</v>
      </c>
      <c r="B394" s="8" t="str">
        <f t="shared" si="75"/>
        <v>2860</v>
      </c>
      <c r="C394" s="9" t="str">
        <f t="shared" si="76"/>
        <v>Прочие кредиторы по банковской деятельности</v>
      </c>
      <c r="D394" s="8" t="str">
        <f t="shared" si="74"/>
        <v>1</v>
      </c>
      <c r="E394" s="8" t="str">
        <f>"6"</f>
        <v>6</v>
      </c>
      <c r="F394" s="8" t="str">
        <f>"1"</f>
        <v>1</v>
      </c>
      <c r="G394" s="10">
        <v>1026651.83</v>
      </c>
    </row>
    <row r="395" spans="1:7" s="11" customFormat="1" ht="15">
      <c r="A395" s="7">
        <v>45380</v>
      </c>
      <c r="B395" s="8" t="str">
        <f t="shared" si="75"/>
        <v>2860</v>
      </c>
      <c r="C395" s="9" t="str">
        <f t="shared" si="76"/>
        <v>Прочие кредиторы по банковской деятельности</v>
      </c>
      <c r="D395" s="8" t="str">
        <f t="shared" si="74"/>
        <v>1</v>
      </c>
      <c r="E395" s="8" t="str">
        <f>"7"</f>
        <v>7</v>
      </c>
      <c r="F395" s="8" t="str">
        <f>"1"</f>
        <v>1</v>
      </c>
      <c r="G395" s="10">
        <v>28668896.32</v>
      </c>
    </row>
    <row r="396" spans="1:7" s="11" customFormat="1" ht="15">
      <c r="A396" s="7">
        <v>45380</v>
      </c>
      <c r="B396" s="8" t="str">
        <f t="shared" si="75"/>
        <v>2860</v>
      </c>
      <c r="C396" s="9" t="str">
        <f t="shared" si="76"/>
        <v>Прочие кредиторы по банковской деятельности</v>
      </c>
      <c r="D396" s="8" t="str">
        <f t="shared" si="74"/>
        <v>1</v>
      </c>
      <c r="E396" s="8" t="str">
        <f>"9"</f>
        <v>9</v>
      </c>
      <c r="F396" s="8" t="str">
        <f>"1"</f>
        <v>1</v>
      </c>
      <c r="G396" s="10">
        <v>283594198.47</v>
      </c>
    </row>
    <row r="397" spans="1:7" s="11" customFormat="1" ht="15">
      <c r="A397" s="7">
        <v>45380</v>
      </c>
      <c r="B397" s="8" t="str">
        <f t="shared" si="75"/>
        <v>2860</v>
      </c>
      <c r="C397" s="9" t="str">
        <f t="shared" si="76"/>
        <v>Прочие кредиторы по банковской деятельности</v>
      </c>
      <c r="D397" s="8" t="str">
        <f t="shared" si="74"/>
        <v>1</v>
      </c>
      <c r="E397" s="8" t="str">
        <f>"9"</f>
        <v>9</v>
      </c>
      <c r="F397" s="8" t="str">
        <f>"2"</f>
        <v>2</v>
      </c>
      <c r="G397" s="10">
        <v>99673645.84</v>
      </c>
    </row>
    <row r="398" spans="1:7" s="11" customFormat="1" ht="15">
      <c r="A398" s="7">
        <v>45380</v>
      </c>
      <c r="B398" s="8" t="str">
        <f t="shared" si="75"/>
        <v>2860</v>
      </c>
      <c r="C398" s="9" t="str">
        <f t="shared" si="76"/>
        <v>Прочие кредиторы по банковской деятельности</v>
      </c>
      <c r="D398" s="8" t="str">
        <f t="shared" si="74"/>
        <v>1</v>
      </c>
      <c r="E398" s="8" t="str">
        <f>"9"</f>
        <v>9</v>
      </c>
      <c r="F398" s="8" t="str">
        <f>"3"</f>
        <v>3</v>
      </c>
      <c r="G398" s="10">
        <v>6363320.65</v>
      </c>
    </row>
    <row r="399" spans="1:7" s="11" customFormat="1" ht="15">
      <c r="A399" s="7">
        <v>45380</v>
      </c>
      <c r="B399" s="8" t="str">
        <f t="shared" si="75"/>
        <v>2860</v>
      </c>
      <c r="C399" s="9" t="str">
        <f t="shared" si="76"/>
        <v>Прочие кредиторы по банковской деятельности</v>
      </c>
      <c r="D399" s="8" t="str">
        <f>"2"</f>
        <v>2</v>
      </c>
      <c r="E399" s="8" t="str">
        <f>"5"</f>
        <v>5</v>
      </c>
      <c r="F399" s="8" t="str">
        <f>"2"</f>
        <v>2</v>
      </c>
      <c r="G399" s="10">
        <v>240905000</v>
      </c>
    </row>
    <row r="400" spans="1:7" s="11" customFormat="1" ht="15">
      <c r="A400" s="7">
        <v>45380</v>
      </c>
      <c r="B400" s="8" t="str">
        <f t="shared" si="75"/>
        <v>2860</v>
      </c>
      <c r="C400" s="9" t="str">
        <f t="shared" si="76"/>
        <v>Прочие кредиторы по банковской деятельности</v>
      </c>
      <c r="D400" s="8" t="str">
        <f>"2"</f>
        <v>2</v>
      </c>
      <c r="E400" s="8" t="str">
        <f>"9"</f>
        <v>9</v>
      </c>
      <c r="F400" s="8" t="str">
        <f>"1"</f>
        <v>1</v>
      </c>
      <c r="G400" s="10">
        <v>4859543.35</v>
      </c>
    </row>
    <row r="401" spans="1:7" s="11" customFormat="1" ht="15">
      <c r="A401" s="7">
        <v>45380</v>
      </c>
      <c r="B401" s="8" t="str">
        <f t="shared" si="75"/>
        <v>2860</v>
      </c>
      <c r="C401" s="9" t="str">
        <f t="shared" si="76"/>
        <v>Прочие кредиторы по банковской деятельности</v>
      </c>
      <c r="D401" s="8" t="str">
        <f>"2"</f>
        <v>2</v>
      </c>
      <c r="E401" s="8" t="str">
        <f>"9"</f>
        <v>9</v>
      </c>
      <c r="F401" s="8" t="str">
        <f>"2"</f>
        <v>2</v>
      </c>
      <c r="G401" s="10">
        <v>1515251.97</v>
      </c>
    </row>
    <row r="402" spans="1:7" s="11" customFormat="1" ht="15">
      <c r="A402" s="7">
        <v>45380</v>
      </c>
      <c r="B402" s="8" t="str">
        <f t="shared" si="75"/>
        <v>2860</v>
      </c>
      <c r="C402" s="9" t="str">
        <f t="shared" si="76"/>
        <v>Прочие кредиторы по банковской деятельности</v>
      </c>
      <c r="D402" s="8" t="str">
        <f>"2"</f>
        <v>2</v>
      </c>
      <c r="E402" s="8" t="str">
        <f>"9"</f>
        <v>9</v>
      </c>
      <c r="F402" s="8" t="str">
        <f>"3"</f>
        <v>3</v>
      </c>
      <c r="G402" s="10">
        <v>90004.25</v>
      </c>
    </row>
    <row r="403" spans="1:7" s="11" customFormat="1" ht="15">
      <c r="A403" s="7">
        <v>45380</v>
      </c>
      <c r="B403" s="8" t="str">
        <f>"2861"</f>
        <v>2861</v>
      </c>
      <c r="C403" s="9" t="str">
        <f>"Резерв на отпускные выплаты"</f>
        <v>Резерв на отпускные выплаты</v>
      </c>
      <c r="D403" s="8">
        <f>""</f>
      </c>
      <c r="E403" s="8">
        <f>""</f>
      </c>
      <c r="F403" s="8">
        <f>""</f>
      </c>
      <c r="G403" s="10">
        <v>3376642624.67</v>
      </c>
    </row>
    <row r="404" spans="1:7" s="11" customFormat="1" ht="15">
      <c r="A404" s="7">
        <v>45380</v>
      </c>
      <c r="B404" s="8" t="str">
        <f>"2867"</f>
        <v>2867</v>
      </c>
      <c r="C404" s="9" t="str">
        <f>"Прочие кредиторы по неосновной деятельности"</f>
        <v>Прочие кредиторы по неосновной деятельности</v>
      </c>
      <c r="D404" s="8" t="str">
        <f aca="true" t="shared" si="77" ref="D404:D412">"1"</f>
        <v>1</v>
      </c>
      <c r="E404" s="8" t="str">
        <f>"7"</f>
        <v>7</v>
      </c>
      <c r="F404" s="8" t="str">
        <f>"1"</f>
        <v>1</v>
      </c>
      <c r="G404" s="10">
        <v>5345715.47</v>
      </c>
    </row>
    <row r="405" spans="1:7" s="11" customFormat="1" ht="15">
      <c r="A405" s="7">
        <v>45380</v>
      </c>
      <c r="B405" s="8" t="str">
        <f>"2867"</f>
        <v>2867</v>
      </c>
      <c r="C405" s="9" t="str">
        <f>"Прочие кредиторы по неосновной деятельности"</f>
        <v>Прочие кредиторы по неосновной деятельности</v>
      </c>
      <c r="D405" s="8" t="str">
        <f t="shared" si="77"/>
        <v>1</v>
      </c>
      <c r="E405" s="8" t="str">
        <f>"9"</f>
        <v>9</v>
      </c>
      <c r="F405" s="8" t="str">
        <f>"1"</f>
        <v>1</v>
      </c>
      <c r="G405" s="10">
        <v>356850.18</v>
      </c>
    </row>
    <row r="406" spans="1:7" s="11" customFormat="1" ht="15">
      <c r="A406" s="7">
        <v>45380</v>
      </c>
      <c r="B406" s="8" t="str">
        <f aca="true" t="shared" si="78" ref="B406:B413">"2869"</f>
        <v>2869</v>
      </c>
      <c r="C406" s="9" t="str">
        <f aca="true" t="shared" si="79" ref="C406:C413">"Выданные гарантии"</f>
        <v>Выданные гарантии</v>
      </c>
      <c r="D406" s="8" t="str">
        <f t="shared" si="77"/>
        <v>1</v>
      </c>
      <c r="E406" s="8" t="str">
        <f>"5"</f>
        <v>5</v>
      </c>
      <c r="F406" s="8" t="str">
        <f>"1"</f>
        <v>1</v>
      </c>
      <c r="G406" s="10">
        <v>12800000</v>
      </c>
    </row>
    <row r="407" spans="1:7" s="11" customFormat="1" ht="15">
      <c r="A407" s="7">
        <v>45380</v>
      </c>
      <c r="B407" s="8" t="str">
        <f t="shared" si="78"/>
        <v>2869</v>
      </c>
      <c r="C407" s="9" t="str">
        <f t="shared" si="79"/>
        <v>Выданные гарантии</v>
      </c>
      <c r="D407" s="8" t="str">
        <f t="shared" si="77"/>
        <v>1</v>
      </c>
      <c r="E407" s="8" t="str">
        <f>"5"</f>
        <v>5</v>
      </c>
      <c r="F407" s="8" t="str">
        <f>"2"</f>
        <v>2</v>
      </c>
      <c r="G407" s="10">
        <v>1030408.71</v>
      </c>
    </row>
    <row r="408" spans="1:7" s="11" customFormat="1" ht="15">
      <c r="A408" s="7">
        <v>45380</v>
      </c>
      <c r="B408" s="8" t="str">
        <f t="shared" si="78"/>
        <v>2869</v>
      </c>
      <c r="C408" s="9" t="str">
        <f t="shared" si="79"/>
        <v>Выданные гарантии</v>
      </c>
      <c r="D408" s="8" t="str">
        <f t="shared" si="77"/>
        <v>1</v>
      </c>
      <c r="E408" s="8" t="str">
        <f>"7"</f>
        <v>7</v>
      </c>
      <c r="F408" s="8" t="str">
        <f>"1"</f>
        <v>1</v>
      </c>
      <c r="G408" s="10">
        <v>1201702971.68</v>
      </c>
    </row>
    <row r="409" spans="1:7" s="11" customFormat="1" ht="15">
      <c r="A409" s="7">
        <v>45380</v>
      </c>
      <c r="B409" s="8" t="str">
        <f t="shared" si="78"/>
        <v>2869</v>
      </c>
      <c r="C409" s="9" t="str">
        <f t="shared" si="79"/>
        <v>Выданные гарантии</v>
      </c>
      <c r="D409" s="8" t="str">
        <f t="shared" si="77"/>
        <v>1</v>
      </c>
      <c r="E409" s="8" t="str">
        <f>"7"</f>
        <v>7</v>
      </c>
      <c r="F409" s="8" t="str">
        <f>"2"</f>
        <v>2</v>
      </c>
      <c r="G409" s="10">
        <v>18521711.68</v>
      </c>
    </row>
    <row r="410" spans="1:7" s="11" customFormat="1" ht="15">
      <c r="A410" s="7">
        <v>45380</v>
      </c>
      <c r="B410" s="8" t="str">
        <f t="shared" si="78"/>
        <v>2869</v>
      </c>
      <c r="C410" s="9" t="str">
        <f t="shared" si="79"/>
        <v>Выданные гарантии</v>
      </c>
      <c r="D410" s="8" t="str">
        <f t="shared" si="77"/>
        <v>1</v>
      </c>
      <c r="E410" s="8" t="str">
        <f>"7"</f>
        <v>7</v>
      </c>
      <c r="F410" s="8" t="str">
        <f>"3"</f>
        <v>3</v>
      </c>
      <c r="G410" s="10">
        <v>153912</v>
      </c>
    </row>
    <row r="411" spans="1:7" s="11" customFormat="1" ht="15">
      <c r="A411" s="7">
        <v>45380</v>
      </c>
      <c r="B411" s="8" t="str">
        <f t="shared" si="78"/>
        <v>2869</v>
      </c>
      <c r="C411" s="9" t="str">
        <f t="shared" si="79"/>
        <v>Выданные гарантии</v>
      </c>
      <c r="D411" s="8" t="str">
        <f t="shared" si="77"/>
        <v>1</v>
      </c>
      <c r="E411" s="8" t="str">
        <f>"8"</f>
        <v>8</v>
      </c>
      <c r="F411" s="8" t="str">
        <f>"1"</f>
        <v>1</v>
      </c>
      <c r="G411" s="10">
        <v>39404.71</v>
      </c>
    </row>
    <row r="412" spans="1:7" s="11" customFormat="1" ht="15">
      <c r="A412" s="7">
        <v>45380</v>
      </c>
      <c r="B412" s="8" t="str">
        <f t="shared" si="78"/>
        <v>2869</v>
      </c>
      <c r="C412" s="9" t="str">
        <f t="shared" si="79"/>
        <v>Выданные гарантии</v>
      </c>
      <c r="D412" s="8" t="str">
        <f t="shared" si="77"/>
        <v>1</v>
      </c>
      <c r="E412" s="8" t="str">
        <f>"9"</f>
        <v>9</v>
      </c>
      <c r="F412" s="8" t="str">
        <f>"1"</f>
        <v>1</v>
      </c>
      <c r="G412" s="10">
        <v>2018079.29</v>
      </c>
    </row>
    <row r="413" spans="1:7" s="11" customFormat="1" ht="15">
      <c r="A413" s="7">
        <v>45380</v>
      </c>
      <c r="B413" s="8" t="str">
        <f t="shared" si="78"/>
        <v>2869</v>
      </c>
      <c r="C413" s="9" t="str">
        <f t="shared" si="79"/>
        <v>Выданные гарантии</v>
      </c>
      <c r="D413" s="8" t="str">
        <f>"2"</f>
        <v>2</v>
      </c>
      <c r="E413" s="8" t="str">
        <f>"7"</f>
        <v>7</v>
      </c>
      <c r="F413" s="8" t="str">
        <f>"1"</f>
        <v>1</v>
      </c>
      <c r="G413" s="10">
        <v>174671.58</v>
      </c>
    </row>
    <row r="414" spans="1:7" s="11" customFormat="1" ht="15">
      <c r="A414" s="7">
        <v>45380</v>
      </c>
      <c r="B414" s="8" t="str">
        <f aca="true" t="shared" si="80" ref="B414:B424">"2870"</f>
        <v>2870</v>
      </c>
      <c r="C414" s="9" t="str">
        <f aca="true" t="shared" si="81" ref="C414:C424">"Прочие транзитные счета"</f>
        <v>Прочие транзитные счета</v>
      </c>
      <c r="D414" s="8" t="str">
        <f>"1"</f>
        <v>1</v>
      </c>
      <c r="E414" s="8" t="str">
        <f>"1"</f>
        <v>1</v>
      </c>
      <c r="F414" s="8" t="str">
        <f>"1"</f>
        <v>1</v>
      </c>
      <c r="G414" s="10">
        <v>14845607.23</v>
      </c>
    </row>
    <row r="415" spans="1:7" s="11" customFormat="1" ht="15">
      <c r="A415" s="7">
        <v>45380</v>
      </c>
      <c r="B415" s="8" t="str">
        <f t="shared" si="80"/>
        <v>2870</v>
      </c>
      <c r="C415" s="9" t="str">
        <f t="shared" si="81"/>
        <v>Прочие транзитные счета</v>
      </c>
      <c r="D415" s="8" t="str">
        <f aca="true" t="shared" si="82" ref="D415:D423">"1"</f>
        <v>1</v>
      </c>
      <c r="E415" s="8" t="str">
        <f>"4"</f>
        <v>4</v>
      </c>
      <c r="F415" s="8" t="str">
        <f>"1"</f>
        <v>1</v>
      </c>
      <c r="G415" s="10">
        <v>4806964806.48</v>
      </c>
    </row>
    <row r="416" spans="1:7" s="11" customFormat="1" ht="15">
      <c r="A416" s="7">
        <v>45380</v>
      </c>
      <c r="B416" s="8" t="str">
        <f t="shared" si="80"/>
        <v>2870</v>
      </c>
      <c r="C416" s="9" t="str">
        <f t="shared" si="81"/>
        <v>Прочие транзитные счета</v>
      </c>
      <c r="D416" s="8" t="str">
        <f t="shared" si="82"/>
        <v>1</v>
      </c>
      <c r="E416" s="8" t="str">
        <f>"4"</f>
        <v>4</v>
      </c>
      <c r="F416" s="8" t="str">
        <f>"2"</f>
        <v>2</v>
      </c>
      <c r="G416" s="10">
        <v>46867371.8</v>
      </c>
    </row>
    <row r="417" spans="1:7" s="11" customFormat="1" ht="15">
      <c r="A417" s="7">
        <v>45380</v>
      </c>
      <c r="B417" s="8" t="str">
        <f t="shared" si="80"/>
        <v>2870</v>
      </c>
      <c r="C417" s="9" t="str">
        <f t="shared" si="81"/>
        <v>Прочие транзитные счета</v>
      </c>
      <c r="D417" s="8" t="str">
        <f t="shared" si="82"/>
        <v>1</v>
      </c>
      <c r="E417" s="8" t="str">
        <f>"4"</f>
        <v>4</v>
      </c>
      <c r="F417" s="8" t="str">
        <f>"3"</f>
        <v>3</v>
      </c>
      <c r="G417" s="10">
        <v>137113683.37</v>
      </c>
    </row>
    <row r="418" spans="1:7" s="11" customFormat="1" ht="15">
      <c r="A418" s="7">
        <v>45380</v>
      </c>
      <c r="B418" s="8" t="str">
        <f t="shared" si="80"/>
        <v>2870</v>
      </c>
      <c r="C418" s="9" t="str">
        <f t="shared" si="81"/>
        <v>Прочие транзитные счета</v>
      </c>
      <c r="D418" s="8" t="str">
        <f t="shared" si="82"/>
        <v>1</v>
      </c>
      <c r="E418" s="8" t="str">
        <f>"5"</f>
        <v>5</v>
      </c>
      <c r="F418" s="8" t="str">
        <f>"1"</f>
        <v>1</v>
      </c>
      <c r="G418" s="10">
        <v>32126232</v>
      </c>
    </row>
    <row r="419" spans="1:7" s="11" customFormat="1" ht="15">
      <c r="A419" s="7">
        <v>45380</v>
      </c>
      <c r="B419" s="8" t="str">
        <f t="shared" si="80"/>
        <v>2870</v>
      </c>
      <c r="C419" s="9" t="str">
        <f t="shared" si="81"/>
        <v>Прочие транзитные счета</v>
      </c>
      <c r="D419" s="8" t="str">
        <f t="shared" si="82"/>
        <v>1</v>
      </c>
      <c r="E419" s="8" t="str">
        <f>"6"</f>
        <v>6</v>
      </c>
      <c r="F419" s="8" t="str">
        <f>"1"</f>
        <v>1</v>
      </c>
      <c r="G419" s="10">
        <v>950</v>
      </c>
    </row>
    <row r="420" spans="1:7" s="11" customFormat="1" ht="15">
      <c r="A420" s="7">
        <v>45380</v>
      </c>
      <c r="B420" s="8" t="str">
        <f t="shared" si="80"/>
        <v>2870</v>
      </c>
      <c r="C420" s="9" t="str">
        <f t="shared" si="81"/>
        <v>Прочие транзитные счета</v>
      </c>
      <c r="D420" s="8" t="str">
        <f t="shared" si="82"/>
        <v>1</v>
      </c>
      <c r="E420" s="8" t="str">
        <f>"7"</f>
        <v>7</v>
      </c>
      <c r="F420" s="8" t="str">
        <f>"1"</f>
        <v>1</v>
      </c>
      <c r="G420" s="10">
        <v>216240367.05</v>
      </c>
    </row>
    <row r="421" spans="1:7" s="11" customFormat="1" ht="15">
      <c r="A421" s="7">
        <v>45380</v>
      </c>
      <c r="B421" s="8" t="str">
        <f t="shared" si="80"/>
        <v>2870</v>
      </c>
      <c r="C421" s="9" t="str">
        <f t="shared" si="81"/>
        <v>Прочие транзитные счета</v>
      </c>
      <c r="D421" s="8" t="str">
        <f t="shared" si="82"/>
        <v>1</v>
      </c>
      <c r="E421" s="8" t="str">
        <f>"9"</f>
        <v>9</v>
      </c>
      <c r="F421" s="8" t="str">
        <f>"1"</f>
        <v>1</v>
      </c>
      <c r="G421" s="10">
        <v>2163405341.69</v>
      </c>
    </row>
    <row r="422" spans="1:7" s="11" customFormat="1" ht="15">
      <c r="A422" s="7">
        <v>45380</v>
      </c>
      <c r="B422" s="8" t="str">
        <f t="shared" si="80"/>
        <v>2870</v>
      </c>
      <c r="C422" s="9" t="str">
        <f t="shared" si="81"/>
        <v>Прочие транзитные счета</v>
      </c>
      <c r="D422" s="8" t="str">
        <f t="shared" si="82"/>
        <v>1</v>
      </c>
      <c r="E422" s="8" t="str">
        <f>"9"</f>
        <v>9</v>
      </c>
      <c r="F422" s="8" t="str">
        <f>"2"</f>
        <v>2</v>
      </c>
      <c r="G422" s="10">
        <v>537816456.74</v>
      </c>
    </row>
    <row r="423" spans="1:7" s="11" customFormat="1" ht="15">
      <c r="A423" s="7">
        <v>45380</v>
      </c>
      <c r="B423" s="8" t="str">
        <f t="shared" si="80"/>
        <v>2870</v>
      </c>
      <c r="C423" s="9" t="str">
        <f t="shared" si="81"/>
        <v>Прочие транзитные счета</v>
      </c>
      <c r="D423" s="8" t="str">
        <f t="shared" si="82"/>
        <v>1</v>
      </c>
      <c r="E423" s="8" t="str">
        <f>"9"</f>
        <v>9</v>
      </c>
      <c r="F423" s="8" t="str">
        <f>"3"</f>
        <v>3</v>
      </c>
      <c r="G423" s="10">
        <v>423798167.14</v>
      </c>
    </row>
    <row r="424" spans="1:7" s="11" customFormat="1" ht="15">
      <c r="A424" s="7">
        <v>45380</v>
      </c>
      <c r="B424" s="8" t="str">
        <f t="shared" si="80"/>
        <v>2870</v>
      </c>
      <c r="C424" s="9" t="str">
        <f t="shared" si="81"/>
        <v>Прочие транзитные счета</v>
      </c>
      <c r="D424" s="8" t="str">
        <f>"2"</f>
        <v>2</v>
      </c>
      <c r="E424" s="8" t="str">
        <f>"9"</f>
        <v>9</v>
      </c>
      <c r="F424" s="8" t="str">
        <f>"2"</f>
        <v>2</v>
      </c>
      <c r="G424" s="10">
        <v>24477680.86</v>
      </c>
    </row>
    <row r="425" spans="1:7" s="11" customFormat="1" ht="15">
      <c r="A425" s="7">
        <v>45380</v>
      </c>
      <c r="B425" s="8" t="str">
        <f>"2874"</f>
        <v>2874</v>
      </c>
      <c r="C425" s="9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D425" s="8" t="str">
        <f>"1"</f>
        <v>1</v>
      </c>
      <c r="E425" s="8">
        <f>""</f>
      </c>
      <c r="F425" s="8" t="str">
        <f aca="true" t="shared" si="83" ref="F425:F431">"1"</f>
        <v>1</v>
      </c>
      <c r="G425" s="10">
        <v>17360.93</v>
      </c>
    </row>
    <row r="426" spans="1:7" s="11" customFormat="1" ht="15">
      <c r="A426" s="7">
        <v>45380</v>
      </c>
      <c r="B426" s="8" t="str">
        <f>"2875"</f>
        <v>2875</v>
      </c>
      <c r="C426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6" s="8" t="str">
        <f>"1"</f>
        <v>1</v>
      </c>
      <c r="E426" s="8" t="str">
        <f>"5"</f>
        <v>5</v>
      </c>
      <c r="F426" s="8" t="str">
        <f t="shared" si="83"/>
        <v>1</v>
      </c>
      <c r="G426" s="10">
        <v>163050000</v>
      </c>
    </row>
    <row r="427" spans="1:7" s="11" customFormat="1" ht="15">
      <c r="A427" s="7">
        <v>45380</v>
      </c>
      <c r="B427" s="8" t="str">
        <f>"2875"</f>
        <v>2875</v>
      </c>
      <c r="C427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7" s="8" t="str">
        <f>"1"</f>
        <v>1</v>
      </c>
      <c r="E427" s="8" t="str">
        <f>"7"</f>
        <v>7</v>
      </c>
      <c r="F427" s="8" t="str">
        <f t="shared" si="83"/>
        <v>1</v>
      </c>
      <c r="G427" s="10">
        <v>5173879043.65</v>
      </c>
    </row>
    <row r="428" spans="1:7" s="11" customFormat="1" ht="15">
      <c r="A428" s="7">
        <v>45380</v>
      </c>
      <c r="B428" s="8" t="str">
        <f>"2875"</f>
        <v>2875</v>
      </c>
      <c r="C428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8" s="8" t="str">
        <f>"1"</f>
        <v>1</v>
      </c>
      <c r="E428" s="8" t="str">
        <f>"9"</f>
        <v>9</v>
      </c>
      <c r="F428" s="8" t="str">
        <f t="shared" si="83"/>
        <v>1</v>
      </c>
      <c r="G428" s="10">
        <v>153611211.95</v>
      </c>
    </row>
    <row r="429" spans="1:7" s="11" customFormat="1" ht="15">
      <c r="A429" s="7">
        <v>45380</v>
      </c>
      <c r="B429" s="8" t="str">
        <f>"2875"</f>
        <v>2875</v>
      </c>
      <c r="C429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29" s="8" t="str">
        <f>"2"</f>
        <v>2</v>
      </c>
      <c r="E429" s="8" t="str">
        <f>"7"</f>
        <v>7</v>
      </c>
      <c r="F429" s="8" t="str">
        <f t="shared" si="83"/>
        <v>1</v>
      </c>
      <c r="G429" s="10">
        <v>0</v>
      </c>
    </row>
    <row r="430" spans="1:7" s="11" customFormat="1" ht="15">
      <c r="A430" s="7">
        <v>45380</v>
      </c>
      <c r="B430" s="8" t="str">
        <f>"2875"</f>
        <v>2875</v>
      </c>
      <c r="C430" s="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D430" s="8" t="str">
        <f>"2"</f>
        <v>2</v>
      </c>
      <c r="E430" s="8" t="str">
        <f>"9"</f>
        <v>9</v>
      </c>
      <c r="F430" s="8" t="str">
        <f t="shared" si="83"/>
        <v>1</v>
      </c>
      <c r="G430" s="10">
        <v>0</v>
      </c>
    </row>
    <row r="431" spans="1:7" s="11" customFormat="1" ht="15">
      <c r="A431" s="7">
        <v>45380</v>
      </c>
      <c r="B431" s="8" t="str">
        <f>"2880"</f>
        <v>2880</v>
      </c>
      <c r="C431" s="9" t="str">
        <f>"Обязательства по секьюритизируемым активам"</f>
        <v>Обязательства по секьюритизируемым активам</v>
      </c>
      <c r="D431" s="8" t="str">
        <f>"1"</f>
        <v>1</v>
      </c>
      <c r="E431" s="8">
        <f>""</f>
      </c>
      <c r="F431" s="8" t="str">
        <f t="shared" si="83"/>
        <v>1</v>
      </c>
      <c r="G431" s="10">
        <v>303561956911.85</v>
      </c>
    </row>
    <row r="432" spans="1:7" s="11" customFormat="1" ht="15">
      <c r="A432" s="7">
        <v>45380</v>
      </c>
      <c r="B432" s="8" t="str">
        <f>"2892"</f>
        <v>2892</v>
      </c>
      <c r="C432" s="9" t="str">
        <f>"Обязательства по операциям форвард"</f>
        <v>Обязательства по операциям форвард</v>
      </c>
      <c r="D432" s="8" t="str">
        <f>"1"</f>
        <v>1</v>
      </c>
      <c r="E432" s="8" t="str">
        <f>"4"</f>
        <v>4</v>
      </c>
      <c r="F432" s="8" t="str">
        <f>"2"</f>
        <v>2</v>
      </c>
      <c r="G432" s="10">
        <v>1373388.32</v>
      </c>
    </row>
    <row r="433" spans="1:7" s="11" customFormat="1" ht="15">
      <c r="A433" s="7">
        <v>45380</v>
      </c>
      <c r="B433" s="8" t="str">
        <f>"2894"</f>
        <v>2894</v>
      </c>
      <c r="C433" s="9" t="str">
        <f>"Обязательства по операциям спот"</f>
        <v>Обязательства по операциям спот</v>
      </c>
      <c r="D433" s="8" t="str">
        <f>"1"</f>
        <v>1</v>
      </c>
      <c r="E433" s="8" t="str">
        <f>"4"</f>
        <v>4</v>
      </c>
      <c r="F433" s="8" t="str">
        <f>"2"</f>
        <v>2</v>
      </c>
      <c r="G433" s="10">
        <v>297337004.58</v>
      </c>
    </row>
    <row r="434" spans="1:7" s="11" customFormat="1" ht="15">
      <c r="A434" s="7">
        <v>45380</v>
      </c>
      <c r="B434" s="8" t="str">
        <f>"2894"</f>
        <v>2894</v>
      </c>
      <c r="C434" s="9" t="str">
        <f>"Обязательства по операциям спот"</f>
        <v>Обязательства по операциям спот</v>
      </c>
      <c r="D434" s="8" t="str">
        <f>"1"</f>
        <v>1</v>
      </c>
      <c r="E434" s="8" t="str">
        <f>"5"</f>
        <v>5</v>
      </c>
      <c r="F434" s="8" t="str">
        <f>"1"</f>
        <v>1</v>
      </c>
      <c r="G434" s="10">
        <v>3260893150</v>
      </c>
    </row>
    <row r="435" spans="1:7" s="11" customFormat="1" ht="15">
      <c r="A435" s="7">
        <v>45380</v>
      </c>
      <c r="B435" s="8" t="str">
        <f>"2894"</f>
        <v>2894</v>
      </c>
      <c r="C435" s="9" t="str">
        <f>"Обязательства по операциям спот"</f>
        <v>Обязательства по операциям спот</v>
      </c>
      <c r="D435" s="8" t="str">
        <f>"2"</f>
        <v>2</v>
      </c>
      <c r="E435" s="8" t="str">
        <f>"4"</f>
        <v>4</v>
      </c>
      <c r="F435" s="8" t="str">
        <f>"3"</f>
        <v>3</v>
      </c>
      <c r="G435" s="10">
        <v>4388668790</v>
      </c>
    </row>
    <row r="436" spans="1:7" s="11" customFormat="1" ht="15">
      <c r="A436" s="7">
        <v>45380</v>
      </c>
      <c r="B436" s="8" t="str">
        <f>"2894"</f>
        <v>2894</v>
      </c>
      <c r="C436" s="9" t="str">
        <f>"Обязательства по операциям спот"</f>
        <v>Обязательства по операциям спот</v>
      </c>
      <c r="D436" s="8" t="str">
        <f>"2"</f>
        <v>2</v>
      </c>
      <c r="E436" s="8" t="str">
        <f>"5"</f>
        <v>5</v>
      </c>
      <c r="F436" s="8" t="str">
        <f>"2"</f>
        <v>2</v>
      </c>
      <c r="G436" s="10">
        <v>160968668.44</v>
      </c>
    </row>
    <row r="437" spans="1:7" s="11" customFormat="1" ht="15">
      <c r="A437" s="7">
        <v>45380</v>
      </c>
      <c r="B437" s="8" t="str">
        <f>"2895"</f>
        <v>2895</v>
      </c>
      <c r="C437" s="9" t="str">
        <f>"Обязательства по операциям своп"</f>
        <v>Обязательства по операциям своп</v>
      </c>
      <c r="D437" s="8" t="str">
        <f>"1"</f>
        <v>1</v>
      </c>
      <c r="E437" s="8" t="str">
        <f>"5"</f>
        <v>5</v>
      </c>
      <c r="F437" s="8" t="str">
        <f>"1"</f>
        <v>1</v>
      </c>
      <c r="G437" s="10">
        <v>28260000</v>
      </c>
    </row>
    <row r="438" spans="1:7" s="11" customFormat="1" ht="15">
      <c r="A438" s="7">
        <v>45380</v>
      </c>
      <c r="B438" s="8" t="str">
        <f>"3001"</f>
        <v>3001</v>
      </c>
      <c r="C438" s="9" t="str">
        <f>"Уставный капитал – простые акции"</f>
        <v>Уставный капитал – простые акции</v>
      </c>
      <c r="D438" s="8">
        <f>""</f>
      </c>
      <c r="E438" s="8">
        <f>""</f>
      </c>
      <c r="F438" s="8">
        <f>""</f>
      </c>
      <c r="G438" s="10">
        <v>51500000932</v>
      </c>
    </row>
    <row r="439" spans="1:7" s="11" customFormat="1" ht="15">
      <c r="A439" s="7">
        <v>45380</v>
      </c>
      <c r="B439" s="8" t="str">
        <f>"3510"</f>
        <v>3510</v>
      </c>
      <c r="C439" s="9" t="str">
        <f>"Резервный капитал"</f>
        <v>Резервный капитал</v>
      </c>
      <c r="D439" s="8">
        <f>""</f>
      </c>
      <c r="E439" s="8">
        <f>""</f>
      </c>
      <c r="F439" s="8">
        <f>""</f>
      </c>
      <c r="G439" s="10">
        <v>23893397000</v>
      </c>
    </row>
    <row r="440" spans="1:7" s="11" customFormat="1" ht="15">
      <c r="A440" s="7">
        <v>45380</v>
      </c>
      <c r="B440" s="8" t="str">
        <f>"3561"</f>
        <v>3561</v>
      </c>
      <c r="C440" s="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40" s="8" t="str">
        <f>"1"</f>
        <v>1</v>
      </c>
      <c r="E440" s="8">
        <f>""</f>
      </c>
      <c r="F440" s="8" t="str">
        <f>"1"</f>
        <v>1</v>
      </c>
      <c r="G440" s="10">
        <v>58205054.16</v>
      </c>
    </row>
    <row r="441" spans="1:7" s="11" customFormat="1" ht="15">
      <c r="A441" s="7">
        <v>45380</v>
      </c>
      <c r="B441" s="8" t="str">
        <f>"3561"</f>
        <v>3561</v>
      </c>
      <c r="C441" s="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D441" s="8" t="str">
        <f>"2"</f>
        <v>2</v>
      </c>
      <c r="E441" s="8">
        <f>""</f>
      </c>
      <c r="F441" s="8" t="str">
        <f>"1"</f>
        <v>1</v>
      </c>
      <c r="G441" s="10">
        <v>110929000</v>
      </c>
    </row>
    <row r="442" spans="1:7" s="11" customFormat="1" ht="15">
      <c r="A442" s="7">
        <v>45380</v>
      </c>
      <c r="B442" s="8" t="str">
        <f>"3562"</f>
        <v>3562</v>
      </c>
      <c r="C442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42" s="8" t="str">
        <f>"1"</f>
        <v>1</v>
      </c>
      <c r="E442" s="8">
        <f>""</f>
      </c>
      <c r="F442" s="8" t="str">
        <f>"1"</f>
        <v>1</v>
      </c>
      <c r="G442" s="10">
        <v>29524646.02</v>
      </c>
    </row>
    <row r="443" spans="1:7" s="11" customFormat="1" ht="15">
      <c r="A443" s="7">
        <v>45380</v>
      </c>
      <c r="B443" s="8" t="str">
        <f>"3562"</f>
        <v>3562</v>
      </c>
      <c r="C443" s="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D443" s="8" t="str">
        <f>"2"</f>
        <v>2</v>
      </c>
      <c r="E443" s="8">
        <f>""</f>
      </c>
      <c r="F443" s="8" t="str">
        <f>"1"</f>
        <v>1</v>
      </c>
      <c r="G443" s="10">
        <v>16697018.5</v>
      </c>
    </row>
    <row r="444" spans="1:7" s="11" customFormat="1" ht="15">
      <c r="A444" s="7">
        <v>45380</v>
      </c>
      <c r="B444" s="8" t="str">
        <f>"3580"</f>
        <v>3580</v>
      </c>
      <c r="C444" s="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D444" s="8">
        <f>""</f>
      </c>
      <c r="E444" s="8">
        <f>""</f>
      </c>
      <c r="F444" s="8">
        <f>""</f>
      </c>
      <c r="G444" s="10">
        <v>84512924796.29</v>
      </c>
    </row>
    <row r="445" spans="1:7" s="11" customFormat="1" ht="15">
      <c r="A445" s="7">
        <v>45380</v>
      </c>
      <c r="B445" s="8" t="str">
        <f>"3599"</f>
        <v>3599</v>
      </c>
      <c r="C445" s="9" t="str">
        <f>"Нераспределенная чистая прибыль (непокрытый убыток)"</f>
        <v>Нераспределенная чистая прибыль (непокрытый убыток)</v>
      </c>
      <c r="D445" s="8">
        <f>""</f>
      </c>
      <c r="E445" s="8">
        <f>""</f>
      </c>
      <c r="F445" s="8">
        <f>""</f>
      </c>
      <c r="G445" s="10">
        <v>454457771.4</v>
      </c>
    </row>
    <row r="446" spans="1:7" s="11" customFormat="1" ht="15">
      <c r="A446" s="7">
        <v>45380</v>
      </c>
      <c r="B446" s="8" t="str">
        <f>"4052"</f>
        <v>4052</v>
      </c>
      <c r="C446" s="9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D446" s="8">
        <f>""</f>
      </c>
      <c r="E446" s="8">
        <f>""</f>
      </c>
      <c r="F446" s="8">
        <f>""</f>
      </c>
      <c r="G446" s="10">
        <v>162940687.82</v>
      </c>
    </row>
    <row r="447" spans="1:7" s="11" customFormat="1" ht="15">
      <c r="A447" s="7">
        <v>45380</v>
      </c>
      <c r="B447" s="8" t="str">
        <f>"4101"</f>
        <v>4101</v>
      </c>
      <c r="C447" s="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D447" s="8">
        <f>""</f>
      </c>
      <c r="E447" s="8">
        <f>""</f>
      </c>
      <c r="F447" s="8">
        <f>""</f>
      </c>
      <c r="G447" s="10">
        <v>2963813194.45</v>
      </c>
    </row>
    <row r="448" spans="1:7" s="11" customFormat="1" ht="15">
      <c r="A448" s="7">
        <v>45380</v>
      </c>
      <c r="B448" s="8" t="str">
        <f>"4103"</f>
        <v>4103</v>
      </c>
      <c r="C448" s="9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D448" s="8">
        <f>""</f>
      </c>
      <c r="E448" s="8">
        <f>""</f>
      </c>
      <c r="F448" s="8">
        <f>""</f>
      </c>
      <c r="G448" s="10">
        <v>15565970557.79</v>
      </c>
    </row>
    <row r="449" spans="1:7" s="11" customFormat="1" ht="15">
      <c r="A449" s="7">
        <v>45380</v>
      </c>
      <c r="B449" s="8" t="str">
        <f>"4251"</f>
        <v>4251</v>
      </c>
      <c r="C449" s="9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D449" s="8">
        <f>""</f>
      </c>
      <c r="E449" s="8">
        <f>""</f>
      </c>
      <c r="F449" s="8">
        <f>""</f>
      </c>
      <c r="G449" s="10">
        <v>71335989.09</v>
      </c>
    </row>
    <row r="450" spans="1:7" s="11" customFormat="1" ht="15">
      <c r="A450" s="7">
        <v>45380</v>
      </c>
      <c r="B450" s="8" t="str">
        <f>"4253"</f>
        <v>4253</v>
      </c>
      <c r="C450" s="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D450" s="8">
        <f>""</f>
      </c>
      <c r="E450" s="8">
        <f>""</f>
      </c>
      <c r="F450" s="8">
        <f>""</f>
      </c>
      <c r="G450" s="10">
        <v>315867809.66</v>
      </c>
    </row>
    <row r="451" spans="1:7" s="11" customFormat="1" ht="15">
      <c r="A451" s="7">
        <v>45380</v>
      </c>
      <c r="B451" s="8" t="str">
        <f>"4265"</f>
        <v>4265</v>
      </c>
      <c r="C451" s="9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D451" s="8">
        <f>""</f>
      </c>
      <c r="E451" s="8">
        <f>""</f>
      </c>
      <c r="F451" s="8">
        <f>""</f>
      </c>
      <c r="G451" s="10">
        <v>16397580.48</v>
      </c>
    </row>
    <row r="452" spans="1:7" s="11" customFormat="1" ht="15">
      <c r="A452" s="7">
        <v>45380</v>
      </c>
      <c r="B452" s="8" t="str">
        <f>"4401"</f>
        <v>4401</v>
      </c>
      <c r="C452" s="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D452" s="8">
        <f>""</f>
      </c>
      <c r="E452" s="8">
        <f>""</f>
      </c>
      <c r="F452" s="8">
        <f>""</f>
      </c>
      <c r="G452" s="10">
        <v>43451600.47</v>
      </c>
    </row>
    <row r="453" spans="1:7" s="11" customFormat="1" ht="15">
      <c r="A453" s="7">
        <v>45380</v>
      </c>
      <c r="B453" s="8" t="str">
        <f>"4403"</f>
        <v>4403</v>
      </c>
      <c r="C453" s="9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D453" s="8">
        <f>""</f>
      </c>
      <c r="E453" s="8">
        <f>""</f>
      </c>
      <c r="F453" s="8">
        <f>""</f>
      </c>
      <c r="G453" s="10">
        <v>68702405.35</v>
      </c>
    </row>
    <row r="454" spans="1:7" s="11" customFormat="1" ht="15">
      <c r="A454" s="7">
        <v>45380</v>
      </c>
      <c r="B454" s="8" t="str">
        <f>"4411"</f>
        <v>4411</v>
      </c>
      <c r="C454" s="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D454" s="8">
        <f>""</f>
      </c>
      <c r="E454" s="8">
        <f>""</f>
      </c>
      <c r="F454" s="8">
        <f>""</f>
      </c>
      <c r="G454" s="10">
        <v>7215246456.65</v>
      </c>
    </row>
    <row r="455" spans="1:7" s="11" customFormat="1" ht="15">
      <c r="A455" s="7">
        <v>45380</v>
      </c>
      <c r="B455" s="8" t="str">
        <f>"4417"</f>
        <v>4417</v>
      </c>
      <c r="C455" s="9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D455" s="8">
        <f>""</f>
      </c>
      <c r="E455" s="8">
        <f>""</f>
      </c>
      <c r="F455" s="8">
        <f>""</f>
      </c>
      <c r="G455" s="10">
        <v>47276729000.96</v>
      </c>
    </row>
    <row r="456" spans="1:7" s="11" customFormat="1" ht="15">
      <c r="A456" s="7">
        <v>45380</v>
      </c>
      <c r="B456" s="8" t="str">
        <f>"4424"</f>
        <v>4424</v>
      </c>
      <c r="C456" s="9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D456" s="8">
        <f>""</f>
      </c>
      <c r="E456" s="8">
        <f>""</f>
      </c>
      <c r="F456" s="8">
        <f>""</f>
      </c>
      <c r="G456" s="10">
        <v>838013073.48</v>
      </c>
    </row>
    <row r="457" spans="1:7" s="11" customFormat="1" ht="15">
      <c r="A457" s="7">
        <v>45380</v>
      </c>
      <c r="B457" s="8" t="str">
        <f>"4429"</f>
        <v>4429</v>
      </c>
      <c r="C457" s="9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D457" s="8">
        <f>""</f>
      </c>
      <c r="E457" s="8">
        <f>""</f>
      </c>
      <c r="F457" s="8">
        <f>""</f>
      </c>
      <c r="G457" s="10">
        <v>97753232.42</v>
      </c>
    </row>
    <row r="458" spans="1:7" s="11" customFormat="1" ht="15">
      <c r="A458" s="7">
        <v>45380</v>
      </c>
      <c r="B458" s="8" t="str">
        <f>"4434"</f>
        <v>4434</v>
      </c>
      <c r="C458" s="9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D458" s="8">
        <f>""</f>
      </c>
      <c r="E458" s="8">
        <f>""</f>
      </c>
      <c r="F458" s="8">
        <f>""</f>
      </c>
      <c r="G458" s="10">
        <v>1395722265.58</v>
      </c>
    </row>
    <row r="459" spans="1:7" s="11" customFormat="1" ht="15">
      <c r="A459" s="7">
        <v>45380</v>
      </c>
      <c r="B459" s="8" t="str">
        <f>"4452"</f>
        <v>4452</v>
      </c>
      <c r="C459" s="9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D459" s="8">
        <f>""</f>
      </c>
      <c r="E459" s="8">
        <f>""</f>
      </c>
      <c r="F459" s="8">
        <f>""</f>
      </c>
      <c r="G459" s="10">
        <v>2005512328.76</v>
      </c>
    </row>
    <row r="460" spans="1:7" s="11" customFormat="1" ht="15">
      <c r="A460" s="7">
        <v>45380</v>
      </c>
      <c r="B460" s="8" t="str">
        <f>"4453"</f>
        <v>4453</v>
      </c>
      <c r="C460" s="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D460" s="8">
        <f>""</f>
      </c>
      <c r="E460" s="8">
        <f>""</f>
      </c>
      <c r="F460" s="8">
        <f>""</f>
      </c>
      <c r="G460" s="10">
        <v>212835950.19</v>
      </c>
    </row>
    <row r="461" spans="1:7" s="11" customFormat="1" ht="15">
      <c r="A461" s="7">
        <v>45380</v>
      </c>
      <c r="B461" s="8" t="str">
        <f>"4465"</f>
        <v>4465</v>
      </c>
      <c r="C461" s="9" t="str">
        <f>"Доходы по операциям «РЕПО» с ценными бумагами"</f>
        <v>Доходы по операциям «РЕПО» с ценными бумагами</v>
      </c>
      <c r="D461" s="8">
        <f>""</f>
      </c>
      <c r="E461" s="8">
        <f>""</f>
      </c>
      <c r="F461" s="8">
        <f>""</f>
      </c>
      <c r="G461" s="10">
        <v>3909813520.83</v>
      </c>
    </row>
    <row r="462" spans="1:7" s="11" customFormat="1" ht="15">
      <c r="A462" s="7">
        <v>45380</v>
      </c>
      <c r="B462" s="8" t="str">
        <f>"4530"</f>
        <v>4530</v>
      </c>
      <c r="C462" s="9" t="str">
        <f>"Доходы по купле-продаже иностранной валюты"</f>
        <v>Доходы по купле-продаже иностранной валюты</v>
      </c>
      <c r="D462" s="8">
        <f>""</f>
      </c>
      <c r="E462" s="8">
        <f>""</f>
      </c>
      <c r="F462" s="8">
        <f>""</f>
      </c>
      <c r="G462" s="10">
        <v>4283328555.79</v>
      </c>
    </row>
    <row r="463" spans="1:7" s="11" customFormat="1" ht="15">
      <c r="A463" s="7">
        <v>45380</v>
      </c>
      <c r="B463" s="8" t="str">
        <f>"4540"</f>
        <v>4540</v>
      </c>
      <c r="C463" s="9" t="str">
        <f>"Доходы от продажи аффинированных драгоценных металлов"</f>
        <v>Доходы от продажи аффинированных драгоценных металлов</v>
      </c>
      <c r="D463" s="8">
        <f>""</f>
      </c>
      <c r="E463" s="8">
        <f>""</f>
      </c>
      <c r="F463" s="8">
        <f>""</f>
      </c>
      <c r="G463" s="10">
        <v>888732.96</v>
      </c>
    </row>
    <row r="464" spans="1:7" s="11" customFormat="1" ht="15">
      <c r="A464" s="7">
        <v>45380</v>
      </c>
      <c r="B464" s="8" t="str">
        <f>"4570"</f>
        <v>4570</v>
      </c>
      <c r="C464" s="9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D464" s="8">
        <f>""</f>
      </c>
      <c r="E464" s="8">
        <f>""</f>
      </c>
      <c r="F464" s="8">
        <f>""</f>
      </c>
      <c r="G464" s="10">
        <v>799199.37</v>
      </c>
    </row>
    <row r="465" spans="1:7" s="11" customFormat="1" ht="15">
      <c r="A465" s="7">
        <v>45380</v>
      </c>
      <c r="B465" s="8" t="str">
        <f>"4593"</f>
        <v>4593</v>
      </c>
      <c r="C465" s="9" t="str">
        <f>"Доходы от переоценки операций своп"</f>
        <v>Доходы от переоценки операций своп</v>
      </c>
      <c r="D465" s="8">
        <f>""</f>
      </c>
      <c r="E465" s="8">
        <f>""</f>
      </c>
      <c r="F465" s="8">
        <f>""</f>
      </c>
      <c r="G465" s="10">
        <v>518659.2</v>
      </c>
    </row>
    <row r="466" spans="1:7" s="11" customFormat="1" ht="15">
      <c r="A466" s="7">
        <v>45380</v>
      </c>
      <c r="B466" s="8" t="str">
        <f>"4601"</f>
        <v>4601</v>
      </c>
      <c r="C466" s="9" t="str">
        <f>"Комиссионные доходы за услуги по переводным операциям"</f>
        <v>Комиссионные доходы за услуги по переводным операциям</v>
      </c>
      <c r="D466" s="8">
        <f>""</f>
      </c>
      <c r="E466" s="8">
        <f>""</f>
      </c>
      <c r="F466" s="8">
        <f>""</f>
      </c>
      <c r="G466" s="10">
        <v>280343562.79</v>
      </c>
    </row>
    <row r="467" spans="1:7" s="11" customFormat="1" ht="15">
      <c r="A467" s="7">
        <v>45380</v>
      </c>
      <c r="B467" s="8" t="str">
        <f>"4602"</f>
        <v>4602</v>
      </c>
      <c r="C467" s="9" t="str">
        <f>"Комиссионные доходы за агентские услуги"</f>
        <v>Комиссионные доходы за агентские услуги</v>
      </c>
      <c r="D467" s="8">
        <f>""</f>
      </c>
      <c r="E467" s="8">
        <f>""</f>
      </c>
      <c r="F467" s="8">
        <f>""</f>
      </c>
      <c r="G467" s="10">
        <v>22134396.55</v>
      </c>
    </row>
    <row r="468" spans="1:7" s="11" customFormat="1" ht="15">
      <c r="A468" s="7">
        <v>45380</v>
      </c>
      <c r="B468" s="8" t="str">
        <f>"4604"</f>
        <v>4604</v>
      </c>
      <c r="C468" s="9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D468" s="8">
        <f>""</f>
      </c>
      <c r="E468" s="8">
        <f>""</f>
      </c>
      <c r="F468" s="8">
        <f>""</f>
      </c>
      <c r="G468" s="10">
        <v>56318263.67</v>
      </c>
    </row>
    <row r="469" spans="1:7" s="11" customFormat="1" ht="15">
      <c r="A469" s="7">
        <v>45380</v>
      </c>
      <c r="B469" s="8" t="str">
        <f>"4606"</f>
        <v>4606</v>
      </c>
      <c r="C469" s="9" t="str">
        <f>"Комиссионные доходы за услуги по операциям с гарантиями"</f>
        <v>Комиссионные доходы за услуги по операциям с гарантиями</v>
      </c>
      <c r="D469" s="8">
        <f>""</f>
      </c>
      <c r="E469" s="8">
        <f>""</f>
      </c>
      <c r="F469" s="8">
        <f>""</f>
      </c>
      <c r="G469" s="10">
        <v>276156478.44</v>
      </c>
    </row>
    <row r="470" spans="1:7" s="11" customFormat="1" ht="15">
      <c r="A470" s="7">
        <v>45380</v>
      </c>
      <c r="B470" s="8" t="str">
        <f>"4607"</f>
        <v>4607</v>
      </c>
      <c r="C470" s="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D470" s="8">
        <f>""</f>
      </c>
      <c r="E470" s="8">
        <f>""</f>
      </c>
      <c r="F470" s="8">
        <f>""</f>
      </c>
      <c r="G470" s="10">
        <v>194463328.7</v>
      </c>
    </row>
    <row r="471" spans="1:7" s="11" customFormat="1" ht="15">
      <c r="A471" s="7">
        <v>45380</v>
      </c>
      <c r="B471" s="8" t="str">
        <f>"4608"</f>
        <v>4608</v>
      </c>
      <c r="C471" s="9" t="str">
        <f>"Прочие комиссионные доходы"</f>
        <v>Прочие комиссионные доходы</v>
      </c>
      <c r="D471" s="8">
        <f>""</f>
      </c>
      <c r="E471" s="8">
        <f>""</f>
      </c>
      <c r="F471" s="8">
        <f>""</f>
      </c>
      <c r="G471" s="10">
        <v>3331754489.64</v>
      </c>
    </row>
    <row r="472" spans="1:7" s="11" customFormat="1" ht="15">
      <c r="A472" s="7">
        <v>45380</v>
      </c>
      <c r="B472" s="8" t="str">
        <f>"4609"</f>
        <v>4609</v>
      </c>
      <c r="C472" s="9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D472" s="8">
        <f>""</f>
      </c>
      <c r="E472" s="8">
        <f>""</f>
      </c>
      <c r="F472" s="8">
        <f>""</f>
      </c>
      <c r="G472" s="10">
        <v>23409684.36</v>
      </c>
    </row>
    <row r="473" spans="1:7" s="11" customFormat="1" ht="15">
      <c r="A473" s="7">
        <v>45380</v>
      </c>
      <c r="B473" s="8" t="str">
        <f>"4611"</f>
        <v>4611</v>
      </c>
      <c r="C473" s="9" t="str">
        <f>"Комиссионные доходы за услуги по кассовым операциям"</f>
        <v>Комиссионные доходы за услуги по кассовым операциям</v>
      </c>
      <c r="D473" s="8">
        <f>""</f>
      </c>
      <c r="E473" s="8">
        <f>""</f>
      </c>
      <c r="F473" s="8">
        <f>""</f>
      </c>
      <c r="G473" s="10">
        <v>314935262.38</v>
      </c>
    </row>
    <row r="474" spans="1:7" s="11" customFormat="1" ht="15">
      <c r="A474" s="7">
        <v>45380</v>
      </c>
      <c r="B474" s="8" t="str">
        <f>"4612"</f>
        <v>4612</v>
      </c>
      <c r="C474" s="9" t="str">
        <f>"Комиссионные доходы по документарным расчетам"</f>
        <v>Комиссионные доходы по документарным расчетам</v>
      </c>
      <c r="D474" s="8">
        <f>""</f>
      </c>
      <c r="E474" s="8">
        <f>""</f>
      </c>
      <c r="F474" s="8">
        <f>""</f>
      </c>
      <c r="G474" s="10">
        <v>5685013.32</v>
      </c>
    </row>
    <row r="475" spans="1:7" s="11" customFormat="1" ht="15">
      <c r="A475" s="7">
        <v>45380</v>
      </c>
      <c r="B475" s="8" t="str">
        <f>"4615"</f>
        <v>4615</v>
      </c>
      <c r="C475" s="9" t="str">
        <f>"Комиссионные доходы за услуги по инкассации"</f>
        <v>Комиссионные доходы за услуги по инкассации</v>
      </c>
      <c r="D475" s="8">
        <f>""</f>
      </c>
      <c r="E475" s="8">
        <f>""</f>
      </c>
      <c r="F475" s="8">
        <f>""</f>
      </c>
      <c r="G475" s="10">
        <v>26946197.07</v>
      </c>
    </row>
    <row r="476" spans="1:7" s="11" customFormat="1" ht="15">
      <c r="A476" s="7">
        <v>45380</v>
      </c>
      <c r="B476" s="8" t="str">
        <f>"4616"</f>
        <v>4616</v>
      </c>
      <c r="C476" s="9" t="str">
        <f>"Комиссионные доходы за услуги по купле-продаже аффинированных драгоценных металлов"</f>
        <v>Комиссионные доходы за услуги по купле-продаже аффинированных драгоценных металлов</v>
      </c>
      <c r="D476" s="8">
        <f>""</f>
      </c>
      <c r="E476" s="8">
        <f>""</f>
      </c>
      <c r="F476" s="8">
        <f>""</f>
      </c>
      <c r="G476" s="10">
        <v>19522.92</v>
      </c>
    </row>
    <row r="477" spans="1:7" s="11" customFormat="1" ht="15">
      <c r="A477" s="7">
        <v>45380</v>
      </c>
      <c r="B477" s="8" t="str">
        <f>"4617"</f>
        <v>4617</v>
      </c>
      <c r="C477" s="9" t="str">
        <f>"Комиссионные доходы за услуги по сейфовым операциям"</f>
        <v>Комиссионные доходы за услуги по сейфовым операциям</v>
      </c>
      <c r="D477" s="8">
        <f>""</f>
      </c>
      <c r="E477" s="8">
        <f>""</f>
      </c>
      <c r="F477" s="8">
        <f>""</f>
      </c>
      <c r="G477" s="10">
        <v>25053096.34</v>
      </c>
    </row>
    <row r="478" spans="1:7" s="11" customFormat="1" ht="15">
      <c r="A478" s="7">
        <v>45380</v>
      </c>
      <c r="B478" s="8" t="str">
        <f>"4619"</f>
        <v>4619</v>
      </c>
      <c r="C478" s="9" t="str">
        <f>"Комиссионные доходы за обслуживание платежных карточек"</f>
        <v>Комиссионные доходы за обслуживание платежных карточек</v>
      </c>
      <c r="D478" s="8">
        <f>""</f>
      </c>
      <c r="E478" s="8">
        <f>""</f>
      </c>
      <c r="F478" s="8">
        <f>""</f>
      </c>
      <c r="G478" s="10">
        <v>441403473.18</v>
      </c>
    </row>
    <row r="479" spans="1:7" s="11" customFormat="1" ht="15">
      <c r="A479" s="7">
        <v>45380</v>
      </c>
      <c r="B479" s="8" t="str">
        <f>"4703"</f>
        <v>4703</v>
      </c>
      <c r="C479" s="9" t="str">
        <f>"Доход от переоценки иностранной валюты"</f>
        <v>Доход от переоценки иностранной валюты</v>
      </c>
      <c r="D479" s="8">
        <f>""</f>
      </c>
      <c r="E479" s="8">
        <f>""</f>
      </c>
      <c r="F479" s="8">
        <f>""</f>
      </c>
      <c r="G479" s="10">
        <v>2946705852674.52</v>
      </c>
    </row>
    <row r="480" spans="1:7" s="11" customFormat="1" ht="15">
      <c r="A480" s="7">
        <v>45380</v>
      </c>
      <c r="B480" s="8" t="str">
        <f>"4704"</f>
        <v>4704</v>
      </c>
      <c r="C480" s="9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D480" s="8">
        <f>""</f>
      </c>
      <c r="E480" s="8">
        <f>""</f>
      </c>
      <c r="F480" s="8">
        <f>""</f>
      </c>
      <c r="G480" s="10">
        <v>1526387839.16</v>
      </c>
    </row>
    <row r="481" spans="1:7" s="11" customFormat="1" ht="15">
      <c r="A481" s="7">
        <v>45380</v>
      </c>
      <c r="B481" s="8" t="str">
        <f>"4853"</f>
        <v>4853</v>
      </c>
      <c r="C481" s="9" t="str">
        <f>"Доходы от реализации запасов"</f>
        <v>Доходы от реализации запасов</v>
      </c>
      <c r="D481" s="8">
        <f>""</f>
      </c>
      <c r="E481" s="8">
        <f>""</f>
      </c>
      <c r="F481" s="8">
        <f>""</f>
      </c>
      <c r="G481" s="10">
        <v>3990357.27</v>
      </c>
    </row>
    <row r="482" spans="1:7" s="11" customFormat="1" ht="15">
      <c r="A482" s="7">
        <v>45380</v>
      </c>
      <c r="B482" s="8" t="str">
        <f>"4892"</f>
        <v>4892</v>
      </c>
      <c r="C482" s="9" t="str">
        <f>"Доходы по операциям форвард"</f>
        <v>Доходы по операциям форвард</v>
      </c>
      <c r="D482" s="8">
        <f>""</f>
      </c>
      <c r="E482" s="8">
        <f>""</f>
      </c>
      <c r="F482" s="8">
        <f>""</f>
      </c>
      <c r="G482" s="10">
        <v>1841628.6</v>
      </c>
    </row>
    <row r="483" spans="1:7" s="11" customFormat="1" ht="15">
      <c r="A483" s="7">
        <v>45380</v>
      </c>
      <c r="B483" s="8" t="str">
        <f>"4895"</f>
        <v>4895</v>
      </c>
      <c r="C483" s="9" t="str">
        <f>"Доходы по операциям своп"</f>
        <v>Доходы по операциям своп</v>
      </c>
      <c r="D483" s="8">
        <f>""</f>
      </c>
      <c r="E483" s="8">
        <f>""</f>
      </c>
      <c r="F483" s="8">
        <f>""</f>
      </c>
      <c r="G483" s="10">
        <v>1914044894.05</v>
      </c>
    </row>
    <row r="484" spans="1:7" s="11" customFormat="1" ht="15">
      <c r="A484" s="7">
        <v>45380</v>
      </c>
      <c r="B484" s="8" t="str">
        <f>"4900"</f>
        <v>4900</v>
      </c>
      <c r="C484" s="9" t="str">
        <f>"Неустойка (штраф, пеня)"</f>
        <v>Неустойка (штраф, пеня)</v>
      </c>
      <c r="D484" s="8">
        <f>""</f>
      </c>
      <c r="E484" s="8">
        <f>""</f>
      </c>
      <c r="F484" s="8">
        <f>""</f>
      </c>
      <c r="G484" s="10">
        <v>348735699.48</v>
      </c>
    </row>
    <row r="485" spans="1:7" s="11" customFormat="1" ht="15">
      <c r="A485" s="7">
        <v>45380</v>
      </c>
      <c r="B485" s="8" t="str">
        <f>"4921"</f>
        <v>4921</v>
      </c>
      <c r="C485" s="9" t="str">
        <f>"Прочие доходы от банковской деятельности"</f>
        <v>Прочие доходы от банковской деятельности</v>
      </c>
      <c r="D485" s="8">
        <f>""</f>
      </c>
      <c r="E485" s="8">
        <f>""</f>
      </c>
      <c r="F485" s="8">
        <f>""</f>
      </c>
      <c r="G485" s="10">
        <v>129930876.53</v>
      </c>
    </row>
    <row r="486" spans="1:7" s="11" customFormat="1" ht="15">
      <c r="A486" s="7">
        <v>45380</v>
      </c>
      <c r="B486" s="8" t="str">
        <f>"4922"</f>
        <v>4922</v>
      </c>
      <c r="C486" s="9" t="str">
        <f>"Прочие доходы от неосновной деятельности"</f>
        <v>Прочие доходы от неосновной деятельности</v>
      </c>
      <c r="D486" s="8">
        <f>""</f>
      </c>
      <c r="E486" s="8">
        <f>""</f>
      </c>
      <c r="F486" s="8">
        <f>""</f>
      </c>
      <c r="G486" s="10">
        <v>431561978.6</v>
      </c>
    </row>
    <row r="487" spans="1:7" s="11" customFormat="1" ht="15">
      <c r="A487" s="7">
        <v>45380</v>
      </c>
      <c r="B487" s="8" t="str">
        <f>"4951"</f>
        <v>4951</v>
      </c>
      <c r="C487" s="9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D487" s="8">
        <f>""</f>
      </c>
      <c r="E487" s="8">
        <f>""</f>
      </c>
      <c r="F487" s="8">
        <f>""</f>
      </c>
      <c r="G487" s="10">
        <v>16500</v>
      </c>
    </row>
    <row r="488" spans="1:7" s="11" customFormat="1" ht="15">
      <c r="A488" s="7">
        <v>45380</v>
      </c>
      <c r="B488" s="8" t="str">
        <f>"4953"</f>
        <v>4953</v>
      </c>
      <c r="C488" s="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D488" s="8">
        <f>""</f>
      </c>
      <c r="E488" s="8">
        <f>""</f>
      </c>
      <c r="F488" s="8">
        <f>""</f>
      </c>
      <c r="G488" s="10">
        <v>794870252.43</v>
      </c>
    </row>
    <row r="489" spans="1:7" s="11" customFormat="1" ht="15">
      <c r="A489" s="7">
        <v>45380</v>
      </c>
      <c r="B489" s="8" t="str">
        <f>"4954"</f>
        <v>4954</v>
      </c>
      <c r="C489" s="9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D489" s="8">
        <f>""</f>
      </c>
      <c r="E489" s="8">
        <f>""</f>
      </c>
      <c r="F489" s="8">
        <f>""</f>
      </c>
      <c r="G489" s="10">
        <v>12580857.13</v>
      </c>
    </row>
    <row r="490" spans="1:7" s="11" customFormat="1" ht="15">
      <c r="A490" s="7">
        <v>45380</v>
      </c>
      <c r="B490" s="8" t="str">
        <f>"4955"</f>
        <v>4955</v>
      </c>
      <c r="C490" s="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D490" s="8">
        <f>""</f>
      </c>
      <c r="E490" s="8">
        <f>""</f>
      </c>
      <c r="F490" s="8">
        <f>""</f>
      </c>
      <c r="G490" s="10">
        <v>27330727911.47</v>
      </c>
    </row>
    <row r="491" spans="1:7" s="11" customFormat="1" ht="15">
      <c r="A491" s="7">
        <v>45380</v>
      </c>
      <c r="B491" s="8" t="str">
        <f>"4957"</f>
        <v>4957</v>
      </c>
      <c r="C491" s="9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D491" s="8">
        <f>""</f>
      </c>
      <c r="E491" s="8">
        <f>""</f>
      </c>
      <c r="F491" s="8">
        <f>""</f>
      </c>
      <c r="G491" s="10">
        <v>544770.03</v>
      </c>
    </row>
    <row r="492" spans="1:7" s="11" customFormat="1" ht="15">
      <c r="A492" s="7">
        <v>45380</v>
      </c>
      <c r="B492" s="8" t="str">
        <f>"4958"</f>
        <v>4958</v>
      </c>
      <c r="C492" s="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D492" s="8">
        <f>""</f>
      </c>
      <c r="E492" s="8">
        <f>""</f>
      </c>
      <c r="F492" s="8">
        <f>""</f>
      </c>
      <c r="G492" s="10">
        <v>4201236563.1</v>
      </c>
    </row>
    <row r="493" spans="1:7" s="11" customFormat="1" ht="15">
      <c r="A493" s="7">
        <v>45380</v>
      </c>
      <c r="B493" s="8" t="str">
        <f>"5056"</f>
        <v>5056</v>
      </c>
      <c r="C493" s="9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D493" s="8">
        <f>""</f>
      </c>
      <c r="E493" s="8">
        <f>""</f>
      </c>
      <c r="F493" s="8">
        <f>""</f>
      </c>
      <c r="G493" s="10">
        <v>1583333333.09</v>
      </c>
    </row>
    <row r="494" spans="1:7" s="11" customFormat="1" ht="15">
      <c r="A494" s="7">
        <v>45380</v>
      </c>
      <c r="B494" s="8" t="str">
        <f>"5066"</f>
        <v>5066</v>
      </c>
      <c r="C494" s="9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D494" s="8">
        <f>""</f>
      </c>
      <c r="E494" s="8">
        <f>""</f>
      </c>
      <c r="F494" s="8">
        <f>""</f>
      </c>
      <c r="G494" s="10">
        <v>70000000.2</v>
      </c>
    </row>
    <row r="495" spans="1:7" s="11" customFormat="1" ht="15">
      <c r="A495" s="7">
        <v>45380</v>
      </c>
      <c r="B495" s="8" t="str">
        <f>"5069"</f>
        <v>5069</v>
      </c>
      <c r="C495" s="9" t="str">
        <f>"Расходы по амортизации дисконта по полученным займам"</f>
        <v>Расходы по амортизации дисконта по полученным займам</v>
      </c>
      <c r="D495" s="8">
        <f>""</f>
      </c>
      <c r="E495" s="8">
        <f>""</f>
      </c>
      <c r="F495" s="8">
        <f>""</f>
      </c>
      <c r="G495" s="10">
        <v>1746695287</v>
      </c>
    </row>
    <row r="496" spans="1:7" s="11" customFormat="1" ht="15">
      <c r="A496" s="7">
        <v>45380</v>
      </c>
      <c r="B496" s="8" t="str">
        <f>"5128"</f>
        <v>5128</v>
      </c>
      <c r="C496" s="9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D496" s="8">
        <f>""</f>
      </c>
      <c r="E496" s="8">
        <f>""</f>
      </c>
      <c r="F496" s="8">
        <f>""</f>
      </c>
      <c r="G496" s="10">
        <v>727222222.22</v>
      </c>
    </row>
    <row r="497" spans="1:7" s="11" customFormat="1" ht="15">
      <c r="A497" s="7">
        <v>45380</v>
      </c>
      <c r="B497" s="8" t="str">
        <f>"5211"</f>
        <v>5211</v>
      </c>
      <c r="C497" s="9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D497" s="8">
        <f>""</f>
      </c>
      <c r="E497" s="8">
        <f>""</f>
      </c>
      <c r="F497" s="8">
        <f>""</f>
      </c>
      <c r="G497" s="10">
        <v>460.13</v>
      </c>
    </row>
    <row r="498" spans="1:7" s="11" customFormat="1" ht="15">
      <c r="A498" s="7">
        <v>45380</v>
      </c>
      <c r="B498" s="8" t="str">
        <f>"5215"</f>
        <v>5215</v>
      </c>
      <c r="C498" s="9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D498" s="8">
        <f>""</f>
      </c>
      <c r="E498" s="8">
        <f>""</f>
      </c>
      <c r="F498" s="8">
        <f>""</f>
      </c>
      <c r="G498" s="10">
        <v>16061052210.1</v>
      </c>
    </row>
    <row r="499" spans="1:7" s="11" customFormat="1" ht="15">
      <c r="A499" s="7">
        <v>45380</v>
      </c>
      <c r="B499" s="8" t="str">
        <f>"5217"</f>
        <v>5217</v>
      </c>
      <c r="C499" s="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D499" s="8">
        <f>""</f>
      </c>
      <c r="E499" s="8">
        <f>""</f>
      </c>
      <c r="F499" s="8">
        <f>""</f>
      </c>
      <c r="G499" s="10">
        <v>5483104109.93</v>
      </c>
    </row>
    <row r="500" spans="1:7" s="11" customFormat="1" ht="15">
      <c r="A500" s="7">
        <v>45380</v>
      </c>
      <c r="B500" s="8" t="str">
        <f>"5218"</f>
        <v>5218</v>
      </c>
      <c r="C500" s="9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D500" s="8">
        <f>""</f>
      </c>
      <c r="E500" s="8">
        <f>""</f>
      </c>
      <c r="F500" s="8">
        <f>""</f>
      </c>
      <c r="G500" s="10">
        <v>6387627361.76</v>
      </c>
    </row>
    <row r="501" spans="1:7" s="11" customFormat="1" ht="15">
      <c r="A501" s="7">
        <v>45380</v>
      </c>
      <c r="B501" s="8" t="str">
        <f>"5219"</f>
        <v>5219</v>
      </c>
      <c r="C501" s="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D501" s="8">
        <f>""</f>
      </c>
      <c r="E501" s="8">
        <f>""</f>
      </c>
      <c r="F501" s="8">
        <f>""</f>
      </c>
      <c r="G501" s="10">
        <v>16419237.1</v>
      </c>
    </row>
    <row r="502" spans="1:7" s="11" customFormat="1" ht="15">
      <c r="A502" s="7">
        <v>45380</v>
      </c>
      <c r="B502" s="8" t="str">
        <f>"5220"</f>
        <v>5220</v>
      </c>
      <c r="C502" s="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D502" s="8">
        <f>""</f>
      </c>
      <c r="E502" s="8">
        <f>""</f>
      </c>
      <c r="F502" s="8">
        <f>""</f>
      </c>
      <c r="G502" s="10">
        <v>2008475101.06</v>
      </c>
    </row>
    <row r="503" spans="1:7" s="11" customFormat="1" ht="15">
      <c r="A503" s="7">
        <v>45380</v>
      </c>
      <c r="B503" s="8" t="str">
        <f>"5223"</f>
        <v>5223</v>
      </c>
      <c r="C503" s="9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D503" s="8">
        <f>""</f>
      </c>
      <c r="E503" s="8">
        <f>""</f>
      </c>
      <c r="F503" s="8">
        <f>""</f>
      </c>
      <c r="G503" s="10">
        <v>578383881.93</v>
      </c>
    </row>
    <row r="504" spans="1:7" s="11" customFormat="1" ht="15">
      <c r="A504" s="7">
        <v>45380</v>
      </c>
      <c r="B504" s="8" t="str">
        <f>"5227"</f>
        <v>5227</v>
      </c>
      <c r="C504" s="9" t="str">
        <f>"Процентные расходы по обязательствам по аренде"</f>
        <v>Процентные расходы по обязательствам по аренде</v>
      </c>
      <c r="D504" s="8">
        <f>""</f>
      </c>
      <c r="E504" s="8">
        <f>""</f>
      </c>
      <c r="F504" s="8">
        <f>""</f>
      </c>
      <c r="G504" s="10">
        <v>33958252.12</v>
      </c>
    </row>
    <row r="505" spans="1:7" s="11" customFormat="1" ht="15">
      <c r="A505" s="7">
        <v>45380</v>
      </c>
      <c r="B505" s="8" t="str">
        <f>"5229"</f>
        <v>5229</v>
      </c>
      <c r="C505" s="9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D505" s="8">
        <f>""</f>
      </c>
      <c r="E505" s="8">
        <f>""</f>
      </c>
      <c r="F505" s="8">
        <f>""</f>
      </c>
      <c r="G505" s="10">
        <v>3595368.18</v>
      </c>
    </row>
    <row r="506" spans="1:7" s="11" customFormat="1" ht="15">
      <c r="A506" s="7">
        <v>45380</v>
      </c>
      <c r="B506" s="8" t="str">
        <f>"5240"</f>
        <v>5240</v>
      </c>
      <c r="C506" s="9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D506" s="8">
        <f>""</f>
      </c>
      <c r="E506" s="8">
        <f>""</f>
      </c>
      <c r="F506" s="8">
        <f>""</f>
      </c>
      <c r="G506" s="10">
        <v>159408479</v>
      </c>
    </row>
    <row r="507" spans="1:7" s="11" customFormat="1" ht="15">
      <c r="A507" s="7">
        <v>45380</v>
      </c>
      <c r="B507" s="8" t="str">
        <f>"5301"</f>
        <v>5301</v>
      </c>
      <c r="C507" s="9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D507" s="8">
        <f>""</f>
      </c>
      <c r="E507" s="8">
        <f>""</f>
      </c>
      <c r="F507" s="8">
        <f>""</f>
      </c>
      <c r="G507" s="10">
        <v>14625683060.15</v>
      </c>
    </row>
    <row r="508" spans="1:7" s="11" customFormat="1" ht="15">
      <c r="A508" s="7">
        <v>45380</v>
      </c>
      <c r="B508" s="8" t="str">
        <f>"5306"</f>
        <v>5306</v>
      </c>
      <c r="C508" s="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D508" s="8">
        <f>""</f>
      </c>
      <c r="E508" s="8">
        <f>""</f>
      </c>
      <c r="F508" s="8">
        <f>""</f>
      </c>
      <c r="G508" s="10">
        <v>76779250.03</v>
      </c>
    </row>
    <row r="509" spans="1:7" s="11" customFormat="1" ht="15">
      <c r="A509" s="7">
        <v>45380</v>
      </c>
      <c r="B509" s="8" t="str">
        <f>"5404"</f>
        <v>5404</v>
      </c>
      <c r="C509" s="9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D509" s="8">
        <f>""</f>
      </c>
      <c r="E509" s="8">
        <f>""</f>
      </c>
      <c r="F509" s="8">
        <f>""</f>
      </c>
      <c r="G509" s="10">
        <v>30203693.11</v>
      </c>
    </row>
    <row r="510" spans="1:7" s="11" customFormat="1" ht="15">
      <c r="A510" s="7">
        <v>45380</v>
      </c>
      <c r="B510" s="8" t="str">
        <f>"5406"</f>
        <v>5406</v>
      </c>
      <c r="C510" s="9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D510" s="8">
        <f>""</f>
      </c>
      <c r="E510" s="8">
        <f>""</f>
      </c>
      <c r="F510" s="8">
        <f>""</f>
      </c>
      <c r="G510" s="10">
        <v>79562.84</v>
      </c>
    </row>
    <row r="511" spans="1:7" s="11" customFormat="1" ht="15">
      <c r="A511" s="7">
        <v>45380</v>
      </c>
      <c r="B511" s="8" t="str">
        <f>"5453"</f>
        <v>5453</v>
      </c>
      <c r="C511" s="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D511" s="8">
        <f>""</f>
      </c>
      <c r="E511" s="8">
        <f>""</f>
      </c>
      <c r="F511" s="8">
        <f>""</f>
      </c>
      <c r="G511" s="10">
        <v>844575623.82</v>
      </c>
    </row>
    <row r="512" spans="1:7" s="11" customFormat="1" ht="15">
      <c r="A512" s="7">
        <v>45380</v>
      </c>
      <c r="B512" s="8" t="str">
        <f>"5455"</f>
        <v>5455</v>
      </c>
      <c r="C512" s="9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D512" s="8">
        <f>""</f>
      </c>
      <c r="E512" s="8">
        <f>""</f>
      </c>
      <c r="F512" s="8">
        <f>""</f>
      </c>
      <c r="G512" s="10">
        <v>42773499932.95</v>
      </c>
    </row>
    <row r="513" spans="1:7" s="11" customFormat="1" ht="15">
      <c r="A513" s="7">
        <v>45380</v>
      </c>
      <c r="B513" s="8" t="str">
        <f>"5457"</f>
        <v>5457</v>
      </c>
      <c r="C513" s="9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D513" s="8">
        <f>""</f>
      </c>
      <c r="E513" s="8">
        <f>""</f>
      </c>
      <c r="F513" s="8">
        <f>""</f>
      </c>
      <c r="G513" s="10">
        <v>4731181.36</v>
      </c>
    </row>
    <row r="514" spans="1:7" s="11" customFormat="1" ht="15">
      <c r="A514" s="7">
        <v>45380</v>
      </c>
      <c r="B514" s="8" t="str">
        <f>"5464"</f>
        <v>5464</v>
      </c>
      <c r="C514" s="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D514" s="8">
        <f>""</f>
      </c>
      <c r="E514" s="8">
        <f>""</f>
      </c>
      <c r="F514" s="8">
        <f>""</f>
      </c>
      <c r="G514" s="10">
        <v>31603257.52</v>
      </c>
    </row>
    <row r="515" spans="1:7" s="11" customFormat="1" ht="15">
      <c r="A515" s="7">
        <v>45380</v>
      </c>
      <c r="B515" s="8" t="str">
        <f>"5465"</f>
        <v>5465</v>
      </c>
      <c r="C515" s="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D515" s="8">
        <f>""</f>
      </c>
      <c r="E515" s="8">
        <f>""</f>
      </c>
      <c r="F515" s="8">
        <f>""</f>
      </c>
      <c r="G515" s="10">
        <v>3846191317.94</v>
      </c>
    </row>
    <row r="516" spans="1:7" s="11" customFormat="1" ht="15">
      <c r="A516" s="7">
        <v>45380</v>
      </c>
      <c r="B516" s="8" t="str">
        <f>"5530"</f>
        <v>5530</v>
      </c>
      <c r="C516" s="9" t="str">
        <f>"Расходы по купле-продаже иностранной валюты"</f>
        <v>Расходы по купле-продаже иностранной валюты</v>
      </c>
      <c r="D516" s="8">
        <f>""</f>
      </c>
      <c r="E516" s="8">
        <f>""</f>
      </c>
      <c r="F516" s="8">
        <f>""</f>
      </c>
      <c r="G516" s="10">
        <v>574851009.29</v>
      </c>
    </row>
    <row r="517" spans="1:7" s="11" customFormat="1" ht="15">
      <c r="A517" s="7">
        <v>45380</v>
      </c>
      <c r="B517" s="8" t="str">
        <f>"5540"</f>
        <v>5540</v>
      </c>
      <c r="C517" s="9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D517" s="8">
        <f>""</f>
      </c>
      <c r="E517" s="8">
        <f>""</f>
      </c>
      <c r="F517" s="8">
        <f>""</f>
      </c>
      <c r="G517" s="10">
        <v>14394.4</v>
      </c>
    </row>
    <row r="518" spans="1:7" s="11" customFormat="1" ht="15">
      <c r="A518" s="7">
        <v>45380</v>
      </c>
      <c r="B518" s="8" t="str">
        <f>"5570"</f>
        <v>5570</v>
      </c>
      <c r="C518" s="9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D518" s="8">
        <f>""</f>
      </c>
      <c r="E518" s="8">
        <f>""</f>
      </c>
      <c r="F518" s="8">
        <f>""</f>
      </c>
      <c r="G518" s="10">
        <v>1691433.81</v>
      </c>
    </row>
    <row r="519" spans="1:7" s="11" customFormat="1" ht="15">
      <c r="A519" s="7">
        <v>45380</v>
      </c>
      <c r="B519" s="8" t="str">
        <f>"5593"</f>
        <v>5593</v>
      </c>
      <c r="C519" s="9" t="str">
        <f>"Расходы от переоценки операций своп"</f>
        <v>Расходы от переоценки операций своп</v>
      </c>
      <c r="D519" s="8">
        <f>""</f>
      </c>
      <c r="E519" s="8">
        <f>""</f>
      </c>
      <c r="F519" s="8">
        <f>""</f>
      </c>
      <c r="G519" s="10">
        <v>66309000</v>
      </c>
    </row>
    <row r="520" spans="1:7" s="11" customFormat="1" ht="15">
      <c r="A520" s="7">
        <v>45380</v>
      </c>
      <c r="B520" s="8" t="str">
        <f>"5601"</f>
        <v>5601</v>
      </c>
      <c r="C520" s="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D520" s="8">
        <f>""</f>
      </c>
      <c r="E520" s="8">
        <f>""</f>
      </c>
      <c r="F520" s="8">
        <f>""</f>
      </c>
      <c r="G520" s="10">
        <v>61760558.19</v>
      </c>
    </row>
    <row r="521" spans="1:7" s="11" customFormat="1" ht="15">
      <c r="A521" s="7">
        <v>45380</v>
      </c>
      <c r="B521" s="8" t="str">
        <f>"5602"</f>
        <v>5602</v>
      </c>
      <c r="C521" s="9" t="str">
        <f>"Комиссионные расходы по полученным агентским услугам"</f>
        <v>Комиссионные расходы по полученным агентским услугам</v>
      </c>
      <c r="D521" s="8">
        <f>""</f>
      </c>
      <c r="E521" s="8">
        <f>""</f>
      </c>
      <c r="F521" s="8">
        <f>""</f>
      </c>
      <c r="G521" s="10">
        <v>370453788.65</v>
      </c>
    </row>
    <row r="522" spans="1:7" s="11" customFormat="1" ht="15">
      <c r="A522" s="7">
        <v>45380</v>
      </c>
      <c r="B522" s="8" t="str">
        <f>"5608"</f>
        <v>5608</v>
      </c>
      <c r="C522" s="9" t="str">
        <f>"Прочие комиссионные расходы"</f>
        <v>Прочие комиссионные расходы</v>
      </c>
      <c r="D522" s="8">
        <f>""</f>
      </c>
      <c r="E522" s="8">
        <f>""</f>
      </c>
      <c r="F522" s="8">
        <f>""</f>
      </c>
      <c r="G522" s="10">
        <v>3377899820.18</v>
      </c>
    </row>
    <row r="523" spans="1:7" s="11" customFormat="1" ht="15">
      <c r="A523" s="7">
        <v>45380</v>
      </c>
      <c r="B523" s="8" t="str">
        <f>"5609"</f>
        <v>5609</v>
      </c>
      <c r="C523" s="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D523" s="8">
        <f>""</f>
      </c>
      <c r="E523" s="8">
        <f>""</f>
      </c>
      <c r="F523" s="8">
        <f>""</f>
      </c>
      <c r="G523" s="10">
        <v>108147133.68</v>
      </c>
    </row>
    <row r="524" spans="1:7" s="11" customFormat="1" ht="15">
      <c r="A524" s="7">
        <v>45380</v>
      </c>
      <c r="B524" s="8" t="str">
        <f>"5703"</f>
        <v>5703</v>
      </c>
      <c r="C524" s="9" t="str">
        <f>"Расходы от переоценки иностранной валюты"</f>
        <v>Расходы от переоценки иностранной валюты</v>
      </c>
      <c r="D524" s="8">
        <f>""</f>
      </c>
      <c r="E524" s="8">
        <f>""</f>
      </c>
      <c r="F524" s="8">
        <f>""</f>
      </c>
      <c r="G524" s="10">
        <v>2947059808860.57</v>
      </c>
    </row>
    <row r="525" spans="1:7" s="11" customFormat="1" ht="15">
      <c r="A525" s="7">
        <v>45380</v>
      </c>
      <c r="B525" s="8" t="str">
        <f>"5704"</f>
        <v>5704</v>
      </c>
      <c r="C525" s="9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D525" s="8">
        <f>""</f>
      </c>
      <c r="E525" s="8">
        <f>""</f>
      </c>
      <c r="F525" s="8">
        <f>""</f>
      </c>
      <c r="G525" s="10">
        <v>1524179687.26</v>
      </c>
    </row>
    <row r="526" spans="1:7" s="11" customFormat="1" ht="15">
      <c r="A526" s="7">
        <v>45380</v>
      </c>
      <c r="B526" s="8" t="str">
        <f>"5721"</f>
        <v>5721</v>
      </c>
      <c r="C526" s="9" t="str">
        <f>"Расходы по оплате труда"</f>
        <v>Расходы по оплате труда</v>
      </c>
      <c r="D526" s="8">
        <f>""</f>
      </c>
      <c r="E526" s="8">
        <f>""</f>
      </c>
      <c r="F526" s="8">
        <f>""</f>
      </c>
      <c r="G526" s="10">
        <v>11125927262.56</v>
      </c>
    </row>
    <row r="527" spans="1:7" s="11" customFormat="1" ht="15">
      <c r="A527" s="7">
        <v>45380</v>
      </c>
      <c r="B527" s="8" t="str">
        <f>"5722"</f>
        <v>5722</v>
      </c>
      <c r="C527" s="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D527" s="8">
        <f>""</f>
      </c>
      <c r="E527" s="8">
        <f>""</f>
      </c>
      <c r="F527" s="8">
        <f>""</f>
      </c>
      <c r="G527" s="10">
        <v>500340856.95</v>
      </c>
    </row>
    <row r="528" spans="1:7" s="11" customFormat="1" ht="15">
      <c r="A528" s="7">
        <v>45380</v>
      </c>
      <c r="B528" s="8" t="str">
        <f>"5729"</f>
        <v>5729</v>
      </c>
      <c r="C528" s="9" t="str">
        <f>"Прочие выплаты"</f>
        <v>Прочие выплаты</v>
      </c>
      <c r="D528" s="8">
        <f>""</f>
      </c>
      <c r="E528" s="8">
        <f>""</f>
      </c>
      <c r="F528" s="8">
        <f>""</f>
      </c>
      <c r="G528" s="10">
        <v>197184038.81</v>
      </c>
    </row>
    <row r="529" spans="1:7" s="11" customFormat="1" ht="15">
      <c r="A529" s="7">
        <v>45380</v>
      </c>
      <c r="B529" s="8" t="str">
        <f>"5741"</f>
        <v>5741</v>
      </c>
      <c r="C529" s="9" t="str">
        <f>"Транспортные расходы"</f>
        <v>Транспортные расходы</v>
      </c>
      <c r="D529" s="8">
        <f>""</f>
      </c>
      <c r="E529" s="8">
        <f>""</f>
      </c>
      <c r="F529" s="8">
        <f>""</f>
      </c>
      <c r="G529" s="10">
        <v>90047156.87</v>
      </c>
    </row>
    <row r="530" spans="1:7" s="11" customFormat="1" ht="15">
      <c r="A530" s="7">
        <v>45380</v>
      </c>
      <c r="B530" s="8" t="str">
        <f>"5742"</f>
        <v>5742</v>
      </c>
      <c r="C530" s="9" t="str">
        <f>"Административные расходы"</f>
        <v>Административные расходы</v>
      </c>
      <c r="D530" s="8">
        <f>""</f>
      </c>
      <c r="E530" s="8">
        <f>""</f>
      </c>
      <c r="F530" s="8">
        <f>""</f>
      </c>
      <c r="G530" s="10">
        <v>1106719388.37</v>
      </c>
    </row>
    <row r="531" spans="1:7" s="11" customFormat="1" ht="15">
      <c r="A531" s="7">
        <v>45380</v>
      </c>
      <c r="B531" s="8" t="str">
        <f>"5743"</f>
        <v>5743</v>
      </c>
      <c r="C531" s="9" t="str">
        <f>"Расходы на инкассацию"</f>
        <v>Расходы на инкассацию</v>
      </c>
      <c r="D531" s="8">
        <f>""</f>
      </c>
      <c r="E531" s="8">
        <f>""</f>
      </c>
      <c r="F531" s="8">
        <f>""</f>
      </c>
      <c r="G531" s="10">
        <v>68264450.67</v>
      </c>
    </row>
    <row r="532" spans="1:7" s="11" customFormat="1" ht="15">
      <c r="A532" s="7">
        <v>45380</v>
      </c>
      <c r="B532" s="8" t="str">
        <f>"5744"</f>
        <v>5744</v>
      </c>
      <c r="C532" s="9" t="str">
        <f>"Расходы на ремонт"</f>
        <v>Расходы на ремонт</v>
      </c>
      <c r="D532" s="8">
        <f>""</f>
      </c>
      <c r="E532" s="8">
        <f>""</f>
      </c>
      <c r="F532" s="8">
        <f>""</f>
      </c>
      <c r="G532" s="10">
        <v>25995274.5</v>
      </c>
    </row>
    <row r="533" spans="1:7" s="11" customFormat="1" ht="15">
      <c r="A533" s="7">
        <v>45380</v>
      </c>
      <c r="B533" s="8" t="str">
        <f>"5745"</f>
        <v>5745</v>
      </c>
      <c r="C533" s="9" t="str">
        <f>"Расходы на рекламу"</f>
        <v>Расходы на рекламу</v>
      </c>
      <c r="D533" s="8">
        <f>""</f>
      </c>
      <c r="E533" s="8">
        <f>""</f>
      </c>
      <c r="F533" s="8">
        <f>""</f>
      </c>
      <c r="G533" s="10">
        <v>131211708.8</v>
      </c>
    </row>
    <row r="534" spans="1:7" s="11" customFormat="1" ht="15">
      <c r="A534" s="7">
        <v>45380</v>
      </c>
      <c r="B534" s="8" t="str">
        <f>"5746"</f>
        <v>5746</v>
      </c>
      <c r="C534" s="9" t="str">
        <f>"Расходы на охрану и сигнализацию"</f>
        <v>Расходы на охрану и сигнализацию</v>
      </c>
      <c r="D534" s="8">
        <f>""</f>
      </c>
      <c r="E534" s="8">
        <f>""</f>
      </c>
      <c r="F534" s="8">
        <f>""</f>
      </c>
      <c r="G534" s="10">
        <v>182393547.11</v>
      </c>
    </row>
    <row r="535" spans="1:7" s="11" customFormat="1" ht="15">
      <c r="A535" s="7">
        <v>45380</v>
      </c>
      <c r="B535" s="8" t="str">
        <f>"5748"</f>
        <v>5748</v>
      </c>
      <c r="C535" s="9" t="str">
        <f>"Прочие общехозяйственные расходы"</f>
        <v>Прочие общехозяйственные расходы</v>
      </c>
      <c r="D535" s="8">
        <f>""</f>
      </c>
      <c r="E535" s="8">
        <f>""</f>
      </c>
      <c r="F535" s="8">
        <f>""</f>
      </c>
      <c r="G535" s="10">
        <v>649765717.2</v>
      </c>
    </row>
    <row r="536" spans="1:7" s="11" customFormat="1" ht="15">
      <c r="A536" s="7">
        <v>45380</v>
      </c>
      <c r="B536" s="8" t="str">
        <f>"5749"</f>
        <v>5749</v>
      </c>
      <c r="C536" s="9" t="str">
        <f>"Расходы на служебные командировки"</f>
        <v>Расходы на служебные командировки</v>
      </c>
      <c r="D536" s="8">
        <f>""</f>
      </c>
      <c r="E536" s="8">
        <f>""</f>
      </c>
      <c r="F536" s="8">
        <f>""</f>
      </c>
      <c r="G536" s="10">
        <v>22873013.89</v>
      </c>
    </row>
    <row r="537" spans="1:7" s="11" customFormat="1" ht="15">
      <c r="A537" s="7">
        <v>45380</v>
      </c>
      <c r="B537" s="8" t="str">
        <f>"5750"</f>
        <v>5750</v>
      </c>
      <c r="C537" s="9" t="str">
        <f>"Расходы по аудиту и консультационным услугам"</f>
        <v>Расходы по аудиту и консультационным услугам</v>
      </c>
      <c r="D537" s="8">
        <f>""</f>
      </c>
      <c r="E537" s="8">
        <f>""</f>
      </c>
      <c r="F537" s="8">
        <f>""</f>
      </c>
      <c r="G537" s="10">
        <v>139907907.32</v>
      </c>
    </row>
    <row r="538" spans="1:7" s="11" customFormat="1" ht="15">
      <c r="A538" s="7">
        <v>45380</v>
      </c>
      <c r="B538" s="8" t="str">
        <f>"5752"</f>
        <v>5752</v>
      </c>
      <c r="C538" s="9" t="str">
        <f>"Расходы по страхованию"</f>
        <v>Расходы по страхованию</v>
      </c>
      <c r="D538" s="8">
        <f>""</f>
      </c>
      <c r="E538" s="8">
        <f>""</f>
      </c>
      <c r="F538" s="8">
        <f>""</f>
      </c>
      <c r="G538" s="10">
        <v>125603168.46</v>
      </c>
    </row>
    <row r="539" spans="1:7" s="11" customFormat="1" ht="15">
      <c r="A539" s="7">
        <v>45380</v>
      </c>
      <c r="B539" s="8" t="str">
        <f>"5753"</f>
        <v>5753</v>
      </c>
      <c r="C539" s="9" t="str">
        <f>"Расходы по услугам связи"</f>
        <v>Расходы по услугам связи</v>
      </c>
      <c r="D539" s="8">
        <f>""</f>
      </c>
      <c r="E539" s="8">
        <f>""</f>
      </c>
      <c r="F539" s="8">
        <f>""</f>
      </c>
      <c r="G539" s="10">
        <v>373596798.12</v>
      </c>
    </row>
    <row r="540" spans="1:7" s="11" customFormat="1" ht="15">
      <c r="A540" s="7">
        <v>45380</v>
      </c>
      <c r="B540" s="8" t="str">
        <f>"5754"</f>
        <v>5754</v>
      </c>
      <c r="C540" s="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D540" s="8">
        <f>""</f>
      </c>
      <c r="E540" s="8">
        <f>""</f>
      </c>
      <c r="F540" s="8">
        <f>""</f>
      </c>
      <c r="G540" s="10">
        <v>687237415</v>
      </c>
    </row>
    <row r="541" spans="1:7" s="11" customFormat="1" ht="15">
      <c r="A541" s="7">
        <v>45380</v>
      </c>
      <c r="B541" s="8" t="str">
        <f>"5761"</f>
        <v>5761</v>
      </c>
      <c r="C541" s="9" t="str">
        <f>"Налог на добавленную стоимость"</f>
        <v>Налог на добавленную стоимость</v>
      </c>
      <c r="D541" s="8">
        <f>""</f>
      </c>
      <c r="E541" s="8">
        <f>""</f>
      </c>
      <c r="F541" s="8">
        <f>""</f>
      </c>
      <c r="G541" s="10">
        <v>333736458.09</v>
      </c>
    </row>
    <row r="542" spans="1:7" s="11" customFormat="1" ht="15">
      <c r="A542" s="7">
        <v>45380</v>
      </c>
      <c r="B542" s="8" t="str">
        <f>"5763"</f>
        <v>5763</v>
      </c>
      <c r="C542" s="9" t="str">
        <f>"Социальный налог"</f>
        <v>Социальный налог</v>
      </c>
      <c r="D542" s="8">
        <f>""</f>
      </c>
      <c r="E542" s="8">
        <f>""</f>
      </c>
      <c r="F542" s="8">
        <f>""</f>
      </c>
      <c r="G542" s="10">
        <v>763921095.62</v>
      </c>
    </row>
    <row r="543" spans="1:7" s="11" customFormat="1" ht="15">
      <c r="A543" s="7">
        <v>45380</v>
      </c>
      <c r="B543" s="8" t="str">
        <f>"5764"</f>
        <v>5764</v>
      </c>
      <c r="C543" s="9" t="str">
        <f>"Земельный налог"</f>
        <v>Земельный налог</v>
      </c>
      <c r="D543" s="8">
        <f>""</f>
      </c>
      <c r="E543" s="8">
        <f>""</f>
      </c>
      <c r="F543" s="8">
        <f>""</f>
      </c>
      <c r="G543" s="10">
        <v>512740</v>
      </c>
    </row>
    <row r="544" spans="1:7" s="11" customFormat="1" ht="15">
      <c r="A544" s="7">
        <v>45380</v>
      </c>
      <c r="B544" s="8" t="str">
        <f>"5765"</f>
        <v>5765</v>
      </c>
      <c r="C544" s="9" t="str">
        <f>"Налог на имущество юридических лиц"</f>
        <v>Налог на имущество юридических лиц</v>
      </c>
      <c r="D544" s="8">
        <f>""</f>
      </c>
      <c r="E544" s="8">
        <f>""</f>
      </c>
      <c r="F544" s="8">
        <f>""</f>
      </c>
      <c r="G544" s="10">
        <v>68557631</v>
      </c>
    </row>
    <row r="545" spans="1:7" s="11" customFormat="1" ht="15">
      <c r="A545" s="7">
        <v>45380</v>
      </c>
      <c r="B545" s="8" t="str">
        <f>"5768"</f>
        <v>5768</v>
      </c>
      <c r="C545" s="9" t="str">
        <f>"Прочие налоги и обязательные платежи в бюджет"</f>
        <v>Прочие налоги и обязательные платежи в бюджет</v>
      </c>
      <c r="D545" s="8">
        <f>""</f>
      </c>
      <c r="E545" s="8">
        <f>""</f>
      </c>
      <c r="F545" s="8">
        <f>""</f>
      </c>
      <c r="G545" s="10">
        <v>32039326.62</v>
      </c>
    </row>
    <row r="546" spans="1:7" s="11" customFormat="1" ht="15">
      <c r="A546" s="7">
        <v>45380</v>
      </c>
      <c r="B546" s="8" t="str">
        <f>"5781"</f>
        <v>5781</v>
      </c>
      <c r="C546" s="9" t="str">
        <f>"Расходы по амортизации зданий и сооружений"</f>
        <v>Расходы по амортизации зданий и сооружений</v>
      </c>
      <c r="D546" s="8">
        <f>""</f>
      </c>
      <c r="E546" s="8">
        <f>""</f>
      </c>
      <c r="F546" s="8">
        <f>""</f>
      </c>
      <c r="G546" s="10">
        <v>61532562</v>
      </c>
    </row>
    <row r="547" spans="1:7" s="11" customFormat="1" ht="15">
      <c r="A547" s="7">
        <v>45380</v>
      </c>
      <c r="B547" s="8" t="str">
        <f>"5782"</f>
        <v>5782</v>
      </c>
      <c r="C547" s="9" t="str">
        <f>"Расходы по амортизации компьютерного оборудования"</f>
        <v>Расходы по амортизации компьютерного оборудования</v>
      </c>
      <c r="D547" s="8">
        <f>""</f>
      </c>
      <c r="E547" s="8">
        <f>""</f>
      </c>
      <c r="F547" s="8">
        <f>""</f>
      </c>
      <c r="G547" s="10">
        <v>1025661947.62</v>
      </c>
    </row>
    <row r="548" spans="1:7" s="11" customFormat="1" ht="15">
      <c r="A548" s="7">
        <v>45380</v>
      </c>
      <c r="B548" s="8" t="str">
        <f>"5783"</f>
        <v>5783</v>
      </c>
      <c r="C548" s="9" t="str">
        <f>"Расходы по амортизации прочих основных средств"</f>
        <v>Расходы по амортизации прочих основных средств</v>
      </c>
      <c r="D548" s="8">
        <f>""</f>
      </c>
      <c r="E548" s="8">
        <f>""</f>
      </c>
      <c r="F548" s="8">
        <f>""</f>
      </c>
      <c r="G548" s="10">
        <v>1371672740.59</v>
      </c>
    </row>
    <row r="549" spans="1:7" s="11" customFormat="1" ht="15">
      <c r="A549" s="7">
        <v>45380</v>
      </c>
      <c r="B549" s="8" t="str">
        <f>"5784"</f>
        <v>5784</v>
      </c>
      <c r="C549" s="9" t="str">
        <f>"Расходы по амортизации активов в форме права пользования"</f>
        <v>Расходы по амортизации активов в форме права пользования</v>
      </c>
      <c r="D549" s="8">
        <f>""</f>
      </c>
      <c r="E549" s="8">
        <f>""</f>
      </c>
      <c r="F549" s="8">
        <f>""</f>
      </c>
      <c r="G549" s="10">
        <v>430111561.77</v>
      </c>
    </row>
    <row r="550" spans="1:7" s="11" customFormat="1" ht="15">
      <c r="A550" s="7">
        <v>45380</v>
      </c>
      <c r="B550" s="8" t="str">
        <f>"5787"</f>
        <v>5787</v>
      </c>
      <c r="C550" s="9" t="str">
        <f>"Расходы по амортизации транспортных средств"</f>
        <v>Расходы по амортизации транспортных средств</v>
      </c>
      <c r="D550" s="8">
        <f>""</f>
      </c>
      <c r="E550" s="8">
        <f>""</f>
      </c>
      <c r="F550" s="8">
        <f>""</f>
      </c>
      <c r="G550" s="10">
        <v>13532923</v>
      </c>
    </row>
    <row r="551" spans="1:7" s="11" customFormat="1" ht="15">
      <c r="A551" s="7">
        <v>45380</v>
      </c>
      <c r="B551" s="8" t="str">
        <f>"5788"</f>
        <v>5788</v>
      </c>
      <c r="C551" s="9" t="str">
        <f>"Расходы по амортизации нематериальных активов"</f>
        <v>Расходы по амортизации нематериальных активов</v>
      </c>
      <c r="D551" s="8">
        <f>""</f>
      </c>
      <c r="E551" s="8">
        <f>""</f>
      </c>
      <c r="F551" s="8">
        <f>""</f>
      </c>
      <c r="G551" s="10">
        <v>1651297543.3</v>
      </c>
    </row>
    <row r="552" spans="1:7" s="11" customFormat="1" ht="15">
      <c r="A552" s="7">
        <v>45380</v>
      </c>
      <c r="B552" s="8" t="str">
        <f>"5854"</f>
        <v>5854</v>
      </c>
      <c r="C552" s="9" t="str">
        <f>"Расходы от реализации запасов"</f>
        <v>Расходы от реализации запасов</v>
      </c>
      <c r="D552" s="8">
        <f>""</f>
      </c>
      <c r="E552" s="8">
        <f>""</f>
      </c>
      <c r="F552" s="8">
        <f>""</f>
      </c>
      <c r="G552" s="10">
        <v>12356502.68</v>
      </c>
    </row>
    <row r="553" spans="1:7" s="11" customFormat="1" ht="15">
      <c r="A553" s="7">
        <v>45380</v>
      </c>
      <c r="B553" s="8" t="str">
        <f>"5895"</f>
        <v>5895</v>
      </c>
      <c r="C553" s="9" t="str">
        <f>"Расходы по операциям своп"</f>
        <v>Расходы по операциям своп</v>
      </c>
      <c r="D553" s="8">
        <f>""</f>
      </c>
      <c r="E553" s="8">
        <f>""</f>
      </c>
      <c r="F553" s="8">
        <f>""</f>
      </c>
      <c r="G553" s="10">
        <v>1416172915.53</v>
      </c>
    </row>
    <row r="554" spans="1:7" s="11" customFormat="1" ht="15">
      <c r="A554" s="7">
        <v>45380</v>
      </c>
      <c r="B554" s="8" t="str">
        <f>"5900"</f>
        <v>5900</v>
      </c>
      <c r="C554" s="9" t="str">
        <f>"Неустойка (штраф, пеня)"</f>
        <v>Неустойка (штраф, пеня)</v>
      </c>
      <c r="D554" s="8">
        <f>""</f>
      </c>
      <c r="E554" s="8">
        <f>""</f>
      </c>
      <c r="F554" s="8">
        <f>""</f>
      </c>
      <c r="G554" s="10">
        <v>35671212.56</v>
      </c>
    </row>
    <row r="555" spans="1:7" s="11" customFormat="1" ht="15">
      <c r="A555" s="7">
        <v>45380</v>
      </c>
      <c r="B555" s="8" t="str">
        <f>"5921"</f>
        <v>5921</v>
      </c>
      <c r="C555" s="9" t="str">
        <f>"Прочие расходы от банковской деятельности"</f>
        <v>Прочие расходы от банковской деятельности</v>
      </c>
      <c r="D555" s="8">
        <f>""</f>
      </c>
      <c r="E555" s="8">
        <f>""</f>
      </c>
      <c r="F555" s="8">
        <f>""</f>
      </c>
      <c r="G555" s="10">
        <v>634530942.39</v>
      </c>
    </row>
    <row r="556" spans="1:7" s="11" customFormat="1" ht="15">
      <c r="A556" s="7">
        <v>45380</v>
      </c>
      <c r="B556" s="8" t="str">
        <f>"5922"</f>
        <v>5922</v>
      </c>
      <c r="C556" s="9" t="str">
        <f>"Прочие расходы от неосновной деятельности"</f>
        <v>Прочие расходы от неосновной деятельности</v>
      </c>
      <c r="D556" s="8">
        <f>""</f>
      </c>
      <c r="E556" s="8">
        <f>""</f>
      </c>
      <c r="F556" s="8">
        <f>""</f>
      </c>
      <c r="G556" s="10">
        <v>130937005.84</v>
      </c>
    </row>
    <row r="557" spans="1:7" s="11" customFormat="1" ht="15">
      <c r="A557" s="7">
        <v>45380</v>
      </c>
      <c r="B557" s="8" t="str">
        <f>"5923"</f>
        <v>5923</v>
      </c>
      <c r="C557" s="9" t="str">
        <f>"Расходы по аренде"</f>
        <v>Расходы по аренде</v>
      </c>
      <c r="D557" s="8">
        <f>""</f>
      </c>
      <c r="E557" s="8">
        <f>""</f>
      </c>
      <c r="F557" s="8">
        <f>""</f>
      </c>
      <c r="G557" s="10">
        <v>211723751.82</v>
      </c>
    </row>
    <row r="558" spans="1:7" s="11" customFormat="1" ht="15">
      <c r="A558" s="7">
        <v>45380</v>
      </c>
      <c r="B558" s="8" t="str">
        <f>"5999"</f>
        <v>5999</v>
      </c>
      <c r="C558" s="9" t="str">
        <f>"Корпоративный подоходный налог"</f>
        <v>Корпоративный подоходный налог</v>
      </c>
      <c r="D558" s="8">
        <f>""</f>
      </c>
      <c r="E558" s="8">
        <f>""</f>
      </c>
      <c r="F558" s="8">
        <f>""</f>
      </c>
      <c r="G558" s="10">
        <v>533354167</v>
      </c>
    </row>
    <row r="559" spans="1:7" s="11" customFormat="1" ht="15">
      <c r="A559" s="7">
        <v>45380</v>
      </c>
      <c r="B559" s="8" t="str">
        <f>"6055"</f>
        <v>6055</v>
      </c>
      <c r="C559" s="9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D559" s="8">
        <f>""</f>
      </c>
      <c r="E559" s="8">
        <f>""</f>
      </c>
      <c r="F559" s="8">
        <f>""</f>
      </c>
      <c r="G559" s="10">
        <v>49621397347.58</v>
      </c>
    </row>
    <row r="560" spans="1:7" s="11" customFormat="1" ht="15">
      <c r="A560" s="7">
        <v>45380</v>
      </c>
      <c r="B560" s="8" t="str">
        <f>"6075"</f>
        <v>6075</v>
      </c>
      <c r="C560" s="9" t="str">
        <f>"Возможные требования по принятым гарантиям"</f>
        <v>Возможные требования по принятым гарантиям</v>
      </c>
      <c r="D560" s="8">
        <f>""</f>
      </c>
      <c r="E560" s="8">
        <f>""</f>
      </c>
      <c r="F560" s="8">
        <f>""</f>
      </c>
      <c r="G560" s="10">
        <v>3326115743357.35</v>
      </c>
    </row>
    <row r="561" spans="1:7" s="11" customFormat="1" ht="15">
      <c r="A561" s="7">
        <v>45380</v>
      </c>
      <c r="B561" s="8" t="str">
        <f>"6105"</f>
        <v>6105</v>
      </c>
      <c r="C561" s="9" t="str">
        <f>"Будущие требования по размещаемым вкладам"</f>
        <v>Будущие требования по размещаемым вкладам</v>
      </c>
      <c r="D561" s="8">
        <f>""</f>
      </c>
      <c r="E561" s="8">
        <f>""</f>
      </c>
      <c r="F561" s="8">
        <f>""</f>
      </c>
      <c r="G561" s="10">
        <v>120000000000</v>
      </c>
    </row>
    <row r="562" spans="1:7" s="11" customFormat="1" ht="15">
      <c r="A562" s="7">
        <v>45380</v>
      </c>
      <c r="B562" s="8" t="str">
        <f>"6126"</f>
        <v>6126</v>
      </c>
      <c r="C562" s="9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D562" s="8">
        <f>""</f>
      </c>
      <c r="E562" s="8">
        <f>""</f>
      </c>
      <c r="F562" s="8">
        <f>""</f>
      </c>
      <c r="G562" s="10">
        <v>194147046552.5</v>
      </c>
    </row>
    <row r="563" spans="1:7" s="11" customFormat="1" ht="15">
      <c r="A563" s="7">
        <v>45380</v>
      </c>
      <c r="B563" s="8" t="str">
        <f>"6405"</f>
        <v>6405</v>
      </c>
      <c r="C563" s="9" t="str">
        <f>"Условные требования по купле-продаже иностранной валюты"</f>
        <v>Условные требования по купле-продаже иностранной валюты</v>
      </c>
      <c r="D563" s="8">
        <f>""</f>
      </c>
      <c r="E563" s="8">
        <f>""</f>
      </c>
      <c r="F563" s="8">
        <f>""</f>
      </c>
      <c r="G563" s="10">
        <v>5935664728.8</v>
      </c>
    </row>
    <row r="564" spans="1:7" s="11" customFormat="1" ht="15">
      <c r="A564" s="7">
        <v>45380</v>
      </c>
      <c r="B564" s="8" t="str">
        <f>"6555"</f>
        <v>6555</v>
      </c>
      <c r="C564" s="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D564" s="8">
        <f>""</f>
      </c>
      <c r="E564" s="8">
        <f>""</f>
      </c>
      <c r="F564" s="8">
        <f>""</f>
      </c>
      <c r="G564" s="10">
        <v>49621397347.58</v>
      </c>
    </row>
    <row r="565" spans="1:7" s="11" customFormat="1" ht="15">
      <c r="A565" s="7">
        <v>45380</v>
      </c>
      <c r="B565" s="8" t="str">
        <f>"6575"</f>
        <v>6575</v>
      </c>
      <c r="C565" s="9" t="str">
        <f>"Возможное уменьшение требований по принятым гарантиям"</f>
        <v>Возможное уменьшение требований по принятым гарантиям</v>
      </c>
      <c r="D565" s="8">
        <f>""</f>
      </c>
      <c r="E565" s="8">
        <f>""</f>
      </c>
      <c r="F565" s="8">
        <f>""</f>
      </c>
      <c r="G565" s="10">
        <v>3326115743357.35</v>
      </c>
    </row>
    <row r="566" spans="1:7" s="11" customFormat="1" ht="15">
      <c r="A566" s="7">
        <v>45380</v>
      </c>
      <c r="B566" s="8" t="str">
        <f>"6605"</f>
        <v>6605</v>
      </c>
      <c r="C566" s="9" t="str">
        <f>"Условные обязательства по размещению вкладов в будущем"</f>
        <v>Условные обязательства по размещению вкладов в будущем</v>
      </c>
      <c r="D566" s="8">
        <f>""</f>
      </c>
      <c r="E566" s="8">
        <f>""</f>
      </c>
      <c r="F566" s="8">
        <f>""</f>
      </c>
      <c r="G566" s="10">
        <v>120000000000</v>
      </c>
    </row>
    <row r="567" spans="1:7" s="11" customFormat="1" ht="15">
      <c r="A567" s="7">
        <v>45380</v>
      </c>
      <c r="B567" s="8" t="str">
        <f>"6626"</f>
        <v>6626</v>
      </c>
      <c r="C567" s="9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D567" s="8">
        <f>""</f>
      </c>
      <c r="E567" s="8">
        <f>""</f>
      </c>
      <c r="F567" s="8">
        <f>""</f>
      </c>
      <c r="G567" s="10">
        <v>194147046552.5</v>
      </c>
    </row>
    <row r="568" spans="1:7" s="11" customFormat="1" ht="15">
      <c r="A568" s="7">
        <v>45380</v>
      </c>
      <c r="B568" s="8" t="str">
        <f>"6905"</f>
        <v>6905</v>
      </c>
      <c r="C568" s="9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D568" s="8">
        <f>""</f>
      </c>
      <c r="E568" s="8">
        <f>""</f>
      </c>
      <c r="F568" s="8">
        <f>""</f>
      </c>
      <c r="G568" s="10">
        <v>5963845241.04</v>
      </c>
    </row>
    <row r="569" spans="1:7" s="11" customFormat="1" ht="15">
      <c r="A569" s="7">
        <v>45380</v>
      </c>
      <c r="B569" s="8" t="str">
        <f>"6999"</f>
        <v>6999</v>
      </c>
      <c r="C569" s="9" t="str">
        <f>"Позиция по сделкам с иностранной валютой"</f>
        <v>Позиция по сделкам с иностранной валютой</v>
      </c>
      <c r="D569" s="8">
        <f>""</f>
      </c>
      <c r="E569" s="8">
        <f>""</f>
      </c>
      <c r="F569" s="8">
        <f>""</f>
      </c>
      <c r="G569" s="10">
        <v>-28180512.24</v>
      </c>
    </row>
    <row r="570" spans="1:7" s="11" customFormat="1" ht="15">
      <c r="A570" s="7">
        <v>45380</v>
      </c>
      <c r="B570" s="8" t="str">
        <f>"7250"</f>
        <v>7250</v>
      </c>
      <c r="C570" s="9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D570" s="8">
        <f>""</f>
      </c>
      <c r="E570" s="8">
        <f>""</f>
      </c>
      <c r="F570" s="8">
        <f>""</f>
      </c>
      <c r="G570" s="10">
        <v>3087607909561.64</v>
      </c>
    </row>
    <row r="571" spans="1:7" s="11" customFormat="1" ht="15">
      <c r="A571" s="7">
        <v>45380</v>
      </c>
      <c r="B571" s="8" t="str">
        <f>"7303"</f>
        <v>7303</v>
      </c>
      <c r="C571" s="9" t="str">
        <f>"Платежные документы, не оплаченные в срок"</f>
        <v>Платежные документы, не оплаченные в срок</v>
      </c>
      <c r="D571" s="8">
        <f>""</f>
      </c>
      <c r="E571" s="8">
        <f>""</f>
      </c>
      <c r="F571" s="8">
        <f>""</f>
      </c>
      <c r="G571" s="10">
        <v>2562729161359.15</v>
      </c>
    </row>
    <row r="572" spans="1:7" s="11" customFormat="1" ht="15">
      <c r="A572" s="7">
        <v>45380</v>
      </c>
      <c r="B572" s="8" t="str">
        <f>"7339"</f>
        <v>7339</v>
      </c>
      <c r="C572" s="9" t="str">
        <f>"Разные ценности и документы"</f>
        <v>Разные ценности и документы</v>
      </c>
      <c r="D572" s="8">
        <f>""</f>
      </c>
      <c r="E572" s="8">
        <f>""</f>
      </c>
      <c r="F572" s="8">
        <f>""</f>
      </c>
      <c r="G572" s="10">
        <v>136801850158.13</v>
      </c>
    </row>
    <row r="573" spans="1:7" s="11" customFormat="1" ht="15">
      <c r="A573" s="7">
        <v>45380</v>
      </c>
      <c r="B573" s="8" t="str">
        <f>"7342"</f>
        <v>7342</v>
      </c>
      <c r="C573" s="9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D573" s="8">
        <f>""</f>
      </c>
      <c r="E573" s="8">
        <f>""</f>
      </c>
      <c r="F573" s="8">
        <f>""</f>
      </c>
      <c r="G573" s="10">
        <v>3554</v>
      </c>
    </row>
    <row r="574" spans="1:7" s="11" customFormat="1" ht="15">
      <c r="A574" s="7">
        <v>45380</v>
      </c>
      <c r="B574" s="8" t="str">
        <f>"7360"</f>
        <v>7360</v>
      </c>
      <c r="C574" s="9" t="str">
        <f>"Акции и другие ценные бумаги клиентов"</f>
        <v>Акции и другие ценные бумаги клиентов</v>
      </c>
      <c r="D574" s="8">
        <f>""</f>
      </c>
      <c r="E574" s="8">
        <f>""</f>
      </c>
      <c r="F574" s="8">
        <f>""</f>
      </c>
      <c r="G574" s="10">
        <v>359063038259.47</v>
      </c>
    </row>
    <row r="575" spans="1:7" s="11" customFormat="1" ht="15">
      <c r="A575" s="7">
        <v>45380</v>
      </c>
      <c r="B575" s="8" t="str">
        <f>"7363"</f>
        <v>7363</v>
      </c>
      <c r="C575" s="9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D575" s="8">
        <f>""</f>
      </c>
      <c r="E575" s="8">
        <f>""</f>
      </c>
      <c r="F575" s="8">
        <f>""</f>
      </c>
      <c r="G575" s="10">
        <v>12197122170.19</v>
      </c>
    </row>
    <row r="576" spans="1:7" s="11" customFormat="1" ht="15">
      <c r="A576" s="7">
        <v>45380</v>
      </c>
      <c r="B576" s="8" t="str">
        <f>"7701"</f>
        <v>7701</v>
      </c>
      <c r="C576" s="9" t="str">
        <f>"Ценные бумаги"</f>
        <v>Ценные бумаги</v>
      </c>
      <c r="D576" s="8">
        <f>""</f>
      </c>
      <c r="E576" s="8">
        <f>""</f>
      </c>
      <c r="F576" s="8">
        <f>""</f>
      </c>
      <c r="G576" s="10">
        <v>16133400</v>
      </c>
    </row>
  </sheetData>
  <sheetProtection/>
  <mergeCells count="2">
    <mergeCell ref="C1:E1"/>
    <mergeCell ref="C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Завьялова Анастасия</dc:creator>
  <cp:keywords/>
  <dc:description/>
  <cp:lastModifiedBy>Завьялова Анастасия</cp:lastModifiedBy>
  <dcterms:created xsi:type="dcterms:W3CDTF">2024-04-04T06:35:00Z</dcterms:created>
  <dcterms:modified xsi:type="dcterms:W3CDTF">2024-04-04T10:36:19Z</dcterms:modified>
  <cp:category/>
  <cp:version/>
  <cp:contentType/>
  <cp:contentStatus/>
</cp:coreProperties>
</file>