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omments2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omments3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4.xml" ContentType="application/vnd.openxmlformats-officedocument.spreadsheetml.comments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omments5.xml" ContentType="application/vnd.openxmlformats-officedocument.spreadsheetml.comments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omments6.xml" ContentType="application/vnd.openxmlformats-officedocument.spreadsheetml.comments+xml"/>
  <Override PartName="/xl/customProperty1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четы\Сентябрь 2018\143\"/>
    </mc:Choice>
  </mc:AlternateContent>
  <bookViews>
    <workbookView xWindow="7965" yWindow="2145" windowWidth="15480" windowHeight="7995"/>
  </bookViews>
  <sheets>
    <sheet name="ОПиУ" sheetId="2" r:id="rId1"/>
    <sheet name="ББ" sheetId="1" r:id="rId2"/>
    <sheet name="ОИК (2)" sheetId="15" state="hidden" r:id="rId3"/>
    <sheet name="ОИК" sheetId="3" state="hidden" r:id="rId4"/>
    <sheet name="ОДД (косвен.метод)" sheetId="5" state="hidden" r:id="rId5"/>
    <sheet name="МСФО" sheetId="7" state="hidden" r:id="rId6"/>
    <sheet name="ОДД (прямой метод)" sheetId="4" state="hidden" r:id="rId7"/>
    <sheet name="Лист1" sheetId="6" state="hidden" r:id="rId8"/>
    <sheet name="Ф1" sheetId="8" state="hidden" r:id="rId9"/>
    <sheet name="Ф2" sheetId="9" state="hidden" r:id="rId10"/>
    <sheet name="Ф3" sheetId="10" state="hidden" r:id="rId11"/>
    <sheet name="Ф4" sheetId="12" state="hidden" r:id="rId12"/>
    <sheet name="Лист5" sheetId="11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B2" localSheetId="2">#REF!+#REF!+#REF!+#REF!+#REF!+#REF!+#REF!+#REF!+#REF!</definedName>
    <definedName name="_B2">#REF!+#REF!+#REF!+#REF!+#REF!+#REF!+#REF!+#REF!+#REF!</definedName>
    <definedName name="_Toc288513769" localSheetId="5">МСФО!$J$99</definedName>
    <definedName name="_Сверка" localSheetId="2">#REF!</definedName>
    <definedName name="_Сверка">#REF!</definedName>
    <definedName name="APPNAME" localSheetId="2">#REF!</definedName>
    <definedName name="APPNAME">#REF!</definedName>
    <definedName name="are" localSheetId="2">#REF!</definedName>
    <definedName name="are">#REF!</definedName>
    <definedName name="AREA_F_T2_1" localSheetId="2">#REF!</definedName>
    <definedName name="AREA_F_T2_1" localSheetId="11">'[1]28'!#REF!</definedName>
    <definedName name="AREA_F_T2_1">#REF!</definedName>
    <definedName name="AREA_F_T2_2" localSheetId="2">#REF!</definedName>
    <definedName name="AREA_F_T2_2" localSheetId="11">'[1]28'!#REF!</definedName>
    <definedName name="AREA_F_T2_2">#REF!</definedName>
    <definedName name="CellReceiver09" localSheetId="2">#REF!</definedName>
    <definedName name="CellReceiver09">#REF!</definedName>
    <definedName name="CellSender09" localSheetId="2">#REF!</definedName>
    <definedName name="CellSender09">#REF!</definedName>
    <definedName name="Column1">#REF!</definedName>
    <definedName name="Column2">#REF!</definedName>
    <definedName name="conect_name">#REF!</definedName>
    <definedName name="conect_name___0">#REF!</definedName>
    <definedName name="conect_name___14">#REF!</definedName>
    <definedName name="conect_name___23">#REF!</definedName>
    <definedName name="conect_name___28">#REF!</definedName>
    <definedName name="conect_name___40">#REF!</definedName>
    <definedName name="connect_name">#REF!</definedName>
    <definedName name="connect_name___0">#REF!</definedName>
    <definedName name="connect_name___14">#REF!</definedName>
    <definedName name="connect_name___23">#REF!</definedName>
    <definedName name="connect_name___28">#REF!</definedName>
    <definedName name="connect_name___40">#REF!</definedName>
    <definedName name="csDesignMode">1</definedName>
    <definedName name="curIntCo" localSheetId="2">#REF!</definedName>
    <definedName name="curIntCo" localSheetId="8">Ф1!$E$4</definedName>
    <definedName name="curIntCo" localSheetId="9">Ф2!$E$4</definedName>
    <definedName name="curIntCo" localSheetId="10">Ф3!$E$4</definedName>
    <definedName name="curIntCo" localSheetId="11">'[1]1'!$E$4</definedName>
    <definedName name="curIntCo">#REF!</definedName>
    <definedName name="CurrentPeriod" localSheetId="2">#REF!</definedName>
    <definedName name="CurrentPeriod" localSheetId="11">#REF!</definedName>
    <definedName name="CurrentPeriod">#REF!</definedName>
    <definedName name="currentRequest" localSheetId="2">#REF!</definedName>
    <definedName name="currentRequest" localSheetId="11">Ф4!$A$191</definedName>
    <definedName name="currentRequest">#REF!</definedName>
    <definedName name="currentStatus" localSheetId="12">Лист5!$A$192</definedName>
    <definedName name="currentStatus" localSheetId="2">#REF!</definedName>
    <definedName name="currentStatus" localSheetId="8">Ф1!$A$23</definedName>
    <definedName name="currentStatus" localSheetId="9">Ф2!$A$23</definedName>
    <definedName name="currentStatus" localSheetId="10">Ф3!$A$23</definedName>
    <definedName name="currentStatus" localSheetId="11">Ф4!$A$192</definedName>
    <definedName name="currentStatus">#REF!</definedName>
    <definedName name="cuurentStatus" localSheetId="2">#REF!</definedName>
    <definedName name="cuurentStatus">#REF!</definedName>
    <definedName name="d" localSheetId="2">#REF!</definedName>
    <definedName name="d">#REF!</definedName>
    <definedName name="def_gen_book" localSheetId="2">#REF!</definedName>
    <definedName name="def_gen_book">#REF!</definedName>
    <definedName name="def_gen_book___0" localSheetId="2">#REF!</definedName>
    <definedName name="def_gen_book___0">#REF!</definedName>
    <definedName name="def_gen_book___14">#REF!</definedName>
    <definedName name="def_gen_book___23">#REF!</definedName>
    <definedName name="def_gen_book___28">#REF!</definedName>
    <definedName name="def_gen_book___40">#REF!</definedName>
    <definedName name="def_gen_boor">#REF!</definedName>
    <definedName name="def_templ_book">#REF!</definedName>
    <definedName name="def_templ_book___0">#REF!</definedName>
    <definedName name="def_templ_book___14">#REF!</definedName>
    <definedName name="def_templ_book___23">#REF!</definedName>
    <definedName name="def_templ_book___28">#REF!</definedName>
    <definedName name="def_templ_book___40">#REF!</definedName>
    <definedName name="dsn">#REF!</definedName>
    <definedName name="dsn___0">#REF!</definedName>
    <definedName name="dsn___14">#REF!</definedName>
    <definedName name="dsn___23">#REF!</definedName>
    <definedName name="dsn___28">#REF!</definedName>
    <definedName name="dsn___40">#REF!</definedName>
    <definedName name="EndFilter">#REF!</definedName>
    <definedName name="EV__DECIMALSYMBOL__" hidden="1">","</definedName>
    <definedName name="EV__EVCOM_OPTIONS__" hidden="1">8</definedName>
    <definedName name="EV__EXPOPTIONS__" hidden="1">0</definedName>
    <definedName name="EV__LASTREFTIME__" localSheetId="11" hidden="1">"(GMT+06:00)27.03.2014 23:44:26"</definedName>
    <definedName name="EV__LASTREFTIME__" hidden="1">"(GMT+06:00)23.02.2015 17:12:53"</definedName>
    <definedName name="Ev__LimitedCV" localSheetId="11" hidden="1">"Application:LEGAL|Application:LEGAL|C_acct:100000000|C_m003:M3_NONE|C_m004:M4_NONE|C_m005:M5_NONE|Flow:F_NONE|Groups:NON_GROUP|Intco:I_NONE|Rptcurrency:LC|Measures:YTD"</definedName>
    <definedName name="EV__LOCKEDCVW__ICMatching" hidden="1">"ACTUAL,TOTALADJ,DO0013,M3_TOTAL,M4_TOTAL,F_CLO,CG001,TOT_IC,I_T,EUR,2007.TOTAL,YTD,"</definedName>
    <definedName name="EV__LOCKEDCVW__LEGAL" hidden="1">"310020100,ACTUAL,INPUT,DO0013,M3_NONE,M4_NONE,F_NONE,NON_GROUP,I_NONE,LC,2015.JUN,YTD,"</definedName>
    <definedName name="EV__LOCKEDCVW__REGISTER" hidden="1">"ACTUAL,METHOD,E00167,G00097,I_NONE,2007.TOTAL,PERIODIC,"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localSheetId="11" hidden="1">134217732</definedName>
    <definedName name="EV__WBREFOPTIONS__" hidden="1">134217732</definedName>
    <definedName name="EV__WBVERSION__" hidden="1">0</definedName>
    <definedName name="Excel_BuiltIn__FilterDatabase_5_1" localSheetId="2">#REF!</definedName>
    <definedName name="Excel_BuiltIn__FilterDatabase_5_1">#REF!</definedName>
    <definedName name="Excel_BuiltIn__FilterDatabase_6_1" localSheetId="2">#REF!</definedName>
    <definedName name="Excel_BuiltIn__FilterDatabase_6_1">#REF!</definedName>
    <definedName name="f" localSheetId="11">#REF!</definedName>
    <definedName name="f">#REF!</definedName>
    <definedName name="Filtr_ID" localSheetId="11">#REF!</definedName>
    <definedName name="Filtr_ID">#REF!</definedName>
    <definedName name="Filtr_Name">#REF!</definedName>
    <definedName name="FiltrIntCo" localSheetId="11">#REF!</definedName>
    <definedName name="FiltrIntCo">#REF!</definedName>
    <definedName name="Form10_NameTable1">#REF!</definedName>
    <definedName name="Form10_NameTable2">#REF!</definedName>
    <definedName name="Form10_NameTable3">#REF!</definedName>
    <definedName name="Form10_NameTable4">#REF!</definedName>
    <definedName name="Form10_NameTable5">#REF!</definedName>
    <definedName name="Form10_NameTable6">#REF!</definedName>
    <definedName name="Form10_NameTable7">#REF!</definedName>
    <definedName name="Form10_NameTable8">#REF!</definedName>
    <definedName name="Form10_NumStrTab1">#REF!</definedName>
    <definedName name="Form10_NumStrTab2">#REF!</definedName>
    <definedName name="Form10_NumStrTab3">#REF!</definedName>
    <definedName name="Form10_NumStrTab4">#REF!</definedName>
    <definedName name="Form10_NumStrTab5">#REF!</definedName>
    <definedName name="Form10_NumStrTab6">#REF!</definedName>
    <definedName name="Form10_NumStrTab7">#REF!</definedName>
    <definedName name="Form10_NumStrTab8">#REF!</definedName>
    <definedName name="Form10_RegionTable1">#REF!</definedName>
    <definedName name="Form10_RegionTable2">#REF!</definedName>
    <definedName name="Form10_RegionTable3">#REF!</definedName>
    <definedName name="Form10_RegionTable4">#REF!</definedName>
    <definedName name="Form10_RegionTable5">#REF!</definedName>
    <definedName name="Form10_RegionTable6">#REF!</definedName>
    <definedName name="Form10_RegionTable7">#REF!</definedName>
    <definedName name="Form10_RegionTable8">#REF!</definedName>
    <definedName name="Form101_NameTable1" localSheetId="11">#REF!</definedName>
    <definedName name="Form101_NameTable1">#REF!</definedName>
    <definedName name="Form101_NameTable2" localSheetId="11">#REF!</definedName>
    <definedName name="Form101_NameTable2">#REF!</definedName>
    <definedName name="Form101_NameTable3" localSheetId="11">#REF!</definedName>
    <definedName name="Form101_NameTable3">#REF!</definedName>
    <definedName name="Form101_NameTable4" localSheetId="11">#REF!</definedName>
    <definedName name="Form101_NameTable4">#REF!</definedName>
    <definedName name="Form101_NameTable5" localSheetId="11">#REF!</definedName>
    <definedName name="Form101_NameTable5">#REF!</definedName>
    <definedName name="Form101_NumStrTab1" localSheetId="11">#REF!</definedName>
    <definedName name="Form101_NumStrTab1">#REF!</definedName>
    <definedName name="Form101_NumStrTab2" localSheetId="11">#REF!</definedName>
    <definedName name="Form101_NumStrTab2">#REF!</definedName>
    <definedName name="Form101_NumStrTab3" localSheetId="11">#REF!</definedName>
    <definedName name="Form101_NumStrTab3">#REF!</definedName>
    <definedName name="Form101_NumStrTab4" localSheetId="11">#REF!</definedName>
    <definedName name="Form101_NumStrTab4">#REF!</definedName>
    <definedName name="Form101_NumStrTab5" localSheetId="11">#REF!</definedName>
    <definedName name="Form101_NumStrTab5">#REF!</definedName>
    <definedName name="Form101_RegionTable1" localSheetId="11">#REF!</definedName>
    <definedName name="Form101_RegionTable1">#REF!</definedName>
    <definedName name="Form101_RegionTable2" localSheetId="11">#REF!</definedName>
    <definedName name="Form101_RegionTable2">#REF!</definedName>
    <definedName name="Form101_RegionTable3" localSheetId="11">#REF!</definedName>
    <definedName name="Form101_RegionTable3">#REF!</definedName>
    <definedName name="Form101_RegionTable4" localSheetId="11">#REF!</definedName>
    <definedName name="Form101_RegionTable4">#REF!</definedName>
    <definedName name="Form101_RegionTable5" localSheetId="11">#REF!</definedName>
    <definedName name="Form101_RegionTable5">#REF!</definedName>
    <definedName name="Form11_NameTable1">#REF!</definedName>
    <definedName name="Form11_NameTable2">#REF!</definedName>
    <definedName name="Form11_NameTable3">#REF!</definedName>
    <definedName name="Form11_NameTable4">#REF!</definedName>
    <definedName name="Form11_NameTable5">#REF!</definedName>
    <definedName name="Form11_NameTable6">#REF!</definedName>
    <definedName name="Form11_NameTable7">#REF!</definedName>
    <definedName name="Form11_RegionTable1">#REF!</definedName>
    <definedName name="Form11_RegionTable2">#REF!</definedName>
    <definedName name="Form11_RegionTable3">#REF!</definedName>
    <definedName name="Form11_RegionTable4">#REF!</definedName>
    <definedName name="Form11_RegionTable5">#REF!</definedName>
    <definedName name="Form11_RegionTable6">#REF!</definedName>
    <definedName name="Form11_RegionTable7">#REF!</definedName>
    <definedName name="Form11_RowNumTable1">#REF!</definedName>
    <definedName name="Form11_RowNumTable2">#REF!</definedName>
    <definedName name="Form11_RowNumTable3">#REF!</definedName>
    <definedName name="Form11_RowNumTable4">#REF!</definedName>
    <definedName name="Form11_RowNumTable5">#REF!</definedName>
    <definedName name="Form11_RowNumTable6">#REF!</definedName>
    <definedName name="Form11_RowNumTable7">#REF!</definedName>
    <definedName name="Form11_RowRegionTable1">#REF!</definedName>
    <definedName name="Form11_RowRegionTable2">#REF!</definedName>
    <definedName name="Form11_RowRegionTable3">#REF!</definedName>
    <definedName name="Form11_RowRegionTable4">#REF!</definedName>
    <definedName name="Form11_RowRegionTable5">#REF!</definedName>
    <definedName name="Form11_RowRegionTable6">#REF!</definedName>
    <definedName name="Form11_RowRegionTable6_3">#REF!</definedName>
    <definedName name="Form11_RowRegionTable7">#REF!</definedName>
    <definedName name="Form14_ColRangeTable1">#REF!</definedName>
    <definedName name="Form14_ColRangeTable2">#REF!</definedName>
    <definedName name="Form14_ColRangeTable3">#REF!</definedName>
    <definedName name="Form14_NameTable1" localSheetId="2">#REF!</definedName>
    <definedName name="Form14_NameTable1" localSheetId="11">'[1]14'!$B$1</definedName>
    <definedName name="Form14_NameTable1">#REF!</definedName>
    <definedName name="Form14_NameTable2" localSheetId="2">#REF!</definedName>
    <definedName name="Form14_NameTable2" localSheetId="11">'[1]14'!$B$113</definedName>
    <definedName name="Form14_NameTable2">#REF!</definedName>
    <definedName name="Form14_NameTable3" localSheetId="2">#REF!</definedName>
    <definedName name="Form14_NameTable3" localSheetId="11">'[1]14'!$B$167</definedName>
    <definedName name="Form14_NameTable3">#REF!</definedName>
    <definedName name="Form14_NumStrTable1" localSheetId="2">#REF!</definedName>
    <definedName name="Form14_NumStrTable1" localSheetId="11">'[1]14'!$L$26</definedName>
    <definedName name="Form14_NumStrTable1">#REF!</definedName>
    <definedName name="Form14_NumStrTable2" localSheetId="2">#REF!</definedName>
    <definedName name="Form14_NumStrTable2" localSheetId="11">'[1]14'!$L$56</definedName>
    <definedName name="Form14_NumStrTable2">#REF!</definedName>
    <definedName name="Form14_NumStrTable3" localSheetId="2">#REF!</definedName>
    <definedName name="Form14_NumStrTable3" localSheetId="11">'[1]14'!$L$75</definedName>
    <definedName name="Form14_NumStrTable3">#REF!</definedName>
    <definedName name="Form18_ColRangeTable1" localSheetId="2">#REF!</definedName>
    <definedName name="Form18_ColRangeTable1">#REF!</definedName>
    <definedName name="Form18_ColRangeTable2" localSheetId="2">#REF!</definedName>
    <definedName name="Form18_ColRangeTable2">#REF!</definedName>
    <definedName name="Form18_ColRangeTable2_1">#REF!</definedName>
    <definedName name="Form18_ColRangeTable3">#REF!</definedName>
    <definedName name="Form18_ColRangeTable4">#REF!</definedName>
    <definedName name="Form18_ColRangeTable5">#REF!</definedName>
    <definedName name="Form18_NameTable1" localSheetId="2">#REF!</definedName>
    <definedName name="Form18_NameTable1" localSheetId="11">'[1]18'!$B$1</definedName>
    <definedName name="Form18_NameTable1">#REF!</definedName>
    <definedName name="Form18_NameTable2" localSheetId="2">#REF!</definedName>
    <definedName name="Form18_NameTable2" localSheetId="11">'[1]18'!$B$116</definedName>
    <definedName name="Form18_NameTable2">#REF!</definedName>
    <definedName name="Form18_NameTable3" localSheetId="2">#REF!</definedName>
    <definedName name="Form18_NameTable3" localSheetId="11">'[1]18'!$B$214</definedName>
    <definedName name="Form18_NameTable3">#REF!</definedName>
    <definedName name="Form18_NameTable4" localSheetId="2">#REF!</definedName>
    <definedName name="Form18_NameTable4" localSheetId="11">'[1]18'!$B$261</definedName>
    <definedName name="Form18_NameTable4">#REF!</definedName>
    <definedName name="Form18_NameTable5" localSheetId="2">#REF!</definedName>
    <definedName name="Form18_NameTable5" localSheetId="11">'[1]18'!$B$285</definedName>
    <definedName name="Form18_NameTable5">#REF!</definedName>
    <definedName name="Form18_NumStrTable1" localSheetId="2">#REF!</definedName>
    <definedName name="Form18_NumStrTable1" localSheetId="11">'[1]18'!$L$28</definedName>
    <definedName name="Form18_NumStrTable1">#REF!</definedName>
    <definedName name="Form18_NumStrTable2" localSheetId="2">#REF!</definedName>
    <definedName name="Form18_NumStrTable2" localSheetId="11">'[1]18'!$L$75</definedName>
    <definedName name="Form18_NumStrTable2">#REF!</definedName>
    <definedName name="Form18_NumStrTable3" localSheetId="2">#REF!</definedName>
    <definedName name="Form18_NumStrTable3" localSheetId="11">'[1]18'!$L$140</definedName>
    <definedName name="Form18_NumStrTable3">#REF!</definedName>
    <definedName name="Form18_NumStrTable4" localSheetId="2">#REF!</definedName>
    <definedName name="Form18_NumStrTable4" localSheetId="11">'[1]18'!$L$171</definedName>
    <definedName name="Form18_NumStrTable4">#REF!</definedName>
    <definedName name="Form18_NumStrTable5" localSheetId="2">#REF!</definedName>
    <definedName name="Form18_NumStrTable5" localSheetId="11">'[1]18'!$L$182</definedName>
    <definedName name="Form18_NumStrTable5">#REF!</definedName>
    <definedName name="Form18_NumStrTable5_1">'[2]18 (1)'!$M$166</definedName>
    <definedName name="Form18_RowRangeTable1" localSheetId="2">#REF!</definedName>
    <definedName name="Form18_RowRangeTable1">#REF!</definedName>
    <definedName name="Form18_RowRangeTable2" localSheetId="2">#REF!</definedName>
    <definedName name="Form18_RowRangeTable2">#REF!</definedName>
    <definedName name="Form18_RowRangeTable2_1" localSheetId="2">#REF!</definedName>
    <definedName name="Form18_RowRangeTable2_1">#REF!</definedName>
    <definedName name="Form26_ColRangeTable1">#REF!</definedName>
    <definedName name="Form26_ColRangeTable2">#REF!</definedName>
    <definedName name="Form26_NameTable1" localSheetId="2">#REF!</definedName>
    <definedName name="Form26_NameTable1" localSheetId="11">'[1]26'!$B$1</definedName>
    <definedName name="Form26_NameTable1">#REF!</definedName>
    <definedName name="Form26_NameTable2" localSheetId="2">#REF!</definedName>
    <definedName name="Form26_NameTable2" localSheetId="11">'[1]26'!$B$81</definedName>
    <definedName name="Form26_NameTable2">#REF!</definedName>
    <definedName name="Form26_NumStrTable1" localSheetId="2">#REF!</definedName>
    <definedName name="Form26_NumStrTable1" localSheetId="11">'[1]26'!$K$28</definedName>
    <definedName name="Form26_NumStrTable1">#REF!</definedName>
    <definedName name="Form26_NumStrTable2" localSheetId="2">#REF!</definedName>
    <definedName name="Form26_NumStrTable2" localSheetId="11">'[1]26'!$K$59</definedName>
    <definedName name="Form26_NumStrTable2">#REF!</definedName>
    <definedName name="Form36_ColRangeTable1" localSheetId="2">#REF!</definedName>
    <definedName name="Form36_ColRangeTable1" localSheetId="11">#REF!</definedName>
    <definedName name="Form36_ColRangeTable1">#REF!</definedName>
    <definedName name="Form36_ColRangeTable2" localSheetId="11">#REF!</definedName>
    <definedName name="Form36_ColRangeTable2">#REF!</definedName>
    <definedName name="Form36_NameTable1" localSheetId="11">#REF!</definedName>
    <definedName name="Form36_NameTable1">#REF!</definedName>
    <definedName name="Form36_NameTable2" localSheetId="11">#REF!</definedName>
    <definedName name="Form36_NameTable2">#REF!</definedName>
    <definedName name="Form36_NumStrTable1" localSheetId="11">#REF!</definedName>
    <definedName name="Form36_NumStrTable1">#REF!</definedName>
    <definedName name="Form36_NumStrTable2" localSheetId="11">#REF!</definedName>
    <definedName name="Form36_NumStrTable2">#REF!</definedName>
    <definedName name="Form41_ColRangeTable1">#REF!</definedName>
    <definedName name="Form41_ColRangeTable2">#REF!</definedName>
    <definedName name="Form41_ColRangeTable3">#REF!</definedName>
    <definedName name="Form41_NameTable1">#REF!</definedName>
    <definedName name="Form41_NameTable2">#REF!</definedName>
    <definedName name="Form41_NameTable3">#REF!</definedName>
    <definedName name="Form47_ColRangeTable1" localSheetId="11">#REF!</definedName>
    <definedName name="Form47_ColRangeTable1">#REF!</definedName>
    <definedName name="Form47_NameTable1" localSheetId="11">#REF!</definedName>
    <definedName name="Form47_NameTable1">#REF!</definedName>
    <definedName name="Form47_NumStrTable1" localSheetId="11">#REF!</definedName>
    <definedName name="Form47_NumStrTable1">#REF!</definedName>
    <definedName name="FormF4_ColRangeTable1" localSheetId="2">#REF!</definedName>
    <definedName name="FormF4_ColRangeTable1" localSheetId="11">Ф4!$B$5</definedName>
    <definedName name="FormF4_ColRangeTable1">#REF!</definedName>
    <definedName name="gen_path" localSheetId="2">#REF!</definedName>
    <definedName name="gen_path">#REF!</definedName>
    <definedName name="gen_path___0" localSheetId="2">#REF!</definedName>
    <definedName name="gen_path___0">#REF!</definedName>
    <definedName name="gen_path___14">#REF!</definedName>
    <definedName name="gen_path___23">#REF!</definedName>
    <definedName name="gen_path___28">#REF!</definedName>
    <definedName name="gen_path___40">#REF!</definedName>
    <definedName name="gn" localSheetId="2">#REF!+#REF!+#REF!+#REF!+#REF!+#REF!+#REF!+#REF!+#REF!</definedName>
    <definedName name="gn">#REF!+#REF!+#REF!+#REF!+#REF!+#REF!+#REF!+#REF!+#REF!</definedName>
    <definedName name="HEADER_CELL_T1_1_1">#REF!</definedName>
    <definedName name="HEADER_CELL_T1_1_2">#REF!</definedName>
    <definedName name="header1">#REF!</definedName>
    <definedName name="hg">#REF!</definedName>
    <definedName name="HideKeys">#REF!</definedName>
    <definedName name="hkj">#REF!</definedName>
    <definedName name="hyuj">#REF!</definedName>
    <definedName name="I_AVG_1">#REF!</definedName>
    <definedName name="I_AVG_2">#REF!</definedName>
    <definedName name="I1_AVG_1">#REF!</definedName>
    <definedName name="I1_AVG_2">#REF!</definedName>
    <definedName name="I2_AVG_1">#REF!</definedName>
    <definedName name="I2_AVG_2">#REF!</definedName>
    <definedName name="I3_AVG_1">#REF!</definedName>
    <definedName name="I3_AVG_2">#REF!</definedName>
    <definedName name="IntCo">#REF!</definedName>
    <definedName name="IntcoID">#REF!</definedName>
    <definedName name="IntCoMemberSet">#REF!</definedName>
    <definedName name="IntcoName">#REF!</definedName>
    <definedName name="IА229">#REF!</definedName>
    <definedName name="IА229___0">#REF!</definedName>
    <definedName name="IА229___28">#REF!</definedName>
    <definedName name="IА229___40">#REF!</definedName>
    <definedName name="jkl">#REF!</definedName>
    <definedName name="log_file_path">#REF!</definedName>
    <definedName name="log_file_path___0">#REF!</definedName>
    <definedName name="log_file_path___14">#REF!</definedName>
    <definedName name="log_file_path___23">#REF!</definedName>
    <definedName name="log_file_path___28">#REF!</definedName>
    <definedName name="log_file_path___40">#REF!</definedName>
    <definedName name="MEWarning" hidden="1">1</definedName>
    <definedName name="MS_INTCO">#REF!</definedName>
    <definedName name="MS_M004">#REF!</definedName>
    <definedName name="Name2" localSheetId="11">#REF!</definedName>
    <definedName name="Name2">#REF!</definedName>
    <definedName name="NameTable1">#REF!</definedName>
    <definedName name="NameTable2">#REF!</definedName>
    <definedName name="NameTable3">#REF!</definedName>
    <definedName name="NameTable4">#REF!</definedName>
    <definedName name="NumRowTbl1" localSheetId="2">#REF!</definedName>
    <definedName name="NumRowTbl1" localSheetId="11">'[1]13'!$M$216</definedName>
    <definedName name="NumRowTbl1">#REF!</definedName>
    <definedName name="NumRowTbl2" localSheetId="2">#REF!</definedName>
    <definedName name="NumRowTbl2" localSheetId="11">'[1]13'!$M$234</definedName>
    <definedName name="NumRowTbl2">#REF!</definedName>
    <definedName name="NumRowTbl3" localSheetId="2">#REF!</definedName>
    <definedName name="NumRowTbl3" localSheetId="11">'[1]13'!$M$255</definedName>
    <definedName name="NumRowTbl3">#REF!</definedName>
    <definedName name="NumRowTbl4" localSheetId="2">#REF!</definedName>
    <definedName name="NumRowTbl4" localSheetId="11">'[1]23'!#REF!</definedName>
    <definedName name="NumRowTbl4">#REF!</definedName>
    <definedName name="NumRowTbl5" localSheetId="2">#REF!</definedName>
    <definedName name="NumRowTbl5" localSheetId="11">'[1]13'!$M$288</definedName>
    <definedName name="NumRowTbl5">#REF!</definedName>
    <definedName name="NumRowTbl6" localSheetId="2">#REF!</definedName>
    <definedName name="NumRowTbl6" localSheetId="11">'[1]23'!$M$168</definedName>
    <definedName name="NumRowTbl6">#REF!</definedName>
    <definedName name="OLE_LINK2" localSheetId="0">ОПиУ!#REF!</definedName>
    <definedName name="OLE_LINK53" localSheetId="7">Лист1!$A$19</definedName>
    <definedName name="po" localSheetId="2">#REF!</definedName>
    <definedName name="po">#REF!</definedName>
    <definedName name="pp" localSheetId="2">#REF!</definedName>
    <definedName name="pp">#REF!</definedName>
    <definedName name="PreviousPeriod" localSheetId="2">#REF!</definedName>
    <definedName name="PreviousPeriod" localSheetId="9">Ф2!$E$11</definedName>
    <definedName name="PreviousPeriod" localSheetId="10">Ф3!$E$11</definedName>
    <definedName name="PreviousPeriod">#REF!</definedName>
    <definedName name="RegionTable1" localSheetId="2">#REF!</definedName>
    <definedName name="RegionTable1" localSheetId="11">#REF!</definedName>
    <definedName name="RegionTable1">#REF!</definedName>
    <definedName name="RegionTable2">#REF!</definedName>
    <definedName name="RegionTable3">#REF!</definedName>
    <definedName name="RegionTable4">#REF!</definedName>
    <definedName name="ReportHeading">#REF!</definedName>
    <definedName name="ROW_F_T1_1" localSheetId="2">#REF!</definedName>
    <definedName name="ROW_F_T1_1" localSheetId="11">'[1]23'!#REF!</definedName>
    <definedName name="ROW_F_T1_1">#REF!</definedName>
    <definedName name="ROW_F_T1_3" localSheetId="2">#REF!</definedName>
    <definedName name="ROW_F_T1_3">#REF!</definedName>
    <definedName name="ROW_F_T2_1" localSheetId="2">#REF!</definedName>
    <definedName name="ROW_F_T2_1">#REF!</definedName>
    <definedName name="ROW_F_T2_3">#REF!</definedName>
    <definedName name="rt" localSheetId="2">#REF!</definedName>
    <definedName name="rt">#REF!</definedName>
    <definedName name="sale_tariff">'[3]ИТОГО Динамика'!$B$64</definedName>
    <definedName name="sfe" localSheetId="2">#REF!</definedName>
    <definedName name="sfe">#REF!</definedName>
    <definedName name="T_1_1_ColKeyRange" localSheetId="2">#REF!</definedName>
    <definedName name="T_1_1_ColKeyRange">#REF!</definedName>
    <definedName name="T_1_2_ColKeyRange" localSheetId="2">#REF!</definedName>
    <definedName name="T_1_2_ColKeyRange">#REF!</definedName>
    <definedName name="T_1_3_ColKeyRange">#REF!</definedName>
    <definedName name="T_1_4_ColKeyRange">#REF!</definedName>
    <definedName name="table" localSheetId="2">#REF!</definedName>
    <definedName name="table">#REF!</definedName>
    <definedName name="table___0" localSheetId="2">#REF!</definedName>
    <definedName name="table___0">#REF!</definedName>
    <definedName name="table___40">#REF!</definedName>
    <definedName name="templ_path">#REF!</definedName>
    <definedName name="templ_path___0">#REF!</definedName>
    <definedName name="templ_path___14">#REF!</definedName>
    <definedName name="templ_path___23">#REF!</definedName>
    <definedName name="templ_path___28">#REF!</definedName>
    <definedName name="templ_path___40">#REF!</definedName>
    <definedName name="tu">#REF!</definedName>
    <definedName name="V_AVG_1">#REF!</definedName>
    <definedName name="V_AVG_1_1">#REF!</definedName>
    <definedName name="V_AVG_2">#REF!</definedName>
    <definedName name="V_I_19_CLO">#REF!</definedName>
    <definedName name="V_I_19_F_CLO">#REF!</definedName>
    <definedName name="V_I_19_F_OPE">#REF!</definedName>
    <definedName name="V_I_19_OPE">#REF!</definedName>
    <definedName name="V1_AVG_1">#REF!</definedName>
    <definedName name="V1_AVG_2">#REF!</definedName>
    <definedName name="V2_AVG_1">#REF!</definedName>
    <definedName name="V2_AVG_2">#REF!</definedName>
    <definedName name="V3_AVG_1">#REF!</definedName>
    <definedName name="V3_AVG_2">#REF!</definedName>
    <definedName name="work_path">#REF!</definedName>
    <definedName name="work_path___0">#REF!</definedName>
    <definedName name="work_path___14">#REF!</definedName>
    <definedName name="work_path___23">#REF!</definedName>
    <definedName name="work_path___28">#REF!</definedName>
    <definedName name="work_path___40">#REF!</definedName>
    <definedName name="Year" localSheetId="11">#REF!</definedName>
    <definedName name="Year">#REF!</definedName>
    <definedName name="Z13030200_F_OPE_TVSEGO_Target">#REF!</definedName>
    <definedName name="А1" localSheetId="2">#REF!+#REF!+#REF!+#REF!+#REF!+#REF!+#REF!+#REF!+#REF!</definedName>
    <definedName name="А1">#REF!+#REF!+#REF!+#REF!+#REF!+#REF!+#REF!+#REF!+#REF!</definedName>
    <definedName name="апп">#REF!</definedName>
    <definedName name="ббью">#REF!</definedName>
    <definedName name="бь">#REF!</definedName>
    <definedName name="бюб">#REF!</definedName>
    <definedName name="ва">#REF!</definedName>
    <definedName name="ведом">#REF!</definedName>
    <definedName name="ведомость1">#REF!</definedName>
    <definedName name="Вознаграждения">#REF!</definedName>
    <definedName name="вычеты">#REF!</definedName>
    <definedName name="гп" localSheetId="6">'[4]Сомн.треб общие'!#REF!</definedName>
    <definedName name="гп">'[5]Сомн.треб общие'!#REF!</definedName>
    <definedName name="гп___0">'[6]Сомн_треб общие'!#REF!</definedName>
    <definedName name="гп___14">'[7]Сомн_треб общие'!#REF!</definedName>
    <definedName name="гп___23">'[8]Сомн_треб общие'!#REF!</definedName>
    <definedName name="гп___28">'[7]Сомн_треб общие'!#REF!</definedName>
    <definedName name="гп___40">'[9]Сомн_треб общие'!#REF!</definedName>
    <definedName name="депозит" localSheetId="2">#REF!</definedName>
    <definedName name="депозит">#REF!</definedName>
    <definedName name="Для_Алексея" localSheetId="6">#REF!</definedName>
    <definedName name="Для_Алексея" localSheetId="2">#REF!</definedName>
    <definedName name="Для_Алексея">#REF!</definedName>
    <definedName name="Для_Алексея___0">#REF!</definedName>
    <definedName name="Для_Алексея___14">#REF!</definedName>
    <definedName name="Для_Алексея___23">#REF!</definedName>
    <definedName name="Для_Алексея___28">#REF!</definedName>
    <definedName name="Для_Алексея___40">#REF!</definedName>
    <definedName name="Для_Алексея___52">#REF!</definedName>
    <definedName name="Для_Алексея___53">#REF!</definedName>
    <definedName name="дляни123">#REF!</definedName>
    <definedName name="длянтс">#REF!</definedName>
    <definedName name="долхмп">#REF!</definedName>
    <definedName name="дох">#REF!</definedName>
    <definedName name="Доходность" localSheetId="2">#REF!+#REF!+#REF!+#REF!+#REF!+#REF!+#REF!+#REF!+#REF!</definedName>
    <definedName name="Доходность">#REF!+#REF!+#REF!+#REF!+#REF!+#REF!+#REF!+#REF!+#REF!</definedName>
    <definedName name="Доходы">#REF!</definedName>
    <definedName name="жж">#REF!</definedName>
    <definedName name="жжждл">#REF!</definedName>
    <definedName name="з">#REF!</definedName>
    <definedName name="з___0">#REF!</definedName>
    <definedName name="з___14">#REF!</definedName>
    <definedName name="з___23">#REF!</definedName>
    <definedName name="з___28">#REF!</definedName>
    <definedName name="з___40">#REF!</definedName>
    <definedName name="_xlnm.Print_Titles" localSheetId="11">Ф4!$171:$174</definedName>
    <definedName name="зз" localSheetId="2">#REF!</definedName>
    <definedName name="зз">#REF!</definedName>
    <definedName name="И" localSheetId="2">#REF!+#REF!+#REF!+#REF!+#REF!+#REF!+#REF!+#REF!+#REF!</definedName>
    <definedName name="И">#REF!+#REF!+#REF!+#REF!+#REF!+#REF!+#REF!+#REF!+#REF!</definedName>
    <definedName name="И___0" localSheetId="2">#REF!+#REF!+#REF!+#REF!+#REF!+#REF!+#REF!+#REF!+#REF!</definedName>
    <definedName name="И___0">#REF!+#REF!+#REF!+#REF!+#REF!+#REF!+#REF!+#REF!+#REF!</definedName>
    <definedName name="И___14">#REF!+#REF!+#REF!+#REF!+#REF!+#REF!+#REF!+#REF!+#REF!</definedName>
    <definedName name="И___28">#REF!+#REF!+#REF!+#REF!+#REF!+#REF!+#REF!+#REF!+#REF!</definedName>
    <definedName name="И___40">#REF!+#REF!+#REF!+#REF!+#REF!+#REF!+#REF!+#REF!+#REF!</definedName>
    <definedName name="ииииии">#REF!</definedName>
    <definedName name="иопрг">#REF!</definedName>
    <definedName name="иопрг___0">#REF!</definedName>
    <definedName name="иопрг___14">#REF!</definedName>
    <definedName name="иопрг___23">#REF!</definedName>
    <definedName name="иопрг___28">#REF!</definedName>
    <definedName name="иопрг___40">#REF!</definedName>
    <definedName name="ИПН">'[7]Сомн.треб общие'!#REF!</definedName>
    <definedName name="ипн1" localSheetId="2">#REF!</definedName>
    <definedName name="ипн1">#REF!</definedName>
    <definedName name="ирро" localSheetId="2">#REF!</definedName>
    <definedName name="ирро">#REF!</definedName>
    <definedName name="ирро___0" localSheetId="2">#REF!</definedName>
    <definedName name="ирро___0">#REF!</definedName>
    <definedName name="ирро___40">#REF!</definedName>
    <definedName name="итм">#REF!</definedName>
    <definedName name="Итого" localSheetId="6">#REF!+#REF!+#REF!+#REF!+#REF!+#REF!+#REF!+#REF!+#REF!</definedName>
    <definedName name="Итого">#REF!+#REF!+#REF!+#REF!+#REF!+#REF!+#REF!+#REF!+#REF!</definedName>
    <definedName name="Итого___0">#REF!+#REF!+#REF!+#REF!+#REF!+#REF!+#REF!+#REF!+#REF!</definedName>
    <definedName name="Итого___14">#REF!+#REF!+#REF!+#REF!+#REF!+#REF!+#REF!+#REF!+#REF!</definedName>
    <definedName name="Итого___23">#REF!+#REF!+#REF!+#REF!+#REF!+#REF!+#REF!+#REF!+#REF!</definedName>
    <definedName name="Итого___28">#REF!+#REF!+#REF!+#REF!+#REF!+#REF!+#REF!+#REF!+#REF!</definedName>
    <definedName name="Итого___40">#REF!+#REF!+#REF!+#REF!+#REF!+#REF!+#REF!+#REF!+#REF!</definedName>
    <definedName name="й" localSheetId="2">#REF!</definedName>
    <definedName name="й">#REF!</definedName>
    <definedName name="ккк">#REF!+#REF!+#REF!+#REF!+#REF!+#REF!+#REF!+#REF!+#REF!</definedName>
    <definedName name="кор">#REF!</definedName>
    <definedName name="ндс">#REF!</definedName>
    <definedName name="Нер">#REF!</definedName>
    <definedName name="ни">'[7]Сомн.треб общие'!#REF!</definedName>
    <definedName name="нтс1" localSheetId="2">#REF!+#REF!+#REF!+#REF!+#REF!+#REF!+#REF!+#REF!+#REF!</definedName>
    <definedName name="нтс1">#REF!+#REF!+#REF!+#REF!+#REF!+#REF!+#REF!+#REF!+#REF!</definedName>
    <definedName name="_xlnm.Print_Area" localSheetId="4">'ОДД (косвен.метод)'!$A$1:$D$93</definedName>
    <definedName name="_xlnm.Print_Area" localSheetId="6">'ОДД (прямой метод)'!$A$1:$D$84</definedName>
    <definedName name="_xlnm.Print_Area" localSheetId="3">ОИК!$A$1:$J$81</definedName>
    <definedName name="_xlnm.Print_Area" localSheetId="2">'ОИК (2)'!$A$1:$J$81</definedName>
    <definedName name="_xlnm.Print_Area" localSheetId="11">Ф4!$L$166:$AA$219</definedName>
    <definedName name="оксана" localSheetId="2">#REF!+#REF!+#REF!+#REF!+#REF!+#REF!+#REF!+#REF!+#REF!</definedName>
    <definedName name="оксана">#REF!+#REF!+#REF!+#REF!+#REF!+#REF!+#REF!+#REF!+#REF!</definedName>
    <definedName name="оля" localSheetId="2">#REF!</definedName>
    <definedName name="оля">#REF!</definedName>
    <definedName name="пар" localSheetId="2">#REF!</definedName>
    <definedName name="пар">#REF!</definedName>
    <definedName name="пен">#REF!</definedName>
    <definedName name="пр">#REF!</definedName>
    <definedName name="Прил20">#REF!</definedName>
    <definedName name="Прил20___0">#REF!</definedName>
    <definedName name="Прил20___14">#REF!</definedName>
    <definedName name="Прил20___28">#REF!</definedName>
    <definedName name="Прил20___40">#REF!</definedName>
    <definedName name="пррл12">#REF!</definedName>
    <definedName name="пррр">#REF!</definedName>
    <definedName name="рв" localSheetId="2">#REF!+#REF!+#REF!+#REF!+#REF!+#REF!+#REF!+#REF!+#REF!</definedName>
    <definedName name="рв">#REF!+#REF!+#REF!+#REF!+#REF!+#REF!+#REF!+#REF!+#REF!</definedName>
    <definedName name="рп">#REF!</definedName>
    <definedName name="у">#REF!</definedName>
    <definedName name="уаф">#REF!</definedName>
    <definedName name="ууу">#REF!</definedName>
    <definedName name="ф201">#REF!</definedName>
    <definedName name="х">#REF!</definedName>
    <definedName name="х___0">#REF!</definedName>
    <definedName name="х___14">#REF!</definedName>
    <definedName name="х___23">#REF!</definedName>
    <definedName name="х___28">#REF!</definedName>
    <definedName name="х___40">#REF!</definedName>
    <definedName name="щщ">#REF!</definedName>
    <definedName name="ъ" localSheetId="2">#REF!+#REF!+#REF!+#REF!+#REF!+#REF!+#REF!+#REF!+#REF!</definedName>
    <definedName name="ъ">#REF!+#REF!+#REF!+#REF!+#REF!+#REF!+#REF!+#REF!+#REF!</definedName>
    <definedName name="ъ___0">#REF!+#REF!+#REF!+#REF!+#REF!+#REF!+#REF!+#REF!+#REF!</definedName>
    <definedName name="ъ___14">#REF!+#REF!+#REF!+#REF!+#REF!+#REF!+#REF!+#REF!+#REF!</definedName>
    <definedName name="ъ___28">#REF!+#REF!+#REF!+#REF!+#REF!+#REF!+#REF!+#REF!+#REF!</definedName>
    <definedName name="ъ___40">#REF!+#REF!+#REF!+#REF!+#REF!+#REF!+#REF!+#REF!+#REF!</definedName>
    <definedName name="ы">#REF!</definedName>
    <definedName name="ь">#REF!</definedName>
    <definedName name="ь___0">#REF!</definedName>
    <definedName name="ь___14">#REF!</definedName>
    <definedName name="ь___28">#REF!</definedName>
    <definedName name="ь___40">#REF!</definedName>
    <definedName name="ьб">#REF!</definedName>
    <definedName name="ью">#REF!+#REF!+#REF!+#REF!+#REF!+#REF!+#REF!+#REF!+#REF!</definedName>
    <definedName name="э">#REF!</definedName>
    <definedName name="э___0">#REF!</definedName>
    <definedName name="э___14">#REF!</definedName>
    <definedName name="э___28">#REF!</definedName>
    <definedName name="э___40">#REF!</definedName>
    <definedName name="ээ">#REF!</definedName>
    <definedName name="ю">#REF!</definedName>
    <definedName name="ю1">#REF!</definedName>
    <definedName name="ю1___0">#REF!</definedName>
    <definedName name="ю1___14">#REF!</definedName>
    <definedName name="ю1___28">#REF!</definedName>
    <definedName name="ю1___40">#REF!</definedName>
    <definedName name="юг">#REF!</definedName>
    <definedName name="юг___0">#REF!</definedName>
    <definedName name="юг___14">#REF!</definedName>
    <definedName name="юг___28">#REF!</definedName>
    <definedName name="юг___40">#REF!</definedName>
    <definedName name="Юлия">#REF!+#REF!+#REF!+#REF!+#REF!+#REF!+#REF!+#REF!+#REF!</definedName>
    <definedName name="Юлия___0">#REF!+#REF!+#REF!+#REF!+#REF!+#REF!+#REF!+#REF!+#REF!</definedName>
    <definedName name="Юлия___14">#REF!+#REF!+#REF!+#REF!+#REF!+#REF!+#REF!+#REF!+#REF!</definedName>
    <definedName name="Юлия___28">#REF!+#REF!+#REF!+#REF!+#REF!+#REF!+#REF!+#REF!+#REF!</definedName>
    <definedName name="Юлия___40">#REF!+#REF!+#REF!+#REF!+#REF!+#REF!+#REF!+#REF!+#REF!</definedName>
    <definedName name="ЮЛЯ">#REF!+#REF!+#REF!+#REF!+#REF!+#REF!+#REF!+#REF!+#REF!</definedName>
    <definedName name="ЮЛЯ___0">#REF!+#REF!+#REF!+#REF!+#REF!+#REF!+#REF!+#REF!+#REF!</definedName>
    <definedName name="ЮЛЯ___14">#REF!+#REF!+#REF!+#REF!+#REF!+#REF!+#REF!+#REF!+#REF!</definedName>
    <definedName name="ЮЛЯ___28">#REF!+#REF!+#REF!+#REF!+#REF!+#REF!+#REF!+#REF!+#REF!</definedName>
    <definedName name="ЮЛЯ___40">#REF!+#REF!+#REF!+#REF!+#REF!+#REF!+#REF!+#REF!+#REF!</definedName>
    <definedName name="ЮР">#REF!+#REF!+#REF!+#REF!+#REF!+#REF!+#REF!+#REF!+#REF!</definedName>
    <definedName name="ЮР___0">#REF!+#REF!+#REF!+#REF!+#REF!+#REF!+#REF!+#REF!+#REF!</definedName>
    <definedName name="ЮР___14">#REF!+#REF!+#REF!+#REF!+#REF!+#REF!+#REF!+#REF!+#REF!</definedName>
    <definedName name="ЮР___28">#REF!+#REF!+#REF!+#REF!+#REF!+#REF!+#REF!+#REF!+#REF!</definedName>
    <definedName name="ЮР___40">#REF!+#REF!+#REF!+#REF!+#REF!+#REF!+#REF!+#REF!+#REF!</definedName>
    <definedName name="ЮЮ">#REF!</definedName>
  </definedNames>
  <calcPr calcId="152511"/>
</workbook>
</file>

<file path=xl/calcChain.xml><?xml version="1.0" encoding="utf-8"?>
<calcChain xmlns="http://schemas.openxmlformats.org/spreadsheetml/2006/main">
  <c r="D44" i="2" l="1"/>
  <c r="C36" i="2"/>
  <c r="D36" i="2"/>
  <c r="D52" i="2"/>
  <c r="C52" i="2"/>
  <c r="C44" i="2"/>
  <c r="C28" i="2"/>
  <c r="C51" i="2"/>
  <c r="C47" i="2" l="1"/>
  <c r="C46" i="2"/>
  <c r="D13" i="2" l="1"/>
  <c r="D18" i="2" s="1"/>
  <c r="D24" i="2" s="1"/>
  <c r="D26" i="2" s="1"/>
  <c r="D28" i="2" s="1"/>
  <c r="D51" i="2" s="1"/>
  <c r="C13" i="2"/>
  <c r="C18" i="2" s="1"/>
  <c r="C24" i="2" s="1"/>
  <c r="C26" i="2" s="1"/>
  <c r="F58" i="1"/>
  <c r="F78" i="1"/>
  <c r="F46" i="1"/>
  <c r="F29" i="1"/>
  <c r="F47" i="1"/>
  <c r="E58" i="1"/>
  <c r="E68" i="1"/>
  <c r="E75" i="1"/>
  <c r="E77" i="1" s="1"/>
  <c r="D47" i="2"/>
  <c r="D46" i="2"/>
  <c r="I48" i="3"/>
  <c r="J55" i="15"/>
  <c r="I47" i="15"/>
  <c r="H47" i="15"/>
  <c r="G18" i="15"/>
  <c r="H16" i="15"/>
  <c r="I16" i="15"/>
  <c r="C77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I60" i="15"/>
  <c r="H60" i="15"/>
  <c r="G60" i="15"/>
  <c r="F60" i="15"/>
  <c r="E60" i="15"/>
  <c r="D60" i="15"/>
  <c r="J43" i="15"/>
  <c r="J42" i="15"/>
  <c r="J41" i="15"/>
  <c r="J40" i="15"/>
  <c r="J39" i="15"/>
  <c r="J38" i="15"/>
  <c r="J37" i="15"/>
  <c r="J36" i="15"/>
  <c r="I29" i="15"/>
  <c r="H29" i="15"/>
  <c r="H44" i="15"/>
  <c r="H46" i="15"/>
  <c r="G29" i="15"/>
  <c r="F29" i="15"/>
  <c r="F44" i="15"/>
  <c r="F46" i="15"/>
  <c r="F75" i="15"/>
  <c r="E29" i="15"/>
  <c r="D29" i="15"/>
  <c r="D44" i="15"/>
  <c r="D46" i="15"/>
  <c r="J24" i="15"/>
  <c r="J18" i="15"/>
  <c r="J17" i="15"/>
  <c r="G16" i="15"/>
  <c r="J15" i="15"/>
  <c r="I15" i="15"/>
  <c r="H15" i="15"/>
  <c r="G15" i="15"/>
  <c r="F15" i="15"/>
  <c r="E15" i="15"/>
  <c r="E44" i="15"/>
  <c r="E46" i="15"/>
  <c r="E75" i="15"/>
  <c r="D15" i="15"/>
  <c r="C6" i="15"/>
  <c r="G49" i="15"/>
  <c r="J49" i="15"/>
  <c r="J60" i="15"/>
  <c r="D75" i="15"/>
  <c r="J48" i="15"/>
  <c r="H75" i="15"/>
  <c r="J16" i="15"/>
  <c r="I44" i="15"/>
  <c r="I46" i="15"/>
  <c r="I75" i="15"/>
  <c r="J29" i="15"/>
  <c r="G44" i="15"/>
  <c r="G46" i="15"/>
  <c r="G47" i="15"/>
  <c r="J47" i="15"/>
  <c r="J44" i="15"/>
  <c r="J46" i="15"/>
  <c r="G75" i="15"/>
  <c r="J75" i="15"/>
  <c r="A60" i="2"/>
  <c r="A80" i="15"/>
  <c r="F75" i="1"/>
  <c r="F77" i="1"/>
  <c r="F68" i="1"/>
  <c r="A58" i="2"/>
  <c r="A77" i="15"/>
  <c r="A9" i="3"/>
  <c r="Y214" i="12"/>
  <c r="Y213" i="12"/>
  <c r="Y212" i="12"/>
  <c r="M212" i="12"/>
  <c r="Y211" i="12"/>
  <c r="M211" i="12"/>
  <c r="Y210" i="12"/>
  <c r="M210" i="12"/>
  <c r="Y209" i="12"/>
  <c r="M209" i="12"/>
  <c r="Y208" i="12"/>
  <c r="M208" i="12"/>
  <c r="Y207" i="12"/>
  <c r="M207" i="12"/>
  <c r="Y206" i="12"/>
  <c r="M206" i="12"/>
  <c r="Y205" i="12"/>
  <c r="M205" i="12"/>
  <c r="Y204" i="12"/>
  <c r="M204" i="12"/>
  <c r="Y203" i="12"/>
  <c r="M203" i="12"/>
  <c r="Y202" i="12"/>
  <c r="M202" i="12"/>
  <c r="Y201" i="12"/>
  <c r="M201" i="12"/>
  <c r="Y200" i="12"/>
  <c r="M200" i="12"/>
  <c r="Y199" i="12"/>
  <c r="M199" i="12"/>
  <c r="Y198" i="12"/>
  <c r="M198" i="12"/>
  <c r="Y197" i="12"/>
  <c r="M197" i="12"/>
  <c r="Y196" i="12"/>
  <c r="M196" i="12"/>
  <c r="Y195" i="12"/>
  <c r="M195" i="12"/>
  <c r="Y194" i="12"/>
  <c r="M194" i="12"/>
  <c r="Y193" i="12"/>
  <c r="M193" i="12"/>
  <c r="Y192" i="12"/>
  <c r="M192" i="12"/>
  <c r="Y191" i="12"/>
  <c r="M191" i="12"/>
  <c r="Y190" i="12"/>
  <c r="M190" i="12"/>
  <c r="Y189" i="12"/>
  <c r="M189" i="12"/>
  <c r="Y188" i="12"/>
  <c r="M188" i="12"/>
  <c r="Y187" i="12"/>
  <c r="M187" i="12"/>
  <c r="Y186" i="12"/>
  <c r="M186" i="12"/>
  <c r="Y185" i="12"/>
  <c r="M185" i="12"/>
  <c r="Y184" i="12"/>
  <c r="M184" i="12"/>
  <c r="Y183" i="12"/>
  <c r="M183" i="12"/>
  <c r="Y182" i="12"/>
  <c r="M182" i="12"/>
  <c r="B182" i="12"/>
  <c r="Y181" i="12"/>
  <c r="M181" i="12"/>
  <c r="B181" i="12"/>
  <c r="Y180" i="12"/>
  <c r="M180" i="12"/>
  <c r="B180" i="12"/>
  <c r="Y179" i="12"/>
  <c r="M179" i="12"/>
  <c r="B179" i="12"/>
  <c r="Y178" i="12"/>
  <c r="M178" i="12"/>
  <c r="B178" i="12"/>
  <c r="Y177" i="12"/>
  <c r="M177" i="12"/>
  <c r="Y176" i="12"/>
  <c r="Y175" i="12"/>
  <c r="B174" i="12"/>
  <c r="B173" i="12"/>
  <c r="B172" i="12"/>
  <c r="N171" i="12"/>
  <c r="B171" i="12"/>
  <c r="B170" i="12"/>
  <c r="B169" i="12"/>
  <c r="B168" i="12"/>
  <c r="B166" i="12"/>
  <c r="B162" i="12"/>
  <c r="B161" i="12"/>
  <c r="B160" i="12"/>
  <c r="B158" i="12"/>
  <c r="B157" i="12"/>
  <c r="B156" i="12"/>
  <c r="B155" i="12"/>
  <c r="B154" i="12"/>
  <c r="B153" i="12"/>
  <c r="B152" i="12"/>
  <c r="B149" i="12"/>
  <c r="B148" i="12"/>
  <c r="B147" i="12"/>
  <c r="B146" i="12"/>
  <c r="B145" i="12"/>
  <c r="B144" i="12"/>
  <c r="B143" i="12"/>
  <c r="B142" i="12"/>
  <c r="A8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C17" i="12"/>
  <c r="B22" i="12"/>
  <c r="B17" i="12"/>
  <c r="S171" i="10"/>
  <c r="R171" i="10"/>
  <c r="B102" i="10"/>
  <c r="B17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F60" i="9"/>
  <c r="E60" i="9"/>
  <c r="B60" i="9"/>
  <c r="F17" i="9"/>
  <c r="E17" i="9"/>
  <c r="B17" i="9"/>
  <c r="V14" i="9"/>
  <c r="V17" i="9"/>
  <c r="V24" i="9"/>
  <c r="V33" i="9"/>
  <c r="V36" i="9"/>
  <c r="V39" i="9"/>
  <c r="V81" i="9"/>
  <c r="U14" i="9"/>
  <c r="U17" i="9"/>
  <c r="U24" i="9"/>
  <c r="U33" i="9"/>
  <c r="U36" i="9"/>
  <c r="U39" i="9"/>
  <c r="U81" i="9"/>
  <c r="T14" i="9"/>
  <c r="T17" i="9"/>
  <c r="T24" i="9"/>
  <c r="T33" i="9"/>
  <c r="T36" i="9"/>
  <c r="T39" i="9"/>
  <c r="T81" i="9"/>
  <c r="U101" i="8"/>
  <c r="U102" i="8"/>
  <c r="T101" i="8"/>
  <c r="T102" i="8"/>
  <c r="S101" i="8"/>
  <c r="S102" i="8"/>
  <c r="G101" i="8"/>
  <c r="F101" i="8"/>
  <c r="E101" i="8"/>
  <c r="B101" i="8"/>
  <c r="U72" i="8"/>
  <c r="T72" i="8"/>
  <c r="S72" i="8"/>
  <c r="B59" i="8"/>
  <c r="U58" i="8"/>
  <c r="T58" i="8"/>
  <c r="S58" i="8"/>
  <c r="G17" i="8"/>
  <c r="F17" i="8"/>
  <c r="E17" i="8"/>
  <c r="B17" i="8"/>
  <c r="U10" i="8"/>
  <c r="T10" i="8"/>
  <c r="S10" i="8"/>
  <c r="D82" i="5"/>
  <c r="C75" i="5"/>
  <c r="C82" i="5"/>
  <c r="E281" i="7"/>
  <c r="E287" i="7"/>
  <c r="E297" i="7"/>
  <c r="E304" i="7"/>
  <c r="E278" i="7"/>
  <c r="D287" i="7"/>
  <c r="D297" i="7"/>
  <c r="D300" i="7"/>
  <c r="D278" i="7"/>
  <c r="D281" i="7"/>
  <c r="F69" i="5"/>
  <c r="E303" i="7"/>
  <c r="D303" i="7"/>
  <c r="E298" i="7"/>
  <c r="D298" i="7"/>
  <c r="D86" i="5"/>
  <c r="D84" i="5"/>
  <c r="D80" i="5"/>
  <c r="D76" i="5"/>
  <c r="D78" i="5"/>
  <c r="D72" i="5"/>
  <c r="D54" i="5"/>
  <c r="G41" i="5"/>
  <c r="G40" i="5"/>
  <c r="C67" i="5"/>
  <c r="D67" i="5"/>
  <c r="D63" i="5"/>
  <c r="H247" i="7"/>
  <c r="D66" i="5"/>
  <c r="D60" i="5"/>
  <c r="D59" i="5"/>
  <c r="D53" i="5"/>
  <c r="C53" i="5"/>
  <c r="C47" i="5"/>
  <c r="D44" i="5"/>
  <c r="D42" i="5"/>
  <c r="C44" i="5"/>
  <c r="C54" i="5"/>
  <c r="D36" i="5"/>
  <c r="D35" i="5"/>
  <c r="D34" i="5"/>
  <c r="D33" i="5"/>
  <c r="D31" i="5"/>
  <c r="C29" i="5"/>
  <c r="D29" i="5"/>
  <c r="D28" i="5"/>
  <c r="D24" i="5"/>
  <c r="D23" i="5"/>
  <c r="D19" i="5"/>
  <c r="D15" i="5"/>
  <c r="D304" i="7"/>
  <c r="C60" i="5"/>
  <c r="G247" i="7"/>
  <c r="F41" i="5"/>
  <c r="G30" i="5"/>
  <c r="G87" i="5"/>
  <c r="F87" i="5"/>
  <c r="G86" i="5"/>
  <c r="I86" i="5"/>
  <c r="F86" i="5"/>
  <c r="G69" i="5"/>
  <c r="F40" i="5"/>
  <c r="G37" i="5"/>
  <c r="F37" i="5"/>
  <c r="F30" i="5"/>
  <c r="C16" i="5"/>
  <c r="D17" i="5"/>
  <c r="D14" i="5"/>
  <c r="D30" i="5"/>
  <c r="E152" i="7"/>
  <c r="D152" i="7"/>
  <c r="E144" i="7"/>
  <c r="D144" i="7"/>
  <c r="D121" i="7"/>
  <c r="D127" i="7"/>
  <c r="D136" i="7"/>
  <c r="E116" i="7"/>
  <c r="E121" i="7"/>
  <c r="E127" i="7"/>
  <c r="E136" i="7"/>
  <c r="E104" i="7"/>
  <c r="D104" i="7"/>
  <c r="D116" i="7"/>
  <c r="D64" i="7"/>
  <c r="D84" i="7"/>
  <c r="D81" i="7"/>
  <c r="D87" i="7"/>
  <c r="D51" i="7"/>
  <c r="D46" i="7"/>
  <c r="D30" i="7"/>
  <c r="E30" i="7"/>
  <c r="D16" i="7"/>
  <c r="D33" i="7"/>
  <c r="E16" i="7"/>
  <c r="C36" i="5"/>
  <c r="C84" i="5"/>
  <c r="C35" i="5"/>
  <c r="C34" i="5"/>
  <c r="C87" i="5"/>
  <c r="D87" i="5"/>
  <c r="D88" i="5"/>
  <c r="C80" i="5"/>
  <c r="C78" i="5"/>
  <c r="C73" i="5"/>
  <c r="D73" i="5"/>
  <c r="D70" i="5"/>
  <c r="D69" i="5"/>
  <c r="I69" i="5"/>
  <c r="C72" i="5"/>
  <c r="C59" i="5"/>
  <c r="C66" i="5"/>
  <c r="C62" i="5"/>
  <c r="C55" i="5"/>
  <c r="D62" i="5"/>
  <c r="C58" i="5"/>
  <c r="D58" i="5"/>
  <c r="D57" i="5"/>
  <c r="C57" i="5"/>
  <c r="C52" i="5"/>
  <c r="D52" i="5"/>
  <c r="C39" i="5"/>
  <c r="D39" i="5"/>
  <c r="C38" i="5"/>
  <c r="D38" i="5"/>
  <c r="C31" i="5"/>
  <c r="C33" i="5"/>
  <c r="C70" i="5"/>
  <c r="C69" i="5"/>
  <c r="C42" i="5"/>
  <c r="C76" i="5"/>
  <c r="C24" i="5"/>
  <c r="C28" i="5"/>
  <c r="C23" i="5"/>
  <c r="C15" i="5"/>
  <c r="C14" i="5"/>
  <c r="F49" i="3"/>
  <c r="F47" i="3"/>
  <c r="E49" i="3"/>
  <c r="E47" i="3"/>
  <c r="D49" i="3"/>
  <c r="D47" i="3"/>
  <c r="I49" i="3"/>
  <c r="H49" i="3"/>
  <c r="G49" i="3"/>
  <c r="G47" i="3"/>
  <c r="G29" i="3"/>
  <c r="I40" i="3"/>
  <c r="I29" i="3"/>
  <c r="D29" i="3"/>
  <c r="H69" i="5"/>
  <c r="H29" i="3"/>
  <c r="C77" i="3"/>
  <c r="B89" i="5"/>
  <c r="H48" i="3"/>
  <c r="H47" i="3" s="1"/>
  <c r="C86" i="5"/>
  <c r="H86" i="5"/>
  <c r="C56" i="6"/>
  <c r="C62" i="6"/>
  <c r="C82" i="6"/>
  <c r="C36" i="6"/>
  <c r="C42" i="6"/>
  <c r="I60" i="3"/>
  <c r="H60" i="3"/>
  <c r="G60" i="3"/>
  <c r="J60" i="3"/>
  <c r="F60" i="3"/>
  <c r="E60" i="3"/>
  <c r="D60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59" i="3"/>
  <c r="J58" i="3"/>
  <c r="J57" i="3"/>
  <c r="J56" i="3"/>
  <c r="J55" i="3"/>
  <c r="J54" i="3"/>
  <c r="J53" i="3"/>
  <c r="J52" i="3"/>
  <c r="J51" i="3"/>
  <c r="J50" i="3"/>
  <c r="J49" i="3"/>
  <c r="J45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8" i="3"/>
  <c r="J27" i="3"/>
  <c r="J26" i="3"/>
  <c r="J25" i="3"/>
  <c r="J24" i="3"/>
  <c r="J23" i="3"/>
  <c r="J22" i="3"/>
  <c r="J21" i="3"/>
  <c r="J20" i="3"/>
  <c r="J19" i="3"/>
  <c r="I18" i="3"/>
  <c r="I16" i="3"/>
  <c r="H18" i="3"/>
  <c r="H16" i="3"/>
  <c r="G18" i="3"/>
  <c r="G16" i="3"/>
  <c r="F18" i="3"/>
  <c r="E18" i="3"/>
  <c r="D18" i="3"/>
  <c r="J17" i="3"/>
  <c r="I15" i="3"/>
  <c r="G15" i="3"/>
  <c r="F15" i="3"/>
  <c r="F44" i="3"/>
  <c r="F46" i="3"/>
  <c r="E15" i="3"/>
  <c r="E44" i="3"/>
  <c r="E46" i="3"/>
  <c r="D15" i="3"/>
  <c r="D44" i="3"/>
  <c r="D46" i="3"/>
  <c r="D75" i="3"/>
  <c r="J14" i="3"/>
  <c r="H15" i="3"/>
  <c r="C6" i="3"/>
  <c r="C47" i="4"/>
  <c r="C46" i="4"/>
  <c r="G44" i="3"/>
  <c r="G46" i="3"/>
  <c r="G75" i="3"/>
  <c r="J18" i="3"/>
  <c r="J29" i="3"/>
  <c r="J15" i="3"/>
  <c r="C73" i="4"/>
  <c r="C58" i="4"/>
  <c r="C27" i="4"/>
  <c r="C24" i="4"/>
  <c r="C26" i="4"/>
  <c r="C44" i="4"/>
  <c r="C69" i="4"/>
  <c r="C67" i="4"/>
  <c r="C74" i="4"/>
  <c r="C49" i="4"/>
  <c r="C48" i="4"/>
  <c r="D35" i="4"/>
  <c r="D33" i="4"/>
  <c r="D71" i="4"/>
  <c r="D67" i="4"/>
  <c r="D69" i="4"/>
  <c r="D66" i="4"/>
  <c r="D64" i="4"/>
  <c r="D63" i="4"/>
  <c r="D61" i="4"/>
  <c r="D74" i="4"/>
  <c r="D58" i="4"/>
  <c r="D57" i="4"/>
  <c r="D51" i="4"/>
  <c r="D46" i="4"/>
  <c r="D49" i="4"/>
  <c r="D48" i="4"/>
  <c r="D43" i="4"/>
  <c r="D29" i="4"/>
  <c r="D22" i="4"/>
  <c r="D25" i="4"/>
  <c r="D14" i="4"/>
  <c r="B6" i="4"/>
  <c r="C61" i="4"/>
  <c r="B6" i="5"/>
  <c r="E29" i="1"/>
  <c r="B8" i="2"/>
  <c r="C59" i="4"/>
  <c r="C22" i="4"/>
  <c r="C31" i="4"/>
  <c r="E46" i="1"/>
  <c r="C76" i="4"/>
  <c r="C78" i="4"/>
  <c r="D31" i="4"/>
  <c r="D76" i="4"/>
  <c r="D78" i="4"/>
  <c r="J16" i="3"/>
  <c r="F75" i="3"/>
  <c r="E300" i="7"/>
  <c r="G248" i="7"/>
  <c r="C41" i="5"/>
  <c r="H41" i="5"/>
  <c r="I30" i="5"/>
  <c r="D37" i="5"/>
  <c r="D59" i="4"/>
  <c r="H44" i="3"/>
  <c r="H46" i="3"/>
  <c r="E75" i="3"/>
  <c r="I44" i="3"/>
  <c r="I46" i="3"/>
  <c r="I75" i="3"/>
  <c r="C85" i="6"/>
  <c r="C90" i="6"/>
  <c r="D55" i="5"/>
  <c r="H248" i="7"/>
  <c r="H249" i="7"/>
  <c r="H87" i="5"/>
  <c r="C30" i="5"/>
  <c r="I87" i="5"/>
  <c r="C88" i="5"/>
  <c r="B6" i="10"/>
  <c r="B6" i="12"/>
  <c r="B10" i="12"/>
  <c r="B9" i="10"/>
  <c r="B90" i="10"/>
  <c r="B9" i="12"/>
  <c r="B89" i="10"/>
  <c r="B5" i="8"/>
  <c r="B48" i="9"/>
  <c r="B94" i="8"/>
  <c r="B52" i="8"/>
  <c r="B93" i="8"/>
  <c r="B5" i="12"/>
  <c r="B89" i="8"/>
  <c r="B4" i="8"/>
  <c r="B47" i="8"/>
  <c r="B91" i="10"/>
  <c r="B4" i="10"/>
  <c r="B4" i="9"/>
  <c r="B95" i="10"/>
  <c r="B47" i="9"/>
  <c r="B51" i="8"/>
  <c r="B46" i="8"/>
  <c r="B5" i="9"/>
  <c r="B6" i="9"/>
  <c r="B88" i="8"/>
  <c r="B9" i="9"/>
  <c r="B94" i="10"/>
  <c r="B9" i="8"/>
  <c r="B53" i="9"/>
  <c r="B49" i="9"/>
  <c r="B48" i="8"/>
  <c r="B4" i="12"/>
  <c r="B52" i="9"/>
  <c r="B10" i="10"/>
  <c r="B6" i="8"/>
  <c r="B90" i="8"/>
  <c r="B10" i="8"/>
  <c r="B5" i="10"/>
  <c r="B10" i="9"/>
  <c r="G227" i="7"/>
  <c r="C37" i="5"/>
  <c r="H30" i="5"/>
  <c r="D40" i="5"/>
  <c r="I37" i="5"/>
  <c r="J44" i="3"/>
  <c r="J46" i="3"/>
  <c r="D41" i="5"/>
  <c r="I41" i="5"/>
  <c r="H37" i="5"/>
  <c r="C40" i="5"/>
  <c r="I40" i="5"/>
  <c r="D85" i="5"/>
  <c r="C85" i="5"/>
  <c r="H40" i="5"/>
  <c r="A1" i="12"/>
  <c r="A1" i="10"/>
  <c r="A86" i="10"/>
  <c r="A1" i="9"/>
  <c r="A44" i="9"/>
  <c r="A43" i="8"/>
  <c r="A85" i="8"/>
  <c r="A1" i="8"/>
  <c r="AE95" i="10"/>
  <c r="L182" i="12"/>
  <c r="AF125" i="10"/>
  <c r="O90" i="10"/>
  <c r="AD136" i="10"/>
  <c r="AJ63" i="10"/>
  <c r="AI59" i="10"/>
  <c r="S55" i="9"/>
  <c r="AC137" i="10"/>
  <c r="AC157" i="10"/>
  <c r="AH98" i="10"/>
  <c r="R1" i="8"/>
  <c r="AJ124" i="10"/>
  <c r="L80" i="8"/>
  <c r="AI85" i="10"/>
  <c r="L198" i="12"/>
  <c r="AF115" i="10"/>
  <c r="AD76" i="10"/>
  <c r="AJ78" i="10"/>
  <c r="AD133" i="10"/>
  <c r="AC158" i="10"/>
  <c r="AK136" i="10"/>
  <c r="AC44" i="10"/>
  <c r="O134" i="10"/>
  <c r="O93" i="10"/>
  <c r="S43" i="9"/>
  <c r="L54" i="8"/>
  <c r="AJ32" i="10"/>
  <c r="AC102" i="10"/>
  <c r="AE54" i="10"/>
  <c r="AI131" i="10"/>
  <c r="AK90" i="10"/>
  <c r="AH104" i="10"/>
  <c r="AE135" i="10"/>
  <c r="D4" i="10"/>
  <c r="AH128" i="10"/>
  <c r="AC112" i="10"/>
  <c r="AF122" i="10"/>
  <c r="AJ102" i="10"/>
  <c r="AF148" i="10"/>
  <c r="AD132" i="10"/>
  <c r="AC116" i="10"/>
  <c r="AC111" i="10"/>
  <c r="AK164" i="10"/>
  <c r="AJ165" i="10"/>
  <c r="AK157" i="10"/>
  <c r="AE108" i="10"/>
  <c r="AH150" i="10"/>
  <c r="AK112" i="10"/>
  <c r="AK125" i="10"/>
  <c r="O4" i="12"/>
  <c r="AK161" i="10"/>
  <c r="AE131" i="10"/>
  <c r="AC141" i="10"/>
  <c r="AK84" i="10"/>
  <c r="A228" i="10"/>
  <c r="AI89" i="10"/>
  <c r="AH155" i="10"/>
  <c r="S67" i="9"/>
  <c r="T174" i="12"/>
  <c r="AF57" i="10"/>
  <c r="AE109" i="10"/>
  <c r="AH44" i="10"/>
  <c r="AF129" i="10"/>
  <c r="C156" i="10"/>
  <c r="O140" i="10"/>
  <c r="AH99" i="10"/>
  <c r="AH166" i="10"/>
  <c r="AH52" i="10"/>
  <c r="AJ143" i="10"/>
  <c r="AJ24" i="10"/>
  <c r="AE150" i="10"/>
  <c r="A265" i="10"/>
  <c r="AD70" i="10"/>
  <c r="A218" i="10"/>
  <c r="O19" i="10"/>
  <c r="O127" i="10"/>
  <c r="AC22" i="10"/>
  <c r="AD161" i="10"/>
  <c r="AI15" i="10"/>
  <c r="A263" i="10"/>
  <c r="AE107" i="10"/>
  <c r="AD128" i="10"/>
  <c r="AC151" i="10"/>
  <c r="AI140" i="10"/>
  <c r="AC109" i="10"/>
  <c r="AD150" i="10"/>
  <c r="S38" i="9"/>
  <c r="AH38" i="10"/>
  <c r="AI95" i="10"/>
  <c r="L93" i="8"/>
  <c r="AF39" i="10"/>
  <c r="AJ142" i="10"/>
  <c r="AH165" i="10"/>
  <c r="AJ79" i="10"/>
  <c r="AE94" i="10"/>
  <c r="AH57" i="10"/>
  <c r="L211" i="12"/>
  <c r="AH141" i="10"/>
  <c r="AK143" i="10"/>
  <c r="L21" i="8"/>
  <c r="AJ162" i="10"/>
  <c r="M50" i="10"/>
  <c r="L214" i="12"/>
  <c r="AI139" i="10"/>
  <c r="AD126" i="10"/>
  <c r="AE127" i="10"/>
  <c r="AJ53" i="10"/>
  <c r="O13" i="10"/>
  <c r="O77" i="10"/>
  <c r="AC144" i="10"/>
  <c r="AD95" i="10"/>
  <c r="AD156" i="10"/>
  <c r="AJ161" i="10"/>
  <c r="AH131" i="10"/>
  <c r="AI118" i="10"/>
  <c r="AF139" i="10"/>
  <c r="AI148" i="10"/>
  <c r="A215" i="10"/>
  <c r="AJ159" i="10"/>
  <c r="AE126" i="10"/>
  <c r="AJ107" i="10"/>
  <c r="AH161" i="10"/>
  <c r="AJ150" i="10"/>
  <c r="D86" i="8"/>
  <c r="AI62" i="10"/>
  <c r="AK127" i="10"/>
  <c r="AK145" i="10"/>
  <c r="A23" i="9"/>
  <c r="AC88" i="10"/>
  <c r="AH110" i="10"/>
  <c r="O5" i="12"/>
  <c r="L199" i="12"/>
  <c r="AK108" i="10"/>
  <c r="AK64" i="10"/>
  <c r="L187" i="12"/>
  <c r="D17" i="9"/>
  <c r="AI105" i="10"/>
  <c r="AD54" i="10"/>
  <c r="A250" i="10"/>
  <c r="AF132" i="10"/>
  <c r="A212" i="10"/>
  <c r="AE88" i="10"/>
  <c r="O139" i="10"/>
  <c r="AI79" i="10"/>
  <c r="O63" i="10"/>
  <c r="AI166" i="10"/>
  <c r="AD44" i="10"/>
  <c r="AC27" i="10"/>
  <c r="AF113" i="10"/>
  <c r="AF96" i="10"/>
  <c r="AH151" i="10"/>
  <c r="AF32" i="10"/>
  <c r="M88" i="10"/>
  <c r="AH101" i="10"/>
  <c r="A223" i="10"/>
  <c r="AK155" i="10"/>
  <c r="AH85" i="10"/>
  <c r="O87" i="10"/>
  <c r="X174" i="12"/>
  <c r="AJ153" i="10"/>
  <c r="AE72" i="10"/>
  <c r="A260" i="10"/>
  <c r="AF112" i="10"/>
  <c r="AJ163" i="10"/>
  <c r="AD164" i="10"/>
  <c r="AD41" i="10"/>
  <c r="AH145" i="10"/>
  <c r="AH79" i="10"/>
  <c r="AF75" i="10"/>
  <c r="O110" i="10"/>
  <c r="AK137" i="10"/>
  <c r="AI66" i="10"/>
  <c r="D3" i="10"/>
  <c r="AC164" i="10"/>
  <c r="AF151" i="10"/>
  <c r="AD146" i="10"/>
  <c r="AI132" i="10"/>
  <c r="AJ139" i="10"/>
  <c r="AE154" i="10"/>
  <c r="AK102" i="10"/>
  <c r="AE123" i="10"/>
  <c r="AD114" i="10"/>
  <c r="AE148" i="10"/>
  <c r="AJ103" i="10"/>
  <c r="AE149" i="10"/>
  <c r="AD124" i="10"/>
  <c r="AH123" i="10"/>
  <c r="O22" i="10"/>
  <c r="AD143" i="10"/>
  <c r="AE130" i="10"/>
  <c r="AD64" i="10"/>
  <c r="AJ145" i="10"/>
  <c r="L166" i="12"/>
  <c r="L39" i="8"/>
  <c r="L95" i="8"/>
  <c r="AH135" i="10"/>
  <c r="S51" i="9"/>
  <c r="AD127" i="10"/>
  <c r="AE138" i="10"/>
  <c r="AH106" i="10"/>
  <c r="O108" i="10"/>
  <c r="A244" i="10"/>
  <c r="L175" i="12"/>
  <c r="A246" i="10"/>
  <c r="O27" i="10"/>
  <c r="AE132" i="10"/>
  <c r="AF120" i="10"/>
  <c r="AK115" i="10"/>
  <c r="AH137" i="10"/>
  <c r="AJ119" i="10"/>
  <c r="O138" i="10"/>
  <c r="AI51" i="10"/>
  <c r="AJ160" i="10"/>
  <c r="AH75" i="10"/>
  <c r="AD118" i="10"/>
  <c r="A219" i="10"/>
  <c r="AH91" i="10"/>
  <c r="AH119" i="10"/>
  <c r="AE151" i="10"/>
  <c r="AF78" i="10"/>
  <c r="AJ81" i="10"/>
  <c r="AI162" i="10"/>
  <c r="O47" i="10"/>
  <c r="AE69" i="10"/>
  <c r="AC138" i="10"/>
  <c r="AC153" i="10"/>
  <c r="O144" i="10"/>
  <c r="AH139" i="10"/>
  <c r="AE18" i="10"/>
  <c r="AI147" i="10"/>
  <c r="O6" i="12"/>
  <c r="AD27" i="10"/>
  <c r="AD131" i="10"/>
  <c r="O25" i="10"/>
  <c r="AE136" i="10"/>
  <c r="AF54" i="10"/>
  <c r="O174" i="12"/>
  <c r="AH81" i="10"/>
  <c r="O114" i="10"/>
  <c r="A185" i="9"/>
  <c r="AF90" i="10"/>
  <c r="W171" i="10"/>
  <c r="AD21" i="10"/>
  <c r="O104" i="10"/>
  <c r="AJ47" i="10"/>
  <c r="AF55" i="10"/>
  <c r="AF142" i="10"/>
  <c r="AJ135" i="10"/>
  <c r="AD77" i="10"/>
  <c r="AJ75" i="10"/>
  <c r="O20" i="10"/>
  <c r="AK37" i="10"/>
  <c r="AE38" i="10"/>
  <c r="AC94" i="10"/>
  <c r="AF24" i="10"/>
  <c r="AF29" i="10"/>
  <c r="AC156" i="10"/>
  <c r="O35" i="10"/>
  <c r="AJ117" i="10"/>
  <c r="AC72" i="10"/>
  <c r="AK130" i="10"/>
  <c r="AC100" i="10"/>
  <c r="AK40" i="10"/>
  <c r="AC13" i="10"/>
  <c r="D88" i="10"/>
  <c r="AE96" i="10"/>
  <c r="AI117" i="10"/>
  <c r="AC46" i="10"/>
  <c r="AE41" i="10"/>
  <c r="AC67" i="10"/>
  <c r="AJ91" i="10"/>
  <c r="AE120" i="10"/>
  <c r="AE98" i="10"/>
  <c r="O122" i="10"/>
  <c r="A192" i="12"/>
  <c r="AF70" i="10"/>
  <c r="AE139" i="10"/>
  <c r="AH138" i="10"/>
  <c r="AE21" i="10"/>
  <c r="A214" i="10"/>
  <c r="AH72" i="10"/>
  <c r="A213" i="10"/>
  <c r="AE60" i="10"/>
  <c r="AF61" i="10"/>
  <c r="AK72" i="10"/>
  <c r="AH70" i="10"/>
  <c r="AK65" i="10"/>
  <c r="AE142" i="10"/>
  <c r="AD30" i="10"/>
  <c r="AJ144" i="10"/>
  <c r="A268" i="10"/>
  <c r="L188" i="12"/>
  <c r="U11" i="10"/>
  <c r="M90" i="10"/>
  <c r="AK116" i="10"/>
  <c r="M48" i="10"/>
  <c r="AF154" i="10"/>
  <c r="AH157" i="10"/>
  <c r="AD89" i="10"/>
  <c r="O84" i="10"/>
  <c r="AJ154" i="10"/>
  <c r="AF79" i="10"/>
  <c r="AF85" i="10"/>
  <c r="L204" i="12"/>
  <c r="AD100" i="10"/>
  <c r="AH64" i="10"/>
  <c r="AA174" i="12"/>
  <c r="AD43" i="10"/>
  <c r="AD166" i="10"/>
  <c r="AF116" i="10"/>
  <c r="AI133" i="10"/>
  <c r="AK139" i="10"/>
  <c r="AF89" i="10"/>
  <c r="AJ130" i="10"/>
  <c r="AJ152" i="10"/>
  <c r="AE160" i="10"/>
  <c r="AH125" i="10"/>
  <c r="AD130" i="10"/>
  <c r="W174" i="12"/>
  <c r="AK81" i="10"/>
  <c r="AI112" i="10"/>
  <c r="AF123" i="10"/>
  <c r="AD99" i="10"/>
  <c r="AH69" i="10"/>
  <c r="L18" i="8"/>
  <c r="AI103" i="10"/>
  <c r="AK135" i="10"/>
  <c r="AK56" i="10"/>
  <c r="O86" i="10"/>
  <c r="AJ136" i="10"/>
  <c r="AK89" i="10"/>
  <c r="AI142" i="10"/>
  <c r="AI68" i="10"/>
  <c r="AI72" i="10"/>
  <c r="L168" i="12"/>
  <c r="AK114" i="10"/>
  <c r="AF91" i="10"/>
  <c r="AF93" i="10"/>
  <c r="A226" i="10"/>
  <c r="AE118" i="10"/>
  <c r="AK85" i="10"/>
  <c r="L36" i="8"/>
  <c r="AF16" i="10"/>
  <c r="AE83" i="10"/>
  <c r="AI96" i="10"/>
  <c r="AI86" i="10"/>
  <c r="L181" i="12"/>
  <c r="AI156" i="10"/>
  <c r="AF87" i="10"/>
  <c r="AI109" i="10"/>
  <c r="O98" i="10"/>
  <c r="AJ96" i="10"/>
  <c r="AC113" i="10"/>
  <c r="AI70" i="10"/>
  <c r="AD144" i="10"/>
  <c r="D45" i="8"/>
  <c r="AH143" i="10"/>
  <c r="O128" i="10"/>
  <c r="AD14" i="10"/>
  <c r="AK15" i="10"/>
  <c r="AK34" i="10"/>
  <c r="AF100" i="10"/>
  <c r="AD116" i="10"/>
  <c r="AH153" i="10"/>
  <c r="AK165" i="10"/>
  <c r="AE89" i="10"/>
  <c r="AF102" i="10"/>
  <c r="AC52" i="10"/>
  <c r="AF155" i="10"/>
  <c r="AH105" i="10"/>
  <c r="AI116" i="10"/>
  <c r="AC47" i="10"/>
  <c r="AC159" i="10"/>
  <c r="AD148" i="10"/>
  <c r="AD165" i="10"/>
  <c r="AE44" i="10"/>
  <c r="AD117" i="10"/>
  <c r="AJ114" i="10"/>
  <c r="A216" i="10"/>
  <c r="AJ89" i="10"/>
  <c r="AE152" i="10"/>
  <c r="AD142" i="10"/>
  <c r="AE155" i="10"/>
  <c r="AD107" i="10"/>
  <c r="L57" i="8"/>
  <c r="AE144" i="10"/>
  <c r="AD137" i="10"/>
  <c r="AF157" i="10"/>
  <c r="AD83" i="10"/>
  <c r="A198" i="9"/>
  <c r="AF68" i="10"/>
  <c r="AI155" i="10"/>
  <c r="A256" i="10"/>
  <c r="L86" i="8"/>
  <c r="L35" i="8"/>
  <c r="A229" i="10"/>
  <c r="AH118" i="10"/>
  <c r="AI106" i="10"/>
  <c r="AK38" i="10"/>
  <c r="AD94" i="10"/>
  <c r="AH159" i="10"/>
  <c r="AC165" i="10"/>
  <c r="AD63" i="10"/>
  <c r="AI92" i="10"/>
  <c r="AH160" i="10"/>
  <c r="AJ42" i="10"/>
  <c r="O107" i="10"/>
  <c r="AI17" i="10"/>
  <c r="AJ101" i="10"/>
  <c r="AK106" i="10"/>
  <c r="R174" i="12"/>
  <c r="AE53" i="10"/>
  <c r="O75" i="10"/>
  <c r="AI82" i="10"/>
  <c r="S47" i="9"/>
  <c r="AI54" i="10"/>
  <c r="AI143" i="10"/>
  <c r="AD162" i="10"/>
  <c r="AH152" i="10"/>
  <c r="AD50" i="10"/>
  <c r="A236" i="10"/>
  <c r="AI159" i="10"/>
  <c r="AE62" i="10"/>
  <c r="AI128" i="10"/>
  <c r="AE64" i="10"/>
  <c r="L200" i="12"/>
  <c r="AE100" i="10"/>
  <c r="AI152" i="10"/>
  <c r="AK70" i="10"/>
  <c r="L178" i="12"/>
  <c r="AK77" i="10"/>
  <c r="O112" i="10"/>
  <c r="AE162" i="10"/>
  <c r="AI119" i="10"/>
  <c r="AD129" i="10"/>
  <c r="AE57" i="10"/>
  <c r="AC136" i="10"/>
  <c r="AF163" i="10"/>
  <c r="AC36" i="10"/>
  <c r="O142" i="10"/>
  <c r="AI34" i="10"/>
  <c r="AF14" i="10"/>
  <c r="A230" i="10"/>
  <c r="AF21" i="10"/>
  <c r="O78" i="10"/>
  <c r="AF149" i="10"/>
  <c r="AJ92" i="10"/>
  <c r="AD72" i="10"/>
  <c r="AJ133" i="10"/>
  <c r="AE166" i="10"/>
  <c r="AF134" i="10"/>
  <c r="AC25" i="10"/>
  <c r="AH111" i="10"/>
  <c r="A231" i="10"/>
  <c r="O118" i="10"/>
  <c r="AJ110" i="10"/>
  <c r="AD113" i="10"/>
  <c r="AK121" i="10"/>
  <c r="AI13" i="10"/>
  <c r="AC41" i="10"/>
  <c r="AE146" i="10"/>
  <c r="AI125" i="10"/>
  <c r="AD91" i="10"/>
  <c r="A259" i="10"/>
  <c r="AJ64" i="10"/>
  <c r="S26" i="9"/>
  <c r="AH133" i="10"/>
  <c r="AC149" i="10"/>
  <c r="O113" i="10"/>
  <c r="AC55" i="10"/>
  <c r="L189" i="12"/>
  <c r="AK98" i="10"/>
  <c r="L202" i="12"/>
  <c r="D17" i="8"/>
  <c r="AD149" i="10"/>
  <c r="O94" i="10"/>
  <c r="AD159" i="10"/>
  <c r="AD37" i="10"/>
  <c r="D96" i="10"/>
  <c r="S31" i="9"/>
  <c r="AC143" i="10"/>
  <c r="AH56" i="10"/>
  <c r="AC107" i="10"/>
  <c r="AI111" i="10"/>
  <c r="AE164" i="10"/>
  <c r="AF97" i="10"/>
  <c r="L212" i="12"/>
  <c r="F1" i="9"/>
  <c r="A196" i="9"/>
  <c r="O132" i="10"/>
  <c r="AI67" i="10"/>
  <c r="AH158" i="10"/>
  <c r="AD98" i="10"/>
  <c r="AH31" i="10"/>
  <c r="O39" i="10"/>
  <c r="S28" i="9"/>
  <c r="A147" i="9"/>
  <c r="AD42" i="10"/>
  <c r="AC131" i="10"/>
  <c r="AK21" i="10"/>
  <c r="B210" i="10"/>
  <c r="AI14" i="10"/>
  <c r="AH49" i="10"/>
  <c r="A257" i="10"/>
  <c r="AI35" i="10"/>
  <c r="AE116" i="10"/>
  <c r="AK118" i="10"/>
  <c r="AI99" i="10"/>
  <c r="AC147" i="10"/>
  <c r="AE39" i="10"/>
  <c r="AD62" i="10"/>
  <c r="AE103" i="10"/>
  <c r="M44" i="10"/>
  <c r="O115" i="10"/>
  <c r="AI39" i="10"/>
  <c r="O91" i="10"/>
  <c r="AD12" i="10"/>
  <c r="AC48" i="10"/>
  <c r="T11" i="10"/>
  <c r="AE125" i="10"/>
  <c r="A227" i="10"/>
  <c r="AJ62" i="10"/>
  <c r="AD45" i="10"/>
  <c r="AH48" i="10"/>
  <c r="AD109" i="10"/>
  <c r="AF92" i="10"/>
  <c r="T11" i="9"/>
  <c r="AK126" i="10"/>
  <c r="L213" i="12"/>
  <c r="AC89" i="10"/>
  <c r="AC163" i="10"/>
  <c r="L20" i="8"/>
  <c r="AJ34" i="10"/>
  <c r="AK111" i="10"/>
  <c r="AE99" i="10"/>
  <c r="AD48" i="10"/>
  <c r="AH116" i="10"/>
  <c r="A167" i="9"/>
  <c r="D89" i="10"/>
  <c r="AD88" i="10"/>
  <c r="N12" i="10"/>
  <c r="A182" i="9"/>
  <c r="AI144" i="10"/>
  <c r="L92" i="8"/>
  <c r="AE111" i="10"/>
  <c r="AK163" i="10"/>
  <c r="AJ74" i="10"/>
  <c r="AC66" i="10"/>
  <c r="AI90" i="10"/>
  <c r="AD92" i="10"/>
  <c r="AD15" i="10"/>
  <c r="AJ98" i="10"/>
  <c r="O136" i="10"/>
  <c r="A264" i="10"/>
  <c r="AF19" i="10"/>
  <c r="AD31" i="10"/>
  <c r="S22" i="9"/>
  <c r="AC92" i="10"/>
  <c r="AK92" i="10"/>
  <c r="AH108" i="10"/>
  <c r="AD78" i="10"/>
  <c r="O92" i="10"/>
  <c r="AJ48" i="10"/>
  <c r="AH127" i="10"/>
  <c r="AD16" i="10"/>
  <c r="AE36" i="10"/>
  <c r="AJ90" i="10"/>
  <c r="AJ131" i="10"/>
  <c r="A157" i="9"/>
  <c r="AJ77" i="10"/>
  <c r="AC29" i="10"/>
  <c r="AH28" i="10"/>
  <c r="AH162" i="10"/>
  <c r="D11" i="8"/>
  <c r="S52" i="9"/>
  <c r="O55" i="10"/>
  <c r="AF156" i="10"/>
  <c r="AC84" i="10"/>
  <c r="AF76" i="10"/>
  <c r="AJ129" i="10"/>
  <c r="AD53" i="10"/>
  <c r="AF140" i="10"/>
  <c r="AE35" i="10"/>
  <c r="AK94" i="10"/>
  <c r="AI98" i="10"/>
  <c r="AK13" i="10"/>
  <c r="AE31" i="10"/>
  <c r="AH112" i="10"/>
  <c r="L194" i="12"/>
  <c r="AI42" i="10"/>
  <c r="AE92" i="10"/>
  <c r="A154" i="9"/>
  <c r="AF126" i="10"/>
  <c r="O102" i="10"/>
  <c r="AI113" i="10"/>
  <c r="AJ56" i="10"/>
  <c r="AD58" i="10"/>
  <c r="AK16" i="10"/>
  <c r="AD69" i="10"/>
  <c r="AI48" i="10"/>
  <c r="A165" i="9"/>
  <c r="O106" i="10"/>
  <c r="U12" i="8"/>
  <c r="AI33" i="10"/>
  <c r="AJ54" i="10"/>
  <c r="L24" i="8"/>
  <c r="AJ140" i="10"/>
  <c r="AF99" i="10"/>
  <c r="AH60" i="10"/>
  <c r="AK52" i="10"/>
  <c r="AJ33" i="10"/>
  <c r="AI122" i="10"/>
  <c r="AC45" i="10"/>
  <c r="S17" i="9"/>
  <c r="AC64" i="10"/>
  <c r="A267" i="10"/>
  <c r="AC43" i="10"/>
  <c r="L37" i="8"/>
  <c r="AC86" i="10"/>
  <c r="AC50" i="10"/>
  <c r="AH124" i="10"/>
  <c r="AC54" i="10"/>
  <c r="AD101" i="10"/>
  <c r="AE115" i="10"/>
  <c r="S14" i="9"/>
  <c r="AJ12" i="10"/>
  <c r="AF33" i="10"/>
  <c r="O14" i="9"/>
  <c r="AC75" i="10"/>
  <c r="AK59" i="10"/>
  <c r="AC148" i="10"/>
  <c r="A242" i="10"/>
  <c r="S54" i="9"/>
  <c r="S23" i="9"/>
  <c r="AF66" i="10"/>
  <c r="O66" i="10"/>
  <c r="AE49" i="10"/>
  <c r="B140" i="9"/>
  <c r="L29" i="8"/>
  <c r="L28" i="8"/>
  <c r="O129" i="10"/>
  <c r="AD93" i="10"/>
  <c r="S16" i="9"/>
  <c r="O99" i="10"/>
  <c r="AK42" i="10"/>
  <c r="AF73" i="10"/>
  <c r="A156" i="9"/>
  <c r="AE122" i="10"/>
  <c r="O123" i="10"/>
  <c r="AH23" i="10"/>
  <c r="AC32" i="10"/>
  <c r="AF43" i="10"/>
  <c r="AC63" i="10"/>
  <c r="AI71" i="10"/>
  <c r="O43" i="10"/>
  <c r="AD97" i="10"/>
  <c r="AI24" i="10"/>
  <c r="L74" i="8"/>
  <c r="L58" i="8"/>
  <c r="A142" i="9"/>
  <c r="O13" i="9"/>
  <c r="AH37" i="10"/>
  <c r="AC130" i="10"/>
  <c r="AF107" i="10"/>
  <c r="F44" i="9"/>
  <c r="AK36" i="10"/>
  <c r="AJ121" i="10"/>
  <c r="AD20" i="10"/>
  <c r="S62" i="9"/>
  <c r="AJ16" i="10"/>
  <c r="A168" i="9"/>
  <c r="AJ138" i="10"/>
  <c r="A160" i="9"/>
  <c r="A164" i="9"/>
  <c r="AE73" i="10"/>
  <c r="AH82" i="10"/>
  <c r="AH126" i="10"/>
  <c r="AD36" i="10"/>
  <c r="AI74" i="10"/>
  <c r="S36" i="9"/>
  <c r="D4" i="8"/>
  <c r="S41" i="9"/>
  <c r="O135" i="10"/>
  <c r="AC108" i="10"/>
  <c r="AJ158" i="10"/>
  <c r="AC90" i="10"/>
  <c r="AI149" i="10"/>
  <c r="L186" i="12"/>
  <c r="AC145" i="10"/>
  <c r="AK69" i="10"/>
  <c r="AE141" i="10"/>
  <c r="O119" i="10"/>
  <c r="AC119" i="10"/>
  <c r="AD28" i="10"/>
  <c r="AK132" i="10"/>
  <c r="AE71" i="10"/>
  <c r="AK140" i="10"/>
  <c r="AI146" i="10"/>
  <c r="AH146" i="10"/>
  <c r="AC33" i="10"/>
  <c r="AF104" i="10"/>
  <c r="L205" i="12"/>
  <c r="L191" i="12"/>
  <c r="AI101" i="10"/>
  <c r="AH15" i="10"/>
  <c r="A233" i="10"/>
  <c r="A179" i="9"/>
  <c r="AI145" i="10"/>
  <c r="AH86" i="10"/>
  <c r="AJ147" i="10"/>
  <c r="AC129" i="10"/>
  <c r="AE145" i="10"/>
  <c r="AH96" i="10"/>
  <c r="A224" i="10"/>
  <c r="AF150" i="10"/>
  <c r="O44" i="10"/>
  <c r="AH41" i="10"/>
  <c r="L192" i="12"/>
  <c r="AE158" i="10"/>
  <c r="AK156" i="10"/>
  <c r="C155" i="10"/>
  <c r="AC142" i="10"/>
  <c r="AF153" i="10"/>
  <c r="A152" i="9"/>
  <c r="AE110" i="10"/>
  <c r="E96" i="10"/>
  <c r="S21" i="9"/>
  <c r="AF94" i="10"/>
  <c r="AI46" i="10"/>
  <c r="AK133" i="10"/>
  <c r="AC42" i="10"/>
  <c r="AI104" i="10"/>
  <c r="AD163" i="10"/>
  <c r="AF15" i="10"/>
  <c r="AH121" i="10"/>
  <c r="AJ166" i="10"/>
  <c r="AK82" i="10"/>
  <c r="O65" i="10"/>
  <c r="AK109" i="10"/>
  <c r="AH61" i="10"/>
  <c r="AF146" i="10"/>
  <c r="AK47" i="10"/>
  <c r="AI138" i="10"/>
  <c r="AK158" i="10"/>
  <c r="AK159" i="10"/>
  <c r="AD26" i="10"/>
  <c r="L210" i="12"/>
  <c r="AJ60" i="10"/>
  <c r="AE77" i="10"/>
  <c r="M47" i="10"/>
  <c r="D44" i="8"/>
  <c r="AC115" i="10"/>
  <c r="AD59" i="10"/>
  <c r="AK166" i="10"/>
  <c r="AJ105" i="10"/>
  <c r="AC127" i="10"/>
  <c r="AF23" i="10"/>
  <c r="AK35" i="10"/>
  <c r="AF127" i="10"/>
  <c r="AC93" i="10"/>
  <c r="AE156" i="10"/>
  <c r="AJ59" i="10"/>
  <c r="O101" i="10"/>
  <c r="AK12" i="10"/>
  <c r="A183" i="9"/>
  <c r="AJ84" i="10"/>
  <c r="AC56" i="10"/>
  <c r="A240" i="10"/>
  <c r="AK86" i="10"/>
  <c r="AJ52" i="10"/>
  <c r="L62" i="8"/>
  <c r="N174" i="12"/>
  <c r="L177" i="12"/>
  <c r="A156" i="10"/>
  <c r="AD86" i="10"/>
  <c r="AE81" i="10"/>
  <c r="AD145" i="10"/>
  <c r="AE128" i="10"/>
  <c r="AE133" i="10"/>
  <c r="AK57" i="10"/>
  <c r="AK144" i="10"/>
  <c r="AJ132" i="10"/>
  <c r="AD55" i="10"/>
  <c r="AH19" i="10"/>
  <c r="AE114" i="10"/>
  <c r="AE165" i="10"/>
  <c r="M84" i="10"/>
  <c r="AK117" i="10"/>
  <c r="AI75" i="10"/>
  <c r="AH67" i="10"/>
  <c r="AJ28" i="10"/>
  <c r="AD125" i="10"/>
  <c r="AC97" i="10"/>
  <c r="AF138" i="10"/>
  <c r="AE51" i="10"/>
  <c r="AD25" i="10"/>
  <c r="O74" i="10"/>
  <c r="O83" i="10"/>
  <c r="D46" i="9"/>
  <c r="AJ127" i="10"/>
  <c r="AD79" i="10"/>
  <c r="AK25" i="10"/>
  <c r="O133" i="10"/>
  <c r="AF47" i="10"/>
  <c r="A249" i="10"/>
  <c r="AI77" i="10"/>
  <c r="AI56" i="10"/>
  <c r="AC78" i="10"/>
  <c r="AI32" i="10"/>
  <c r="AJ112" i="10"/>
  <c r="AD67" i="10"/>
  <c r="AD104" i="10"/>
  <c r="M83" i="10"/>
  <c r="AC114" i="10"/>
  <c r="AC17" i="10"/>
  <c r="AE27" i="10"/>
  <c r="D2" i="8"/>
  <c r="E11" i="10"/>
  <c r="AE87" i="10"/>
  <c r="A262" i="10"/>
  <c r="AK50" i="10"/>
  <c r="L72" i="8"/>
  <c r="O12" i="9"/>
  <c r="AH84" i="10"/>
  <c r="AF42" i="10"/>
  <c r="AK100" i="10"/>
  <c r="AJ20" i="10"/>
  <c r="AK104" i="10"/>
  <c r="AE19" i="10"/>
  <c r="AK146" i="10"/>
  <c r="AC40" i="10"/>
  <c r="L60" i="8"/>
  <c r="AF114" i="10"/>
  <c r="AE101" i="10"/>
  <c r="AE90" i="10"/>
  <c r="S69" i="9"/>
  <c r="S44" i="9"/>
  <c r="AK142" i="10"/>
  <c r="AC96" i="10"/>
  <c r="AH26" i="10"/>
  <c r="M86" i="10"/>
  <c r="D90" i="10"/>
  <c r="AC124" i="10"/>
  <c r="L67" i="8"/>
  <c r="AK27" i="10"/>
  <c r="F85" i="8"/>
  <c r="AH102" i="10"/>
  <c r="L76" i="8"/>
  <c r="O81" i="10"/>
  <c r="D87" i="8"/>
  <c r="AK97" i="10"/>
  <c r="AD33" i="10"/>
  <c r="AF135" i="10"/>
  <c r="L94" i="8"/>
  <c r="O79" i="10"/>
  <c r="AK76" i="10"/>
  <c r="AF56" i="10"/>
  <c r="AC57" i="10"/>
  <c r="AJ26" i="10"/>
  <c r="A170" i="9"/>
  <c r="O37" i="10"/>
  <c r="AC70" i="10"/>
  <c r="AH59" i="10"/>
  <c r="L89" i="8"/>
  <c r="AI36" i="10"/>
  <c r="AF143" i="10"/>
  <c r="L69" i="8"/>
  <c r="F1" i="10"/>
  <c r="O24" i="10"/>
  <c r="AE161" i="10"/>
  <c r="AF145" i="10"/>
  <c r="L83" i="8"/>
  <c r="AI114" i="10"/>
  <c r="AD47" i="10"/>
  <c r="O141" i="10"/>
  <c r="AH14" i="10"/>
  <c r="AI161" i="10"/>
  <c r="AF46" i="10"/>
  <c r="O105" i="10"/>
  <c r="AH74" i="10"/>
  <c r="AK51" i="10"/>
  <c r="AC79" i="10"/>
  <c r="AF49" i="10"/>
  <c r="S37" i="9"/>
  <c r="AH94" i="10"/>
  <c r="S39" i="9"/>
  <c r="AD103" i="10"/>
  <c r="L207" i="12"/>
  <c r="AI12" i="10"/>
  <c r="P13" i="12"/>
  <c r="O68" i="10"/>
  <c r="AD153" i="10"/>
  <c r="AF44" i="10"/>
  <c r="D47" i="9"/>
  <c r="S19" i="9"/>
  <c r="AK80" i="10"/>
  <c r="AJ95" i="10"/>
  <c r="AK61" i="10"/>
  <c r="S50" i="9"/>
  <c r="AE75" i="10"/>
  <c r="O80" i="10"/>
  <c r="AC23" i="10"/>
  <c r="AH164" i="10"/>
  <c r="AF40" i="10"/>
  <c r="O111" i="10"/>
  <c r="AI27" i="10"/>
  <c r="AE26" i="10"/>
  <c r="O28" i="10"/>
  <c r="AE28" i="10"/>
  <c r="O62" i="10"/>
  <c r="AC117" i="10"/>
  <c r="AJ82" i="10"/>
  <c r="AH88" i="10"/>
  <c r="L22" i="8"/>
  <c r="A161" i="9"/>
  <c r="AJ21" i="10"/>
  <c r="O48" i="10"/>
  <c r="D2" i="10"/>
  <c r="AK75" i="10"/>
  <c r="L32" i="8"/>
  <c r="AH132" i="10"/>
  <c r="AJ18" i="10"/>
  <c r="S29" i="9"/>
  <c r="AC85" i="10"/>
  <c r="AC35" i="10"/>
  <c r="D3" i="8"/>
  <c r="AI135" i="10"/>
  <c r="AF64" i="10"/>
  <c r="AK93" i="10"/>
  <c r="AK30" i="10"/>
  <c r="AK23" i="10"/>
  <c r="AD122" i="10"/>
  <c r="AE86" i="10"/>
  <c r="A190" i="9"/>
  <c r="AF86" i="10"/>
  <c r="AE117" i="10"/>
  <c r="AK49" i="10"/>
  <c r="AF58" i="10"/>
  <c r="AH130" i="10"/>
  <c r="A221" i="10"/>
  <c r="AJ111" i="10"/>
  <c r="AF25" i="10"/>
  <c r="AI154" i="10"/>
  <c r="AE67" i="10"/>
  <c r="AF62" i="10"/>
  <c r="O38" i="10"/>
  <c r="AE157" i="10"/>
  <c r="AC123" i="10"/>
  <c r="AH154" i="10"/>
  <c r="AJ149" i="10"/>
  <c r="AC73" i="10"/>
  <c r="AJ134" i="10"/>
  <c r="O76" i="10"/>
  <c r="AD141" i="10"/>
  <c r="AD112" i="10"/>
  <c r="AI160" i="10"/>
  <c r="O18" i="9"/>
  <c r="AC105" i="10"/>
  <c r="AF162" i="10"/>
  <c r="AE61" i="10"/>
  <c r="AF152" i="10"/>
  <c r="AE121" i="10"/>
  <c r="O51" i="10"/>
  <c r="AC21" i="10"/>
  <c r="AK54" i="10"/>
  <c r="AI127" i="10"/>
  <c r="O40" i="10"/>
  <c r="A146" i="9"/>
  <c r="AJ128" i="10"/>
  <c r="A177" i="9"/>
  <c r="AE24" i="10"/>
  <c r="AC161" i="10"/>
  <c r="AC68" i="10"/>
  <c r="AI26" i="10"/>
  <c r="AK62" i="10"/>
  <c r="AJ109" i="10"/>
  <c r="AH114" i="10"/>
  <c r="L64" i="8"/>
  <c r="AK68" i="10"/>
  <c r="AE65" i="10"/>
  <c r="O58" i="10"/>
  <c r="AH53" i="10"/>
  <c r="AE102" i="10"/>
  <c r="AF131" i="10"/>
  <c r="AC65" i="10"/>
  <c r="AI123" i="10"/>
  <c r="A153" i="9"/>
  <c r="O30" i="10"/>
  <c r="AF119" i="10"/>
  <c r="AE159" i="10"/>
  <c r="AF158" i="10"/>
  <c r="AD115" i="10"/>
  <c r="AC26" i="10"/>
  <c r="S79" i="9"/>
  <c r="AF121" i="10"/>
  <c r="AH142" i="10"/>
  <c r="AI164" i="10"/>
  <c r="S42" i="9"/>
  <c r="L87" i="8"/>
  <c r="D2" i="9"/>
  <c r="AF165" i="10"/>
  <c r="AE82" i="10"/>
  <c r="AE20" i="10"/>
  <c r="AI88" i="10"/>
  <c r="L179" i="12"/>
  <c r="L90" i="8"/>
  <c r="AH76" i="10"/>
  <c r="AE68" i="10"/>
  <c r="O85" i="10"/>
  <c r="AC77" i="10"/>
  <c r="AK31" i="10"/>
  <c r="AK28" i="10"/>
  <c r="AF110" i="10"/>
  <c r="L206" i="12"/>
  <c r="AF13" i="10"/>
  <c r="AJ164" i="10"/>
  <c r="S20" i="9"/>
  <c r="O59" i="10"/>
  <c r="AF59" i="10"/>
  <c r="AC14" i="10"/>
  <c r="V11" i="9"/>
  <c r="AK129" i="10"/>
  <c r="AH21" i="10"/>
  <c r="AK20" i="10"/>
  <c r="AK67" i="10"/>
  <c r="AF63" i="10"/>
  <c r="AK53" i="10"/>
  <c r="AK19" i="10"/>
  <c r="AH17" i="10"/>
  <c r="AD13" i="10"/>
  <c r="AF77" i="10"/>
  <c r="AD51" i="10"/>
  <c r="AI100" i="10"/>
  <c r="AD35" i="10"/>
  <c r="AK87" i="10"/>
  <c r="S174" i="12"/>
  <c r="AE63" i="10"/>
  <c r="AJ39" i="10"/>
  <c r="AE46" i="10"/>
  <c r="AC19" i="10"/>
  <c r="AE124" i="10"/>
  <c r="AF71" i="10"/>
  <c r="O137" i="10"/>
  <c r="O64" i="10"/>
  <c r="S78" i="9"/>
  <c r="L27" i="8"/>
  <c r="AK60" i="10"/>
  <c r="O82" i="10"/>
  <c r="A188" i="9"/>
  <c r="AD84" i="10"/>
  <c r="L78" i="8"/>
  <c r="O143" i="10"/>
  <c r="AI78" i="10"/>
  <c r="AH73" i="10"/>
  <c r="AF48" i="10"/>
  <c r="AI18" i="10"/>
  <c r="AJ71" i="10"/>
  <c r="AE40" i="10"/>
  <c r="AF65" i="10"/>
  <c r="AH90" i="10"/>
  <c r="AE106" i="10"/>
  <c r="M85" i="10"/>
  <c r="AE33" i="10"/>
  <c r="S77" i="9"/>
  <c r="AI84" i="10"/>
  <c r="AI134" i="10"/>
  <c r="L201" i="12"/>
  <c r="O17" i="10"/>
  <c r="AE23" i="10"/>
  <c r="O20" i="9"/>
  <c r="AJ17" i="10"/>
  <c r="L96" i="8"/>
  <c r="O14" i="10"/>
  <c r="O60" i="10"/>
  <c r="AH43" i="10"/>
  <c r="AH36" i="10"/>
  <c r="AK29" i="10"/>
  <c r="L33" i="8"/>
  <c r="AD65" i="10"/>
  <c r="D46" i="8"/>
  <c r="AD139" i="10"/>
  <c r="AE55" i="10"/>
  <c r="AF108" i="10"/>
  <c r="AD40" i="10"/>
  <c r="A23" i="10"/>
  <c r="AD57" i="10"/>
  <c r="A252" i="10"/>
  <c r="AJ44" i="10"/>
  <c r="AF35" i="10"/>
  <c r="AC69" i="10"/>
  <c r="AF101" i="10"/>
  <c r="R2" i="9"/>
  <c r="O131" i="10"/>
  <c r="AJ37" i="10"/>
  <c r="S70" i="9"/>
  <c r="AI107" i="10"/>
  <c r="AJ13" i="10"/>
  <c r="AE140" i="10"/>
  <c r="AF118" i="10"/>
  <c r="AK83" i="10"/>
  <c r="AE15" i="10"/>
  <c r="AK58" i="10"/>
  <c r="S13" i="9"/>
  <c r="AJ93" i="10"/>
  <c r="AD60" i="10"/>
  <c r="O36" i="10"/>
  <c r="AI121" i="10"/>
  <c r="AI126" i="10"/>
  <c r="AH30" i="10"/>
  <c r="S34" i="9"/>
  <c r="AE74" i="10"/>
  <c r="AD66" i="10"/>
  <c r="A65" i="8"/>
  <c r="D45" i="9"/>
  <c r="AK119" i="10"/>
  <c r="AC37" i="10"/>
  <c r="AF128" i="10"/>
  <c r="L26" i="8"/>
  <c r="AJ35" i="10"/>
  <c r="AI141" i="10"/>
  <c r="AI30" i="10"/>
  <c r="O95" i="10"/>
  <c r="E11" i="9"/>
  <c r="AJ55" i="10"/>
  <c r="AI80" i="10"/>
  <c r="AH80" i="10"/>
  <c r="L59" i="8"/>
  <c r="AI57" i="10"/>
  <c r="AK73" i="10"/>
  <c r="O88" i="10"/>
  <c r="O67" i="10"/>
  <c r="AH63" i="10"/>
  <c r="L82" i="8"/>
  <c r="S27" i="9"/>
  <c r="L34" i="8"/>
  <c r="A171" i="9"/>
  <c r="AK22" i="10"/>
  <c r="O89" i="10"/>
  <c r="S40" i="9"/>
  <c r="AE134" i="10"/>
  <c r="AJ58" i="10"/>
  <c r="AH55" i="10"/>
  <c r="S72" i="9"/>
  <c r="AF12" i="10"/>
  <c r="AI23" i="10"/>
  <c r="AH47" i="10"/>
  <c r="AC60" i="10"/>
  <c r="AF117" i="10"/>
  <c r="S35" i="9"/>
  <c r="AK18" i="10"/>
  <c r="AH140" i="10"/>
  <c r="F1" i="8"/>
  <c r="O13" i="12"/>
  <c r="AK33" i="10"/>
  <c r="AI43" i="10"/>
  <c r="AH50" i="10"/>
  <c r="O72" i="10"/>
  <c r="A241" i="10"/>
  <c r="AH87" i="10"/>
  <c r="AJ151" i="10"/>
  <c r="AJ69" i="10"/>
  <c r="AC38" i="10"/>
  <c r="L176" i="12"/>
  <c r="P174" i="12"/>
  <c r="AC82" i="10"/>
  <c r="AJ137" i="10"/>
  <c r="L51" i="8"/>
  <c r="AK151" i="10"/>
  <c r="C102" i="10"/>
  <c r="AH103" i="10"/>
  <c r="AD160" i="10"/>
  <c r="A266" i="10"/>
  <c r="AJ83" i="10"/>
  <c r="A235" i="10"/>
  <c r="AI115" i="10"/>
  <c r="L50" i="8"/>
  <c r="AD52" i="10"/>
  <c r="R1" i="9"/>
  <c r="AD80" i="10"/>
  <c r="AK55" i="10"/>
  <c r="AE78" i="10"/>
  <c r="O117" i="10"/>
  <c r="AC155" i="10"/>
  <c r="S82" i="9"/>
  <c r="AH83" i="10"/>
  <c r="AF28" i="10"/>
  <c r="AC59" i="10"/>
  <c r="AC132" i="10"/>
  <c r="AF160" i="10"/>
  <c r="AK160" i="10"/>
  <c r="AH144" i="10"/>
  <c r="AK123" i="10"/>
  <c r="AJ15" i="10"/>
  <c r="AF136" i="10"/>
  <c r="AC146" i="10"/>
  <c r="AF144" i="10"/>
  <c r="AK110" i="10"/>
  <c r="AK154" i="10"/>
  <c r="A258" i="10"/>
  <c r="AC95" i="10"/>
  <c r="S33" i="9"/>
  <c r="AE113" i="10"/>
  <c r="AE45" i="10"/>
  <c r="AC133" i="10"/>
  <c r="L209" i="12"/>
  <c r="AF130" i="10"/>
  <c r="AC166" i="10"/>
  <c r="AF103" i="10"/>
  <c r="AI150" i="10"/>
  <c r="AJ57" i="10"/>
  <c r="AD151" i="10"/>
  <c r="AC139" i="10"/>
  <c r="AD154" i="10"/>
  <c r="O61" i="10"/>
  <c r="L88" i="8"/>
  <c r="O116" i="10"/>
  <c r="AD56" i="10"/>
  <c r="AJ118" i="10"/>
  <c r="O49" i="10"/>
  <c r="L193" i="12"/>
  <c r="AD75" i="10"/>
  <c r="A148" i="9"/>
  <c r="AI120" i="10"/>
  <c r="AC122" i="10"/>
  <c r="AK66" i="10"/>
  <c r="AI19" i="10"/>
  <c r="L203" i="12"/>
  <c r="AK107" i="10"/>
  <c r="AH107" i="10"/>
  <c r="AJ94" i="10"/>
  <c r="AI110" i="10"/>
  <c r="AJ50" i="10"/>
  <c r="S61" i="9"/>
  <c r="V174" i="12"/>
  <c r="A247" i="10"/>
  <c r="AK91" i="10"/>
  <c r="M89" i="10"/>
  <c r="AC152" i="10"/>
  <c r="AK63" i="10"/>
  <c r="O46" i="10"/>
  <c r="A173" i="9"/>
  <c r="AK26" i="10"/>
  <c r="D101" i="8"/>
  <c r="AD34" i="10"/>
  <c r="S15" i="9"/>
  <c r="AK150" i="10"/>
  <c r="AI102" i="10"/>
  <c r="L195" i="12"/>
  <c r="AD71" i="10"/>
  <c r="AD39" i="10"/>
  <c r="AC135" i="10"/>
  <c r="AD22" i="10"/>
  <c r="AF30" i="10"/>
  <c r="AC74" i="10"/>
  <c r="A151" i="9"/>
  <c r="AI22" i="10"/>
  <c r="AE112" i="10"/>
  <c r="L183" i="12"/>
  <c r="O17" i="9"/>
  <c r="AK105" i="10"/>
  <c r="AC24" i="10"/>
  <c r="L196" i="12"/>
  <c r="AC71" i="10"/>
  <c r="O56" i="10"/>
  <c r="M51" i="10"/>
  <c r="AI136" i="10"/>
  <c r="AD123" i="10"/>
  <c r="AI93" i="10"/>
  <c r="AD105" i="10"/>
  <c r="AK88" i="10"/>
  <c r="AF88" i="10"/>
  <c r="AH40" i="10"/>
  <c r="AI83" i="10"/>
  <c r="AI60" i="10"/>
  <c r="AI47" i="10"/>
  <c r="AI25" i="10"/>
  <c r="AJ30" i="10"/>
  <c r="AF106" i="10"/>
  <c r="O100" i="10"/>
  <c r="AJ40" i="10"/>
  <c r="AC53" i="10"/>
  <c r="S32" i="9"/>
  <c r="AJ122" i="10"/>
  <c r="AF159" i="10"/>
  <c r="O32" i="10"/>
  <c r="L19" i="8"/>
  <c r="AI157" i="10"/>
  <c r="AC62" i="10"/>
  <c r="AE119" i="10"/>
  <c r="AF80" i="10"/>
  <c r="A23" i="8"/>
  <c r="O15" i="9"/>
  <c r="A169" i="9"/>
  <c r="AE143" i="10"/>
  <c r="AI64" i="10"/>
  <c r="AH13" i="10"/>
  <c r="AH29" i="10"/>
  <c r="S64" i="9"/>
  <c r="T12" i="8"/>
  <c r="O97" i="10"/>
  <c r="AJ73" i="10"/>
  <c r="AJ156" i="10"/>
  <c r="AC87" i="10"/>
  <c r="AH115" i="10"/>
  <c r="D60" i="9"/>
  <c r="A193" i="9"/>
  <c r="A143" i="9"/>
  <c r="AH66" i="10"/>
  <c r="AK78" i="10"/>
  <c r="AK124" i="10"/>
  <c r="L85" i="8"/>
  <c r="L70" i="8"/>
  <c r="AK41" i="10"/>
  <c r="AC58" i="10"/>
  <c r="AJ51" i="10"/>
  <c r="AF53" i="10"/>
  <c r="AI58" i="10"/>
  <c r="AE12" i="10"/>
  <c r="D4" i="9"/>
  <c r="AE47" i="10"/>
  <c r="O103" i="10"/>
  <c r="A184" i="9"/>
  <c r="AJ76" i="10"/>
  <c r="AI94" i="10"/>
  <c r="AJ27" i="10"/>
  <c r="AJ46" i="10"/>
  <c r="M49" i="10"/>
  <c r="AD32" i="10"/>
  <c r="AE93" i="10"/>
  <c r="L184" i="12"/>
  <c r="AJ108" i="10"/>
  <c r="AK95" i="10"/>
  <c r="AK162" i="10"/>
  <c r="AE32" i="10"/>
  <c r="AI29" i="10"/>
  <c r="AH95" i="10"/>
  <c r="AC18" i="10"/>
  <c r="AD108" i="10"/>
  <c r="L55" i="8"/>
  <c r="AI21" i="10"/>
  <c r="AK134" i="10"/>
  <c r="AE76" i="10"/>
  <c r="AC15" i="10"/>
  <c r="O19" i="9"/>
  <c r="AI28" i="10"/>
  <c r="S48" i="9"/>
  <c r="O33" i="10"/>
  <c r="AJ157" i="10"/>
  <c r="AK103" i="10"/>
  <c r="AD17" i="10"/>
  <c r="AI63" i="10"/>
  <c r="AD82" i="10"/>
  <c r="AE66" i="10"/>
  <c r="O50" i="10"/>
  <c r="AH22" i="10"/>
  <c r="A254" i="10"/>
  <c r="A245" i="10"/>
  <c r="A217" i="10"/>
  <c r="D95" i="8"/>
  <c r="O23" i="10"/>
  <c r="D3" i="9"/>
  <c r="AE43" i="10"/>
  <c r="AI61" i="10"/>
  <c r="AC101" i="10"/>
  <c r="L91" i="8"/>
  <c r="A155" i="9"/>
  <c r="AK17" i="10"/>
  <c r="AJ29" i="10"/>
  <c r="L71" i="8"/>
  <c r="AI76" i="10"/>
  <c r="AD106" i="10"/>
  <c r="AD90" i="10"/>
  <c r="AJ87" i="10"/>
  <c r="A145" i="9"/>
  <c r="AK45" i="10"/>
  <c r="AF171" i="10"/>
  <c r="AE163" i="10"/>
  <c r="AJ99" i="10"/>
  <c r="AC110" i="10"/>
  <c r="AI20" i="10"/>
  <c r="A189" i="9"/>
  <c r="AE34" i="10"/>
  <c r="O52" i="10"/>
  <c r="S71" i="9"/>
  <c r="L23" i="8"/>
  <c r="AE97" i="10"/>
  <c r="A107" i="8"/>
  <c r="AE59" i="10"/>
  <c r="AF52" i="10"/>
  <c r="AF20" i="10"/>
  <c r="A172" i="9"/>
  <c r="AH42" i="10"/>
  <c r="A237" i="10"/>
  <c r="A159" i="9"/>
  <c r="F43" i="8"/>
  <c r="L53" i="8"/>
  <c r="AD19" i="10"/>
  <c r="A158" i="9"/>
  <c r="AI52" i="10"/>
  <c r="AC162" i="10"/>
  <c r="A225" i="10"/>
  <c r="A232" i="10"/>
  <c r="AD158" i="10"/>
  <c r="O124" i="10"/>
  <c r="A243" i="10"/>
  <c r="AD120" i="10"/>
  <c r="AK148" i="10"/>
  <c r="L79" i="8"/>
  <c r="AI73" i="10"/>
  <c r="AK122" i="10"/>
  <c r="AJ126" i="10"/>
  <c r="S12" i="8"/>
  <c r="AI129" i="10"/>
  <c r="AC160" i="10"/>
  <c r="AI50" i="10"/>
  <c r="AD81" i="10"/>
  <c r="Z174" i="12"/>
  <c r="A234" i="10"/>
  <c r="L180" i="12"/>
  <c r="AJ86" i="10"/>
  <c r="AE25" i="10"/>
  <c r="AJ155" i="10"/>
  <c r="AH89" i="10"/>
  <c r="L185" i="12"/>
  <c r="AJ41" i="10"/>
  <c r="AE80" i="10"/>
  <c r="AK32" i="10"/>
  <c r="A248" i="10"/>
  <c r="AE29" i="10"/>
  <c r="AI31" i="10"/>
  <c r="R1" i="10"/>
  <c r="AJ100" i="10"/>
  <c r="S46" i="9"/>
  <c r="AF27" i="10"/>
  <c r="AI165" i="10"/>
  <c r="AH58" i="10"/>
  <c r="AH136" i="10"/>
  <c r="AK120" i="10"/>
  <c r="AH149" i="10"/>
  <c r="AK153" i="10"/>
  <c r="AC99" i="10"/>
  <c r="AC120" i="10"/>
  <c r="AJ146" i="10"/>
  <c r="AK39" i="10"/>
  <c r="U174" i="12"/>
  <c r="E54" i="9"/>
  <c r="AF147" i="10"/>
  <c r="L30" i="8"/>
  <c r="L68" i="8"/>
  <c r="O73" i="10"/>
  <c r="AH147" i="10"/>
  <c r="AC106" i="10"/>
  <c r="AH122" i="10"/>
  <c r="AK71" i="10"/>
  <c r="AH163" i="10"/>
  <c r="AD96" i="10"/>
  <c r="AC154" i="10"/>
  <c r="AE13" i="10"/>
  <c r="AC61" i="10"/>
  <c r="AH77" i="10"/>
  <c r="L77" i="8"/>
  <c r="AE56" i="10"/>
  <c r="AC128" i="10"/>
  <c r="AC126" i="10"/>
  <c r="AE91" i="10"/>
  <c r="AH34" i="10"/>
  <c r="S83" i="9"/>
  <c r="D88" i="8"/>
  <c r="A239" i="10"/>
  <c r="AD157" i="10"/>
  <c r="AD119" i="10"/>
  <c r="AH65" i="10"/>
  <c r="S18" i="9"/>
  <c r="AK141" i="10"/>
  <c r="AH113" i="10"/>
  <c r="AH93" i="10"/>
  <c r="AK99" i="10"/>
  <c r="AF72" i="10"/>
  <c r="AJ19" i="10"/>
  <c r="AJ104" i="10"/>
  <c r="A144" i="9"/>
  <c r="S53" i="9"/>
  <c r="AF37" i="10"/>
  <c r="AK79" i="10"/>
  <c r="AE42" i="10"/>
  <c r="D54" i="9"/>
  <c r="AH117" i="10"/>
  <c r="A197" i="9"/>
  <c r="O70" i="10"/>
  <c r="AK74" i="10"/>
  <c r="W11" i="10"/>
  <c r="AC83" i="10"/>
  <c r="AE30" i="10"/>
  <c r="AJ80" i="10"/>
  <c r="AD68" i="10"/>
  <c r="O121" i="10"/>
  <c r="D17" i="10"/>
  <c r="AF124" i="10"/>
  <c r="AC49" i="10"/>
  <c r="AD18" i="10"/>
  <c r="O96" i="10"/>
  <c r="AJ36" i="10"/>
  <c r="AC16" i="10"/>
  <c r="AJ43" i="10"/>
  <c r="AF82" i="10"/>
  <c r="AI55" i="10"/>
  <c r="AK44" i="10"/>
  <c r="S60" i="9"/>
  <c r="AI87" i="10"/>
  <c r="AJ125" i="10"/>
  <c r="AK101" i="10"/>
  <c r="AF98" i="10"/>
  <c r="AF50" i="10"/>
  <c r="AH39" i="10"/>
  <c r="AJ68" i="10"/>
  <c r="AC134" i="10"/>
  <c r="L25" i="8"/>
  <c r="AC121" i="10"/>
  <c r="AD152" i="10"/>
  <c r="AH156" i="10"/>
  <c r="AJ70" i="10"/>
  <c r="A180" i="9"/>
  <c r="AK96" i="10"/>
  <c r="S80" i="9"/>
  <c r="Q174" i="12"/>
  <c r="AI151" i="10"/>
  <c r="AC31" i="10"/>
  <c r="O45" i="10"/>
  <c r="A163" i="9"/>
  <c r="AF81" i="10"/>
  <c r="AJ49" i="10"/>
  <c r="AE58" i="10"/>
  <c r="AE153" i="10"/>
  <c r="M87" i="10"/>
  <c r="AF17" i="10"/>
  <c r="O54" i="10"/>
  <c r="AK152" i="10"/>
  <c r="A176" i="9"/>
  <c r="L66" i="8"/>
  <c r="AJ25" i="10"/>
  <c r="AH24" i="10"/>
  <c r="AJ123" i="10"/>
  <c r="AI41" i="10"/>
  <c r="O57" i="10"/>
  <c r="AH71" i="10"/>
  <c r="AC81" i="10"/>
  <c r="L65" i="8"/>
  <c r="AF34" i="10"/>
  <c r="AC12" i="10"/>
  <c r="AD87" i="10"/>
  <c r="L63" i="8"/>
  <c r="AH78" i="10"/>
  <c r="AI69" i="10"/>
  <c r="AF69" i="10"/>
  <c r="AJ120" i="10"/>
  <c r="D53" i="8"/>
  <c r="S25" i="9"/>
  <c r="O16" i="9"/>
  <c r="AD46" i="10"/>
  <c r="AC118" i="10"/>
  <c r="AC140" i="10"/>
  <c r="AH129" i="10"/>
  <c r="L190" i="12"/>
  <c r="AD23" i="10"/>
  <c r="O15" i="10"/>
  <c r="AD138" i="10"/>
  <c r="A150" i="9"/>
  <c r="AH148" i="10"/>
  <c r="O109" i="10"/>
  <c r="A238" i="10"/>
  <c r="AD140" i="10"/>
  <c r="L81" i="8"/>
  <c r="AF74" i="10"/>
  <c r="AH33" i="10"/>
  <c r="S81" i="9"/>
  <c r="AH25" i="10"/>
  <c r="AC125" i="10"/>
  <c r="V11" i="10"/>
  <c r="A261" i="10"/>
  <c r="A149" i="9"/>
  <c r="AD147" i="10"/>
  <c r="AI97" i="10"/>
  <c r="A174" i="9"/>
  <c r="R2" i="10"/>
  <c r="AC20" i="10"/>
  <c r="AE79" i="10"/>
  <c r="AI81" i="10"/>
  <c r="AC30" i="10"/>
  <c r="AD110" i="10"/>
  <c r="AI53" i="10"/>
  <c r="AJ72" i="10"/>
  <c r="AF95" i="10"/>
  <c r="S45" i="9"/>
  <c r="R2" i="8"/>
  <c r="AF67" i="10"/>
  <c r="AH120" i="10"/>
  <c r="L17" i="8"/>
  <c r="AC104" i="10"/>
  <c r="AD29" i="10"/>
  <c r="AE137" i="10"/>
  <c r="A220" i="10"/>
  <c r="AJ85" i="10"/>
  <c r="AF26" i="10"/>
  <c r="A253" i="10"/>
  <c r="AK128" i="10"/>
  <c r="AE22" i="10"/>
  <c r="S24" i="9"/>
  <c r="AJ67" i="10"/>
  <c r="AE50" i="10"/>
  <c r="AK149" i="10"/>
  <c r="AH46" i="10"/>
  <c r="AK48" i="10"/>
  <c r="AK147" i="10"/>
  <c r="O26" i="10"/>
  <c r="AC80" i="10"/>
  <c r="O69" i="10"/>
  <c r="AI153" i="10"/>
  <c r="A166" i="9"/>
  <c r="AH12" i="10"/>
  <c r="L52" i="8"/>
  <c r="L73" i="8"/>
  <c r="AH20" i="10"/>
  <c r="A222" i="10"/>
  <c r="L197" i="12"/>
  <c r="AH97" i="10"/>
  <c r="AF109" i="10"/>
  <c r="AE48" i="10"/>
  <c r="AE84" i="10"/>
  <c r="O31" i="10"/>
  <c r="AE14" i="10"/>
  <c r="AI65" i="10"/>
  <c r="AJ113" i="10"/>
  <c r="AC28" i="10"/>
  <c r="AJ88" i="10"/>
  <c r="AJ38" i="10"/>
  <c r="O130" i="10"/>
  <c r="O21" i="10"/>
  <c r="AF22" i="10"/>
  <c r="AF105" i="10"/>
  <c r="AD111" i="10"/>
  <c r="AJ115" i="10"/>
  <c r="AE105" i="10"/>
  <c r="L31" i="8"/>
  <c r="A187" i="9"/>
  <c r="AK46" i="10"/>
  <c r="AF111" i="10"/>
  <c r="AH100" i="10"/>
  <c r="S68" i="9"/>
  <c r="AH54" i="10"/>
  <c r="A175" i="9"/>
  <c r="AC76" i="10"/>
  <c r="AK43" i="10"/>
  <c r="S65" i="9"/>
  <c r="AI38" i="10"/>
  <c r="U11" i="9"/>
  <c r="S63" i="9"/>
  <c r="AC150" i="10"/>
  <c r="AD155" i="10"/>
  <c r="D59" i="8"/>
  <c r="AD73" i="10"/>
  <c r="L38" i="8"/>
  <c r="L84" i="8"/>
  <c r="AE70" i="10"/>
  <c r="O120" i="10"/>
  <c r="AD74" i="10"/>
  <c r="AJ45" i="10"/>
  <c r="M45" i="10"/>
  <c r="AI108" i="10"/>
  <c r="AJ141" i="10"/>
  <c r="AD134" i="10"/>
  <c r="AH35" i="10"/>
  <c r="AJ65" i="10"/>
  <c r="AF18" i="10"/>
  <c r="AF36" i="10"/>
  <c r="AE16" i="10"/>
  <c r="AC51" i="10"/>
  <c r="AI37" i="10"/>
  <c r="AH27" i="10"/>
  <c r="AI40" i="10"/>
  <c r="AD61" i="10"/>
  <c r="A191" i="9"/>
  <c r="AJ23" i="10"/>
  <c r="AJ14" i="10"/>
  <c r="AF31" i="10"/>
  <c r="L208" i="12"/>
  <c r="AF133" i="10"/>
  <c r="AK138" i="10"/>
  <c r="A195" i="9"/>
  <c r="M46" i="10"/>
  <c r="AH45" i="10"/>
  <c r="O125" i="10"/>
  <c r="AE85" i="10"/>
  <c r="O41" i="10"/>
  <c r="AH92" i="10"/>
  <c r="AI49" i="10"/>
  <c r="AC91" i="10"/>
  <c r="AK113" i="10"/>
  <c r="AH32" i="10"/>
  <c r="AC39" i="10"/>
  <c r="O126" i="10"/>
  <c r="AF41" i="10"/>
  <c r="AD121" i="10"/>
  <c r="AJ106" i="10"/>
  <c r="AJ22" i="10"/>
  <c r="AI158" i="10"/>
  <c r="AJ61" i="10"/>
  <c r="O29" i="10"/>
  <c r="AJ116" i="10"/>
  <c r="AI124" i="10"/>
  <c r="AD49" i="10"/>
  <c r="AI130" i="10"/>
  <c r="AH68" i="10"/>
  <c r="A251" i="10"/>
  <c r="AF161" i="10"/>
  <c r="AE129" i="10"/>
  <c r="O16" i="10"/>
  <c r="AH134" i="10"/>
  <c r="O71" i="10"/>
  <c r="A192" i="9"/>
  <c r="AF51" i="10"/>
  <c r="AH62" i="10"/>
  <c r="AC34" i="10"/>
  <c r="A181" i="9"/>
  <c r="AE52" i="10"/>
  <c r="AI137" i="10"/>
  <c r="AD38" i="10"/>
  <c r="AF164" i="10"/>
  <c r="AD85" i="10"/>
  <c r="S12" i="9"/>
  <c r="AK24" i="10"/>
  <c r="AF45" i="10"/>
  <c r="A162" i="9"/>
  <c r="AE147" i="10"/>
  <c r="AE37" i="10"/>
  <c r="AC98" i="10"/>
  <c r="AH51" i="10"/>
  <c r="A178" i="9"/>
  <c r="S30" i="9"/>
  <c r="AI91" i="10"/>
  <c r="D11" i="9"/>
  <c r="AI44" i="10"/>
  <c r="AJ97" i="10"/>
  <c r="AC103" i="10"/>
  <c r="AJ148" i="10"/>
  <c r="D11" i="10"/>
  <c r="AE104" i="10"/>
  <c r="AD102" i="10"/>
  <c r="O53" i="10"/>
  <c r="AK131" i="10"/>
  <c r="AF141" i="10"/>
  <c r="AH18" i="10"/>
  <c r="AF84" i="10"/>
  <c r="A255" i="10"/>
  <c r="AE17" i="10"/>
  <c r="AH109" i="10"/>
  <c r="AF60" i="10"/>
  <c r="O18" i="10"/>
  <c r="AJ66" i="10"/>
  <c r="AK14" i="10"/>
  <c r="AD135" i="10"/>
  <c r="AF137" i="10"/>
  <c r="AI163" i="10"/>
  <c r="AF83" i="10"/>
  <c r="AD24" i="10"/>
  <c r="L75" i="8"/>
  <c r="A186" i="9"/>
  <c r="AH16" i="10"/>
  <c r="L61" i="8"/>
  <c r="AI16" i="10"/>
  <c r="O34" i="10"/>
  <c r="AJ31" i="10"/>
  <c r="A194" i="9"/>
  <c r="AF166" i="10"/>
  <c r="L56" i="8"/>
  <c r="AI45" i="10"/>
  <c r="AF38" i="10"/>
  <c r="O12" i="10"/>
  <c r="O42" i="10"/>
  <c r="H75" i="3" l="1"/>
  <c r="J47" i="3"/>
  <c r="J75" i="3" s="1"/>
  <c r="J48" i="3"/>
  <c r="E78" i="1"/>
  <c r="E47" i="1"/>
  <c r="A2" i="12"/>
  <c r="E88" i="8"/>
  <c r="E4" i="9"/>
  <c r="R3" i="8"/>
  <c r="D17" i="12"/>
  <c r="A104" i="9"/>
  <c r="A101" i="9"/>
  <c r="R3" i="10"/>
  <c r="E46" i="8"/>
  <c r="E47" i="9"/>
  <c r="A80" i="12"/>
  <c r="E90" i="10"/>
  <c r="A125" i="10"/>
  <c r="A66" i="10"/>
  <c r="A155" i="10"/>
  <c r="A130" i="10"/>
  <c r="A61" i="10"/>
  <c r="E4" i="8"/>
  <c r="L167" i="12"/>
  <c r="L169" i="12"/>
  <c r="R3" i="9"/>
  <c r="E4" i="10"/>
  <c r="A13" i="9" l="1"/>
  <c r="A56" i="9"/>
  <c r="A98" i="10"/>
  <c r="A13" i="10"/>
  <c r="A97" i="8"/>
  <c r="A55" i="8"/>
  <c r="A13" i="8"/>
</calcChain>
</file>

<file path=xl/comments1.xml><?xml version="1.0" encoding="utf-8"?>
<comments xmlns="http://schemas.openxmlformats.org/spreadsheetml/2006/main">
  <authors>
    <author>g.issaliyeva</author>
  </authors>
  <commentLis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>g.issaliyeva:</t>
        </r>
        <r>
          <rPr>
            <sz val="9"/>
            <color indexed="81"/>
            <rFont val="Tahoma"/>
            <family val="2"/>
            <charset val="204"/>
          </rPr>
          <t xml:space="preserve">
21533 СЭСС</t>
        </r>
      </text>
    </comment>
  </commentList>
</comments>
</file>

<file path=xl/comments2.xml><?xml version="1.0" encoding="utf-8"?>
<comments xmlns="http://schemas.openxmlformats.org/spreadsheetml/2006/main">
  <authors>
    <author>Исалиева Гульжайнат</author>
  </authors>
  <commentList>
    <comment ref="D278" authorId="0" shapeId="0">
      <text>
        <r>
          <rPr>
            <b/>
            <sz val="9"/>
            <color indexed="81"/>
            <rFont val="Tahoma"/>
            <family val="2"/>
            <charset val="204"/>
          </rPr>
          <t>Исалиева Гульжайнат:</t>
        </r>
        <r>
          <rPr>
            <sz val="9"/>
            <color indexed="81"/>
            <rFont val="Tahoma"/>
            <family val="2"/>
            <charset val="204"/>
          </rPr>
          <t xml:space="preserve">
ДС прекращенной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BPC_Sap</author>
  </authors>
  <commentLis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A55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59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E59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F59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G59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A9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101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101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F101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G101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</commentList>
</comments>
</file>

<file path=xl/comments4.xml><?xml version="1.0" encoding="utf-8"?>
<comments xmlns="http://schemas.openxmlformats.org/spreadsheetml/2006/main">
  <authors>
    <author>BPC_Sap</author>
  </authors>
  <commentLis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60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60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F60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</commentList>
</comments>
</file>

<file path=xl/comments5.xml><?xml version="1.0" encoding="utf-8"?>
<comments xmlns="http://schemas.openxmlformats.org/spreadsheetml/2006/main">
  <authors>
    <author>BPC_Sap</author>
  </authors>
  <commentLis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A98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B102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C102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  <comment ref="D102" authorId="0" shapeId="0">
      <text>
        <r>
          <rPr>
            <sz val="9"/>
            <color indexed="81"/>
            <rFont val="Tahoma"/>
            <family val="2"/>
            <charset val="204"/>
          </rPr>
          <t>Right-click to build filter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17" authorId="0" shapeId="0">
      <text>
        <r>
          <rPr>
            <sz val="8"/>
            <color indexed="81"/>
            <rFont val="Tahoma"/>
            <family val="2"/>
            <charset val="204"/>
          </rPr>
          <t>Right-click to build filter</t>
        </r>
      </text>
    </comment>
    <comment ref="C17" authorId="0" shapeId="0">
      <text>
        <r>
          <rPr>
            <sz val="8"/>
            <color indexed="81"/>
            <rFont val="Tahoma"/>
            <family val="2"/>
            <charset val="204"/>
          </rPr>
          <t>Right-click to build filter</t>
        </r>
      </text>
    </comment>
    <comment ref="D17" authorId="0" shapeId="0">
      <text>
        <r>
          <rPr>
            <sz val="8"/>
            <color indexed="81"/>
            <rFont val="Tahoma"/>
            <family val="2"/>
            <charset val="204"/>
          </rPr>
          <t>Right-click to build filter</t>
        </r>
      </text>
    </comment>
    <comment ref="E17" authorId="0" shapeId="0">
      <text>
        <r>
          <rPr>
            <sz val="8"/>
            <color indexed="81"/>
            <rFont val="Tahoma"/>
            <family val="2"/>
            <charset val="204"/>
          </rPr>
          <t>Right-click to build filter</t>
        </r>
      </text>
    </comment>
  </commentList>
</comments>
</file>

<file path=xl/sharedStrings.xml><?xml version="1.0" encoding="utf-8"?>
<sst xmlns="http://schemas.openxmlformats.org/spreadsheetml/2006/main" count="3226" uniqueCount="1292">
  <si>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</si>
  <si>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</si>
  <si>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</si>
  <si>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</si>
  <si>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</si>
  <si>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</si>
  <si>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</si>
  <si>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</si>
  <si>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</si>
  <si>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</si>
  <si>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</si>
  <si>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</si>
  <si>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</si>
  <si>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</si>
  <si>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</si>
  <si>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</si>
  <si>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</si>
  <si>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</si>
  <si>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</si>
  <si>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</si>
  <si>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</si>
  <si>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</si>
  <si>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</si>
  <si>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</si>
  <si>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</si>
  <si>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</si>
  <si>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</si>
  <si>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</si>
  <si>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</si>
  <si>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</si>
  <si>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</si>
  <si>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</si>
  <si>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</si>
  <si>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</si>
  <si>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</si>
  <si>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</si>
  <si>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</si>
  <si>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</si>
  <si>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</si>
  <si>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</si>
  <si>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</si>
  <si>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Прочие долгосрочные обязательства</t>
  </si>
  <si>
    <t>044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</si>
  <si>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</si>
  <si>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</si>
  <si>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</si>
  <si>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</si>
  <si>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</si>
  <si>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</si>
  <si>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</si>
  <si>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Наименование показателей</t>
  </si>
  <si>
    <t>За отчетный
период</t>
  </si>
  <si>
    <t>За предыдущий
период</t>
  </si>
  <si>
    <t>Расходы по реализации</t>
  </si>
  <si>
    <t>Административные расходы</t>
  </si>
  <si>
    <t>в том числе:</t>
  </si>
  <si>
    <t>Общая совокупная прибыль относимая на:</t>
  </si>
  <si>
    <t>Наименование организации</t>
  </si>
  <si>
    <t>ОТЧЁТ ОБ ИЗМЕНЕНИЯХ В КАПИТАЛЕ</t>
  </si>
  <si>
    <t>Капитал материнской организации</t>
  </si>
  <si>
    <t>Нераспределенная прибыль (непокрытый убыток)</t>
  </si>
  <si>
    <t>060</t>
  </si>
  <si>
    <t>070</t>
  </si>
  <si>
    <t>080</t>
  </si>
  <si>
    <t>090</t>
  </si>
  <si>
    <t>Сальдо на 1 января предыдущего года</t>
  </si>
  <si>
    <t>ОТЧЕТ О ДВИЖЕНИИ ДЕНЕЖНЫХ СРЕДСТВ</t>
  </si>
  <si>
    <t>(прямой метод)</t>
  </si>
  <si>
    <t>I. Движение денежных средств от операционной деятельности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</si>
  <si>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</si>
  <si>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</si>
  <si>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</si>
  <si>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</si>
  <si>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</si>
  <si>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</si>
  <si>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</si>
  <si>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</si>
  <si>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</si>
  <si>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</si>
  <si>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</si>
  <si>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</si>
  <si>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</si>
  <si>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</si>
  <si>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</si>
  <si>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</si>
  <si>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</si>
  <si>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</si>
  <si>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</si>
  <si>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Текущий подоходный налог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</si>
  <si>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</si>
  <si>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</si>
  <si>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</si>
  <si>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</si>
  <si>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</si>
  <si>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</si>
  <si>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</si>
  <si>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</si>
  <si>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</si>
  <si>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</si>
  <si>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</si>
  <si>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</si>
  <si>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</si>
  <si>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</si>
  <si>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</si>
  <si>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</si>
  <si>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</si>
  <si>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</si>
  <si>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</si>
  <si>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</si>
  <si>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</si>
  <si>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</si>
  <si>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</si>
  <si>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</si>
  <si>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</si>
  <si>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</si>
  <si>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</si>
  <si>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Код строки</t>
  </si>
  <si>
    <t>1. Поступление денежных средств, всего (сумма строк с 011 по 016)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</si>
  <si>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</si>
  <si>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</si>
  <si>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</si>
  <si>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</si>
  <si>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</si>
  <si>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</si>
  <si>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</si>
  <si>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</si>
  <si>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договорам страхования</t>
  </si>
  <si>
    <t>подоходный налог и другие платежи в бюджет</t>
  </si>
  <si>
    <t>3. Чистая сумма денежных средств от операционной деятельности (строка 010 – строка 020)</t>
  </si>
  <si>
    <t>045</t>
  </si>
  <si>
    <t>046</t>
  </si>
  <si>
    <t>047</t>
  </si>
  <si>
    <t>048</t>
  </si>
  <si>
    <t>049</t>
  </si>
  <si>
    <t>1. Поступление денежных средств, всего 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</si>
  <si>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</si>
  <si>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</si>
  <si>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</si>
  <si>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</si>
  <si>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полученные дивиденды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</si>
  <si>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</si>
  <si>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</si>
  <si>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</si>
  <si>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</si>
  <si>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</si>
  <si>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</si>
  <si>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</si>
  <si>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</si>
  <si>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</si>
  <si>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</si>
  <si>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2. Выбытие денежных средств, всего (сумма строк с 061 по 071)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</si>
  <si>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</si>
  <si>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</si>
  <si>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</si>
  <si>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</si>
  <si>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</si>
  <si>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</si>
  <si>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</si>
  <si>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</si>
  <si>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</si>
  <si>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091</t>
  </si>
  <si>
    <t>092</t>
  </si>
  <si>
    <t>093</t>
  </si>
  <si>
    <t>094</t>
  </si>
  <si>
    <t>эмиссия акций и других финансовых инструментов</t>
  </si>
  <si>
    <t>получение займов</t>
  </si>
  <si>
    <t>100</t>
  </si>
  <si>
    <t>2. Выбытие денежных средств, всего (сумма строк с 101 по 105)</t>
  </si>
  <si>
    <t>101</t>
  </si>
  <si>
    <t>102</t>
  </si>
  <si>
    <t>103</t>
  </si>
  <si>
    <t>104</t>
  </si>
  <si>
    <t>погашение займов</t>
  </si>
  <si>
    <t>выплата вознаграждения</t>
  </si>
  <si>
    <t>выплата дивидендов</t>
  </si>
  <si>
    <t>выплаты собственникам по акциям организации</t>
  </si>
  <si>
    <t>105</t>
  </si>
  <si>
    <t>прочие выбытия</t>
  </si>
  <si>
    <t>110</t>
  </si>
  <si>
    <t>120</t>
  </si>
  <si>
    <t>130</t>
  </si>
  <si>
    <t>140</t>
  </si>
  <si>
    <t>150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</si>
  <si>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</si>
  <si>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</si>
  <si>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</si>
  <si>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</si>
  <si>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</si>
  <si>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Нераспределенная прибыль</t>
  </si>
  <si>
    <t>тыс. тенге</t>
  </si>
  <si>
    <t xml:space="preserve">Изменение в учетной политике </t>
  </si>
  <si>
    <t>200</t>
  </si>
  <si>
    <t>Пересчитанное сальдо (строка 010+/строка 011)</t>
  </si>
  <si>
    <t>Общая совокупная прибыль, всего(строка 210 + строка 220):</t>
  </si>
  <si>
    <t>210</t>
  </si>
  <si>
    <t>Прибыль (убыток) за год</t>
  </si>
  <si>
    <t>220</t>
  </si>
  <si>
    <t>Прочая совокупная прибыль, всего (сумма строк с 221 по 229):</t>
  </si>
  <si>
    <t>221</t>
  </si>
  <si>
    <t>222</t>
  </si>
  <si>
    <t>223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</si>
  <si>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</si>
  <si>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</si>
  <si>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</si>
  <si>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224</t>
  </si>
  <si>
    <t>225</t>
  </si>
  <si>
    <t>226</t>
  </si>
  <si>
    <t>227</t>
  </si>
  <si>
    <t>228</t>
  </si>
  <si>
    <t>229</t>
  </si>
  <si>
    <t>300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</si>
  <si>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</si>
  <si>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</si>
  <si>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</si>
  <si>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</si>
  <si>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</si>
  <si>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</si>
  <si>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 , всего (сумма строк с 310 по 318):</t>
  </si>
  <si>
    <t>310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</si>
  <si>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</si>
  <si>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</si>
  <si>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</si>
  <si>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</si>
  <si>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311</t>
  </si>
  <si>
    <t>312</t>
  </si>
  <si>
    <t>313</t>
  </si>
  <si>
    <t>314</t>
  </si>
  <si>
    <t>315</t>
  </si>
  <si>
    <t>316</t>
  </si>
  <si>
    <t>317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</si>
  <si>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</si>
  <si>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</si>
  <si>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</si>
  <si>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</si>
  <si>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</si>
  <si>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318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</si>
  <si>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</si>
  <si>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</si>
  <si>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</si>
  <si>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400</t>
  </si>
  <si>
    <t>401</t>
  </si>
  <si>
    <t>Сальдо на 1 января отчетного года (строка 100 + строка 200 + строка 300)</t>
  </si>
  <si>
    <t>Изменение в учетной политике</t>
  </si>
  <si>
    <t>500</t>
  </si>
  <si>
    <t>Пересчитанное сальдо (строка 400+/строка 401)</t>
  </si>
  <si>
    <t>600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</si>
  <si>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</si>
  <si>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</si>
  <si>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</si>
  <si>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</si>
  <si>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</si>
  <si>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</si>
  <si>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</si>
  <si>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</si>
  <si>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</si>
  <si>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</si>
  <si>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</si>
  <si>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</si>
  <si>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</si>
  <si>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</si>
  <si>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700</t>
  </si>
  <si>
    <t>Операции с собственниками всего (сумма строк с 710 по 718)</t>
  </si>
  <si>
    <t>710</t>
  </si>
  <si>
    <t>Вознаграждения работников акциями</t>
  </si>
  <si>
    <t>711</t>
  </si>
  <si>
    <t>712</t>
  </si>
  <si>
    <t>713</t>
  </si>
  <si>
    <t>714</t>
  </si>
  <si>
    <t>715</t>
  </si>
  <si>
    <t>716</t>
  </si>
  <si>
    <t>717</t>
  </si>
  <si>
    <t>718</t>
  </si>
  <si>
    <t>Выпуск долевых инструментов, связанный с объединением бизнеса</t>
  </si>
  <si>
    <t>800</t>
  </si>
  <si>
    <t>Сальдо на 31 декабря отчетного года (строка 500 + строка 600 + строка 700)</t>
  </si>
  <si>
    <t>Себестоимость реализованной товаров и услуг</t>
  </si>
  <si>
    <t>Валовая прибыль (строка 010 – строка 011)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</si>
  <si>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</si>
  <si>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</si>
  <si>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</si>
  <si>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</si>
  <si>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</si>
  <si>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</si>
  <si>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</si>
  <si>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</si>
  <si>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</si>
  <si>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</si>
  <si>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</si>
  <si>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</si>
  <si>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</si>
  <si>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</si>
  <si>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</si>
  <si>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</si>
  <si>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</si>
  <si>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</si>
  <si>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Хеджирование денежных потоков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</si>
  <si>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</si>
  <si>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</si>
  <si>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</si>
  <si>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</si>
  <si>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</si>
  <si>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</si>
  <si>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</si>
  <si>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</si>
  <si>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</si>
  <si>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</si>
  <si>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БУХГАЛТЕРСКИЙ БАЛАНС</t>
  </si>
  <si>
    <t>Отложенные налоговые обязательства</t>
  </si>
  <si>
    <t xml:space="preserve">Сведения о реорганизации </t>
  </si>
  <si>
    <t>Среднегодовая численность работников</t>
  </si>
  <si>
    <t>Юридический адрес (организации)</t>
  </si>
  <si>
    <t>(подпись)</t>
  </si>
  <si>
    <t>Выручка</t>
  </si>
  <si>
    <t>реализация товаров и услуг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</si>
  <si>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</si>
  <si>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</si>
  <si>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</si>
  <si>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</si>
  <si>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Приложение 3</t>
  </si>
  <si>
    <t>Приложение 4</t>
  </si>
  <si>
    <t>Приложение 5</t>
  </si>
  <si>
    <t>Приложение 6</t>
  </si>
  <si>
    <t>(косвенный метод)</t>
  </si>
  <si>
    <t>За отчетный период</t>
  </si>
  <si>
    <t>За предыдущий период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</si>
  <si>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</si>
  <si>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</si>
  <si>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</si>
  <si>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</si>
  <si>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</si>
  <si>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</si>
  <si>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</si>
  <si>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</si>
  <si>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</si>
  <si>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</si>
  <si>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</si>
  <si>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</si>
  <si>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</si>
  <si>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</si>
  <si>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</si>
  <si>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</si>
  <si>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031</t>
  </si>
  <si>
    <t>032</t>
  </si>
  <si>
    <t>033</t>
  </si>
  <si>
    <t>034</t>
  </si>
  <si>
    <t>035</t>
  </si>
  <si>
    <t>036</t>
  </si>
  <si>
    <t>Итого корректировка общей совокупной прибыли (убытка), всего (+/- строки с 011 по 025)</t>
  </si>
  <si>
    <t>Изменения в запасах</t>
  </si>
  <si>
    <t xml:space="preserve">Изменения резерва 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</si>
  <si>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</si>
  <si>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</si>
  <si>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</si>
  <si>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</si>
  <si>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строки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</si>
  <si>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</si>
  <si>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</si>
  <si>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</si>
  <si>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</si>
  <si>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</si>
  <si>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</si>
  <si>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</si>
  <si>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инвестиционной деятельности </t>
  </si>
  <si>
    <t>1. Поступление денежных средств, всего</t>
  </si>
  <si>
    <t xml:space="preserve">3. Чистая сумма денежных средств от финансовой деятельности </t>
  </si>
  <si>
    <t xml:space="preserve">2. Выбытие денежных средств, всего </t>
  </si>
  <si>
    <t>5. Увеличение +/- уменьшение денежных средств (строка 100 +/- строка 200 +/- строка 300 +/- строка 400)</t>
  </si>
  <si>
    <t>Акционерное общество "Самрук-Энерго"</t>
  </si>
  <si>
    <t xml:space="preserve">Акционерное общество </t>
  </si>
  <si>
    <t>Крупного</t>
  </si>
  <si>
    <t>ОТЧЕТ О ПРИБЫЛЯХ И УБЫТКАХ</t>
  </si>
  <si>
    <t>(фамилия, имя, отчество)   </t>
  </si>
  <si>
    <t>Тулекова С.Б.</t>
  </si>
  <si>
    <t xml:space="preserve">     (фамилия, имя, отчество)   </t>
  </si>
  <si>
    <t xml:space="preserve">      (фамилия, имя, отчество)   </t>
  </si>
  <si>
    <t>Консолидированная</t>
  </si>
  <si>
    <t xml:space="preserve">Заместитель председателя правления
 </t>
  </si>
  <si>
    <t>Пазылхаирова Г.Т.</t>
  </si>
  <si>
    <t xml:space="preserve">Директор Департамента финансового и налогового  учета
 - главный бухгалтер </t>
  </si>
  <si>
    <t xml:space="preserve">Заместитель председателя правления
</t>
  </si>
  <si>
    <t xml:space="preserve">Директор  Департамента финансовогои налогового   учета
 - главный бухгалтер </t>
  </si>
  <si>
    <t xml:space="preserve">Директор Департамента финансового и налогового учета
 - главный бухгалтер </t>
  </si>
  <si>
    <t>61902</t>
  </si>
  <si>
    <t>13 192 320</t>
  </si>
  <si>
    <t>за год, заканчивающийся 31 декабря 2012 года</t>
  </si>
  <si>
    <t>Резервы по обязательствам и расходам</t>
  </si>
  <si>
    <t>-</t>
  </si>
  <si>
    <t>Финансовые доходы</t>
  </si>
  <si>
    <t>Финансовые расходы</t>
  </si>
  <si>
    <t>Прибыль до налогообложения</t>
  </si>
  <si>
    <t xml:space="preserve">Форма отчетности: консолидированная/неконсолидированная </t>
  </si>
  <si>
    <t>Субъект предпринимательства (малого, среднего, крупного)</t>
  </si>
  <si>
    <t>В тысячах казахстанских тенге</t>
  </si>
  <si>
    <t>Прим.</t>
  </si>
  <si>
    <t>2012 г.</t>
  </si>
  <si>
    <t>Движение денежных средств от операционной деятельности</t>
  </si>
  <si>
    <t>Корректировки на:</t>
  </si>
  <si>
    <t xml:space="preserve">Обесценение основных средств </t>
  </si>
  <si>
    <t>Износ и амортизацию</t>
  </si>
  <si>
    <t>Убытки от выбытия основных средств</t>
  </si>
  <si>
    <t xml:space="preserve">Доход от реализации активов, предназначенных для продажи </t>
  </si>
  <si>
    <t>Резерв на обесценение/(восстановление) дебиторской задолженности по основной деятельности и прочей дебиторской задолженности</t>
  </si>
  <si>
    <t>Восстановление обесценения прочих долгосрочных активов</t>
  </si>
  <si>
    <t>(Восстановление) / резерв на снижение стоимости товарно-материальных запасов</t>
  </si>
  <si>
    <t>Амортизация доходов за подключение дополнительных мощностей</t>
  </si>
  <si>
    <t>Нереализованные прибыли за вычетом убытков от курсовой разницы</t>
  </si>
  <si>
    <t>Убытки от списания расходов на жилье</t>
  </si>
  <si>
    <t>Стоимость текущих услуг и актуарные убытки по вознаграждениям работникам</t>
  </si>
  <si>
    <t>Доля в доходах совместных предприятий и ассоциированных компании</t>
  </si>
  <si>
    <t>Доход от безвозмездно полученного имуществa</t>
  </si>
  <si>
    <t>Прочие корректировки</t>
  </si>
  <si>
    <t>Движение денежных средств от операционной</t>
  </si>
  <si>
    <t>деятельности до изменений в оборотном капитале</t>
  </si>
  <si>
    <t>(Увеличение)/уменьшение дебиторской задолженности по основной деятельности и прочей дебиторской задолженности и прочих краткосрочных активов</t>
  </si>
  <si>
    <t>Уменьшение товарно-материальных запасов</t>
  </si>
  <si>
    <t>Уменьшение кредиторской задолженности по основной деятельности и прочая кредиторская задолженность</t>
  </si>
  <si>
    <t>(Уменьшение) /увеличение задолженности по вознаграждениям работникам</t>
  </si>
  <si>
    <t>(Уменьшение) / увеличение налогов к уплате</t>
  </si>
  <si>
    <t>Денежные средства, полученные от операционной деятельности</t>
  </si>
  <si>
    <t>Подоходный налог уплаченный</t>
  </si>
  <si>
    <t>Проценты уплаченные</t>
  </si>
  <si>
    <t>Дивиденды полученные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</si>
  <si>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</si>
  <si>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</si>
  <si>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 основных средств</t>
  </si>
  <si>
    <t>Приобретение нематериальных активов</t>
  </si>
  <si>
    <t xml:space="preserve">Приобретение дочерних предприятий </t>
  </si>
  <si>
    <t xml:space="preserve">Приобретение доли участия в ассоциированных компаниях </t>
  </si>
  <si>
    <t>Капитализированный доход</t>
  </si>
  <si>
    <t>Выручка от реализации основных средств</t>
  </si>
  <si>
    <t>Авансы выданные на приобретение долгосрочных активов, нетто</t>
  </si>
  <si>
    <t>Процентный доход полученный</t>
  </si>
  <si>
    <t xml:space="preserve">Выручка от реализации доли участия в ассоциированных компаниях </t>
  </si>
  <si>
    <t xml:space="preserve">Чистые изменения в активах и обязательствах группы выбытия </t>
  </si>
  <si>
    <t>(Размещение)/выплата банковских депозитов</t>
  </si>
  <si>
    <t>Предоставленные кредиты</t>
  </si>
  <si>
    <t>Выручка от предоставленных кредитов</t>
  </si>
  <si>
    <t>Прочие</t>
  </si>
  <si>
    <t>Чистые денежные средства, использованные в инвестиционной деятельности</t>
  </si>
  <si>
    <t xml:space="preserve">Движение денежных средств от финансовой деятельности </t>
  </si>
  <si>
    <t>Поступление от эмиссии акции</t>
  </si>
  <si>
    <t>Поступление от эмиссии облигаций</t>
  </si>
  <si>
    <t>Поступление займов</t>
  </si>
  <si>
    <t>Продажа собственных акций в дочерних предприятиях</t>
  </si>
  <si>
    <t>Финансовая помощь, полученная от акционеров</t>
  </si>
  <si>
    <t>Погашение займов</t>
  </si>
  <si>
    <t>Погашение финансовой помощи от акционеров</t>
  </si>
  <si>
    <t>Погашение облигаций</t>
  </si>
  <si>
    <t>Дивиденды выплаченные акционерам</t>
  </si>
  <si>
    <t>Дивиденды выплаченные доле неконтролирующих акционеров</t>
  </si>
  <si>
    <t>Поступление займов от потребителей</t>
  </si>
  <si>
    <t>Погашение займов от потребителей</t>
  </si>
  <si>
    <t>Прочие выплаты относящиеся акционерам</t>
  </si>
  <si>
    <t>Чистые денежные средства, (использованные в)/полученные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</si>
  <si>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</si>
  <si>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</si>
  <si>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периода</t>
  </si>
  <si>
    <r>
      <t> </t>
    </r>
    <r>
      <rPr>
        <sz val="9"/>
        <rFont val="Arial"/>
        <family val="2"/>
        <charset val="204"/>
      </rPr>
      <t>In english the cell is also empty</t>
    </r>
  </si>
  <si>
    <t>31 декабря 2013 г.</t>
  </si>
  <si>
    <t>АКТИВЫ</t>
  </si>
  <si>
    <t>Долгосрочные активы</t>
  </si>
  <si>
    <t>Инвестиционная собственность</t>
  </si>
  <si>
    <t>Активы по разведке и оценке</t>
  </si>
  <si>
    <t>Инвестиции в совместные предприятия</t>
  </si>
  <si>
    <t>и ассоциированные компании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</si>
  <si>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</si>
  <si>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</si>
  <si>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</si>
  <si>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</si>
  <si>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</si>
  <si>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</si>
  <si>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</si>
  <si>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</si>
  <si>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</si>
  <si>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</si>
  <si>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</si>
  <si>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</si>
  <si>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</si>
  <si>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</si>
  <si>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</si>
  <si>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</si>
  <si>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</si>
  <si>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</si>
  <si>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</si>
  <si>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</si>
  <si>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</si>
  <si>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</si>
  <si>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</si>
  <si>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</si>
  <si>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</si>
  <si>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</si>
  <si>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</si>
  <si>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</si>
  <si>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</si>
  <si>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</si>
  <si>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2013 г.</t>
  </si>
  <si>
    <t>Себестоимость продаж</t>
  </si>
  <si>
    <t>Валовая прибыль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</si>
  <si>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</si>
  <si>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</si>
  <si>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</si>
  <si>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Прибыль за год от продолжающейся деятельности</t>
  </si>
  <si>
    <t>(Убыток)/прибыль за год от прекращенной деятельности</t>
  </si>
  <si>
    <t>Итого прибыль за год</t>
  </si>
  <si>
    <t>Прочий совокупный убыток</t>
  </si>
  <si>
    <t>Переоценка обязательств по вознаграждениям по окончании трудовой деятельности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</si>
  <si>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</si>
  <si>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</si>
  <si>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</si>
  <si>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Неконтролирующую долю</t>
  </si>
  <si>
    <t xml:space="preserve">Прибыль за период </t>
  </si>
  <si>
    <t xml:space="preserve">Итого совокупный доход причитающийся: </t>
  </si>
  <si>
    <t>Причитающиеся акционерам Группы</t>
  </si>
  <si>
    <t>Доля</t>
  </si>
  <si>
    <t>неконтро-</t>
  </si>
  <si>
    <t>лирующая</t>
  </si>
  <si>
    <t>доля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</si>
  <si>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</si>
  <si>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</si>
  <si>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</si>
  <si>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</si>
  <si>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</si>
  <si>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</si>
  <si>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</si>
  <si>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Прибыль за год</t>
  </si>
  <si>
    <t>Прочий совокупный доход</t>
  </si>
  <si>
    <t xml:space="preserve">Итого совокупный доход </t>
  </si>
  <si>
    <t>Эмиссия акций</t>
  </si>
  <si>
    <t xml:space="preserve"> - </t>
  </si>
  <si>
    <t>Дивиденды</t>
  </si>
  <si>
    <t>Остаток на 31 декабря 2012 г.</t>
  </si>
  <si>
    <t xml:space="preserve">Прибыль за год </t>
  </si>
  <si>
    <t xml:space="preserve"> -</t>
  </si>
  <si>
    <t>Результат операций с акционерами и резерв объединения</t>
  </si>
  <si>
    <t>Остаток на 31 декабря 2013 г.</t>
  </si>
  <si>
    <t>Прибыль до налогообложения от продолжающейся деятельности</t>
  </si>
  <si>
    <t>Убыток до налогообложения от прекращенной деятельности</t>
  </si>
  <si>
    <t xml:space="preserve">Обесценение активов </t>
  </si>
  <si>
    <t>Износ и амортизация</t>
  </si>
  <si>
    <t>Восстановление дебиторской задолженности по основной деятельности и прочей дебиторской задолженности</t>
  </si>
  <si>
    <t>(Восстановление резерва)/резерв на снижение стоимости товарно-материальных запасов</t>
  </si>
  <si>
    <t>Доход от безвозмездно полученного имущества</t>
  </si>
  <si>
    <t>Увеличение дебиторской задолженности по основной деятельности и прочей дебиторской задолженности и прочих краткосрочных активов</t>
  </si>
  <si>
    <t>(Увеличение)/уменьшение товарно-материальных запасов</t>
  </si>
  <si>
    <t>(Уменьшение)/ увеличение кредиторской задолженности по основной деятельности и прочая кредиторская задолженность</t>
  </si>
  <si>
    <t>(Уменьшение)/ увеличение задолженности по вознаграждениям работникам</t>
  </si>
  <si>
    <t>Увеличение налогов к уплате</t>
  </si>
  <si>
    <t>Расходы по оценке и разведке месторождении</t>
  </si>
  <si>
    <t xml:space="preserve">Выручка от продажи доли участия в ассоциированных компаниях </t>
  </si>
  <si>
    <t>Возврат предоставленных кредитов</t>
  </si>
  <si>
    <t>Прочие (платежи)/поступления от акционеров</t>
  </si>
  <si>
    <t>Влияние изменения обменного курса валют на денежные средства и их эквиваленты</t>
  </si>
  <si>
    <t>Чистое (уменьшение)/увеличение денежных средств от продолжающейся деятельности</t>
  </si>
  <si>
    <t>Чистое увеличение денежных средств от прекращенной деятельности</t>
  </si>
  <si>
    <t>Денежные средства на конец года</t>
  </si>
  <si>
    <t>Денежные средства на конец года (группы выбытия)</t>
  </si>
  <si>
    <t>Доход от судебных разбирательств</t>
  </si>
  <si>
    <t>Восстановление резерва по прочей дебиторской задолженности</t>
  </si>
  <si>
    <t>Доходы за подключение дополнительных мощностей</t>
  </si>
  <si>
    <t>Доходы от реализации товарно-материальных запасов</t>
  </si>
  <si>
    <t>Доход по договору доверительного управления Экибастузской ГРЭС-1</t>
  </si>
  <si>
    <t xml:space="preserve">Доходы от списания обязательства </t>
  </si>
  <si>
    <t>Прочие операционные доходы</t>
  </si>
  <si>
    <t>Обесценение активов</t>
  </si>
  <si>
    <t>Убыток от выбытия основных средств</t>
  </si>
  <si>
    <t>Прочие операционные расходы</t>
  </si>
  <si>
    <t>Итого прочие доходы</t>
  </si>
  <si>
    <t>31 декабря 2014 г.</t>
  </si>
  <si>
    <t xml:space="preserve">Активы группы выбытия классифицированной как предназначенная для продажи </t>
  </si>
  <si>
    <t>Капитал причитающийся акционерам Группы</t>
  </si>
  <si>
    <t>Обязательства группы выбытия классифицированной</t>
  </si>
  <si>
    <t>1      Прочие доходы чистые</t>
  </si>
  <si>
    <t>Статьи которые впоследствии не будут реклассифицированы в состав прибылей или убытков</t>
  </si>
  <si>
    <t>Денежные средства полученные от операционной деятельности</t>
  </si>
  <si>
    <t>Чистые денежные средства полученные от операционной деятельности</t>
  </si>
  <si>
    <t>Чистые денежные средства полученные от операционной  прекращенной деятельности</t>
  </si>
  <si>
    <t>Денежные средства полученные от продажи основных средств</t>
  </si>
  <si>
    <t>Чистые денежные средства использованные в инвестиционной деятельности</t>
  </si>
  <si>
    <t>Чистые денежные средства полученные от инвестиционной прекращенной деятельности</t>
  </si>
  <si>
    <t>Чистые денежные средства (использованные)/полученные от финансовой деятельности</t>
  </si>
  <si>
    <t>Чистые денежные средства использованные в финансовой прекращенной деятельности</t>
  </si>
  <si>
    <t>2014 г.</t>
  </si>
  <si>
    <t>2013 г. (пересчитано) *</t>
  </si>
  <si>
    <t>Остаток на 1 января 2013 г.</t>
  </si>
  <si>
    <t xml:space="preserve">Отмена дохода от первоначального признания займа от Самрук-казына  </t>
  </si>
  <si>
    <t xml:space="preserve">Доход от первоначального признания займа от
Самрук-Казына 
</t>
  </si>
  <si>
    <t xml:space="preserve">Приобретение доли неконтролирующих акционеров в
Мойнакской ГЭС
</t>
  </si>
  <si>
    <t>Доход от переоценки ранее имевшейся доли</t>
  </si>
  <si>
    <t xml:space="preserve">Обесценение основных средств  </t>
  </si>
  <si>
    <t xml:space="preserve">32,454,349   </t>
  </si>
  <si>
    <t xml:space="preserve">               -</t>
  </si>
  <si>
    <t>Инвестиция в АО Мойнакская ГЭС</t>
  </si>
  <si>
    <t>Предоставленные займы</t>
  </si>
  <si>
    <t>Продажа/(Покупка) финансовых активов</t>
  </si>
  <si>
    <t>Снятие/(Размещение) банковских депозитов нетто</t>
  </si>
  <si>
    <t xml:space="preserve">Снятие денежных средств ограниченных в использовании </t>
  </si>
  <si>
    <t>за год, заканчивающийся 31 декабря 2014 года</t>
  </si>
  <si>
    <t>Таблица 1</t>
  </si>
  <si>
    <t>App</t>
  </si>
  <si>
    <t>LEGAL</t>
  </si>
  <si>
    <t>C_M005</t>
  </si>
  <si>
    <t>C_CATEGORY</t>
  </si>
  <si>
    <t>RANGE</t>
  </si>
  <si>
    <t>VALUE</t>
  </si>
  <si>
    <t>C_DATATS</t>
  </si>
  <si>
    <t>PageKeyRange</t>
  </si>
  <si>
    <t>C_ENTITY</t>
  </si>
  <si>
    <t xml:space="preserve">Ф.1 Бухгалтерский баланс </t>
  </si>
  <si>
    <t>ColKeyRange</t>
  </si>
  <si>
    <t>C_M003</t>
  </si>
  <si>
    <t>M3_NONE</t>
  </si>
  <si>
    <t>RowKeyRange</t>
  </si>
  <si>
    <t>C_M004</t>
  </si>
  <si>
    <t>M4_NONE</t>
  </si>
  <si>
    <t xml:space="preserve">Бухгалтерский баланс </t>
  </si>
  <si>
    <t>CellKeyRange</t>
  </si>
  <si>
    <t>FLOW</t>
  </si>
  <si>
    <t>F_NONE</t>
  </si>
  <si>
    <t xml:space="preserve">D_TABLENAME_UP </t>
  </si>
  <si>
    <t>I_19</t>
  </si>
  <si>
    <t>I_Internal</t>
  </si>
  <si>
    <t>I_T</t>
  </si>
  <si>
    <t>GetOnlyRange</t>
  </si>
  <si>
    <t>GROUPS</t>
  </si>
  <si>
    <t>NON_GROUP</t>
  </si>
  <si>
    <t>F_CLO</t>
  </si>
  <si>
    <t>FormatRange</t>
  </si>
  <si>
    <t>MEASURES</t>
  </si>
  <si>
    <t>YTD</t>
  </si>
  <si>
    <t>2015.JUN</t>
  </si>
  <si>
    <t>OptionRange</t>
  </si>
  <si>
    <t>RPTCURRENCY</t>
  </si>
  <si>
    <t>LC</t>
  </si>
  <si>
    <t>D_HIDE_ROW</t>
  </si>
  <si>
    <t>D_COL_CN</t>
  </si>
  <si>
    <t>SortRange</t>
  </si>
  <si>
    <t>TIME</t>
  </si>
  <si>
    <t>D_MERGE_ROW</t>
  </si>
  <si>
    <t>PARAMETER</t>
  </si>
  <si>
    <t>EXPANSION 1</t>
  </si>
  <si>
    <t>EXPANSION 2</t>
  </si>
  <si>
    <t>EXPANSION 3</t>
  </si>
  <si>
    <t>ExpandIn</t>
  </si>
  <si>
    <t>COL</t>
  </si>
  <si>
    <t>ROW</t>
  </si>
  <si>
    <t>FORM</t>
  </si>
  <si>
    <t xml:space="preserve">АКТИВЫ </t>
  </si>
  <si>
    <t>Dimension</t>
  </si>
  <si>
    <t>INTCO</t>
  </si>
  <si>
    <t>C_ACCT</t>
  </si>
  <si>
    <t xml:space="preserve">Долгосрочные активы </t>
  </si>
  <si>
    <t>MemberSet</t>
  </si>
  <si>
    <t>M4_TOTAL</t>
  </si>
  <si>
    <t>M3_TOTAL</t>
  </si>
  <si>
    <t>BeforeRange</t>
  </si>
  <si>
    <t>AfterRange</t>
  </si>
  <si>
    <t>Suppress</t>
  </si>
  <si>
    <t>Insert</t>
  </si>
  <si>
    <t>_MGBkeFpv8</t>
  </si>
  <si>
    <t>Option</t>
  </si>
  <si>
    <t>Value</t>
  </si>
  <si>
    <t>|205000000,207000000,206000000,204000000,202080000,202070000,202060000,202010000,202020000,202040000,202030000,210000000,203000000,299000000,200000000</t>
  </si>
  <si>
    <t>|M4_TOTAL</t>
  </si>
  <si>
    <t>|M3_TOTAL</t>
  </si>
  <si>
    <t>AutoFitCol</t>
  </si>
  <si>
    <t>|104000000,103000000,102010000,102020000,102040000,102030000,110010000</t>
  </si>
  <si>
    <t>Bottom</t>
  </si>
  <si>
    <t>DumpDataCache</t>
  </si>
  <si>
    <t>ExpandOnly</t>
  </si>
  <si>
    <t>HideColKeys</t>
  </si>
  <si>
    <t>Y</t>
  </si>
  <si>
    <t>HideRowKeys</t>
  </si>
  <si>
    <t>NoRefresh</t>
  </si>
  <si>
    <t>NoSend</t>
  </si>
  <si>
    <t xml:space="preserve">Краткосрочные активы </t>
  </si>
  <si>
    <t>ShowComments</t>
  </si>
  <si>
    <t>ShowNullAsZero</t>
  </si>
  <si>
    <t>SortCol</t>
  </si>
  <si>
    <t>SumParent</t>
  </si>
  <si>
    <t>SuppressDataCol</t>
  </si>
  <si>
    <t>SuppressDataRow</t>
  </si>
  <si>
    <t>SuppressNoData</t>
  </si>
  <si>
    <t>DynamicHierarchyExpansion</t>
  </si>
  <si>
    <t>Top</t>
  </si>
  <si>
    <t>I_29</t>
  </si>
  <si>
    <t>|205000000,207000000,206000000,204000000,202080000,202070000,202060000,202010000,202020000,202040000,202030000,210000000,203000000,299000000,200000000|104000000,103000000,102010000,102020000,102040000,102030000,110010000|199000000,101000000,109000000,100000000|501010000,503000000,504000000,501020000,505010000,505020000,505030000,505040000,505990000,502000000,506000000|599000000,500000000|402010000,402040000,402020000,402050000,405000000,402030000,410000000,408000000,403000000,499000000,400000000|302010000,302040000,302020000,302050000,305000000,302030000,303000000,310010000,310020000,308000000,399000000,309000000,300000000|</t>
  </si>
  <si>
    <t>|M4_TOTAL|M4_TOTAL|M4_TOTAL|M4_TOTAL|M4_TOTAL|M4_TOTAL|M4_TOTAL|</t>
  </si>
  <si>
    <t>|M3_TOTAL|M3_TOTAL|M3_TOTAL|M3_TOTAL|M3_TOTAL|M3_TOTAL|M3_TOTAL|</t>
  </si>
  <si>
    <t xml:space="preserve">Итого активы </t>
  </si>
  <si>
    <t>|110020000</t>
  </si>
  <si>
    <t>|M4_NONE</t>
  </si>
  <si>
    <t>|M3_NONE</t>
  </si>
  <si>
    <t xml:space="preserve">КАПИТАЛ И ОБЯЗАТЕЛЬСТВА </t>
  </si>
  <si>
    <t>Капитал</t>
  </si>
  <si>
    <t>Относящийся к акционеру материнской компании</t>
  </si>
  <si>
    <t xml:space="preserve">Долгосрочные обязательства </t>
  </si>
  <si>
    <t xml:space="preserve">Итого обязательства </t>
  </si>
  <si>
    <t xml:space="preserve">Итого капитал и обязательства </t>
  </si>
  <si>
    <t>199000000,101000000,109000000,100000000</t>
  </si>
  <si>
    <t>Руководитель          _____________________________________________</t>
  </si>
  <si>
    <t>|501010000,503000000,504000000,501020000,505010000,505020000,505030000,505040000,505990000,502000000,506000000</t>
  </si>
  <si>
    <t>Главный бухгалтер _____________________________________________</t>
  </si>
  <si>
    <t>|599000000,500000000</t>
  </si>
  <si>
    <t>|402010000,402040000,402020000,402050000,405000000,402030000,410000000,408000000,403000000,499000000,400000000</t>
  </si>
  <si>
    <t>|302010000,302040000,302020000,302050000,305000000,302030000,303000000,310010000,310020000,308000000,399000000,309000000,300000000</t>
  </si>
  <si>
    <t>|</t>
  </si>
  <si>
    <t>CRITERIA</t>
  </si>
  <si>
    <t>EVALUATE IN</t>
  </si>
  <si>
    <t>FORMAT</t>
  </si>
  <si>
    <t>USE</t>
  </si>
  <si>
    <t>PARAMETERS</t>
  </si>
  <si>
    <t>APPLY TO</t>
  </si>
  <si>
    <t>DEFAULT</t>
  </si>
  <si>
    <t>PATTERN</t>
  </si>
  <si>
    <t>KEY</t>
  </si>
  <si>
    <t>ИТОГО</t>
  </si>
  <si>
    <t>HEADING</t>
  </si>
  <si>
    <t>CALC</t>
  </si>
  <si>
    <t xml:space="preserve">Итого </t>
  </si>
  <si>
    <t>INPUT</t>
  </si>
  <si>
    <t>LOCK</t>
  </si>
  <si>
    <t>DATA</t>
  </si>
  <si>
    <t>FLOW.GROUP2="SALDO"</t>
  </si>
  <si>
    <t>C_ACCT.HLEVEL=2</t>
  </si>
  <si>
    <t>INDENTLEVEL</t>
  </si>
  <si>
    <t>C_ACCT.HLEVEL=3</t>
  </si>
  <si>
    <t>C_ACCT.HLEVEL=4</t>
  </si>
  <si>
    <t>C_ACCT.HLEVEL=5</t>
  </si>
  <si>
    <t>C_ACCT.HLEVEL=6</t>
  </si>
  <si>
    <t>C_ACCT.HLEVEL=7</t>
  </si>
  <si>
    <t>C_ACCT.HLEVEL=1</t>
  </si>
  <si>
    <t>C_ACCT.PERCENT="Y"</t>
  </si>
  <si>
    <t>NUMBERFORMAT</t>
  </si>
  <si>
    <t>FLOW.ID=F_CLO</t>
  </si>
  <si>
    <t>На конец</t>
  </si>
  <si>
    <t>FONT</t>
  </si>
  <si>
    <t>C_ACCT.ID=205000000 AND IntCo.ID=I_19</t>
  </si>
  <si>
    <t>C_ACCT.ID=207000000 AND IntCo.ID=I_19</t>
  </si>
  <si>
    <t>C_ACCT.ID=206000000 AND IntCo.ID=I_19</t>
  </si>
  <si>
    <t>C_ACCT.ID=204000000 AND IntCo.ID=I_19</t>
  </si>
  <si>
    <t>C_ACCT.ID=202080000 AND IntCo.ID=I_19</t>
  </si>
  <si>
    <t>C_ACCT.ID=202070000 AND IntCo.ID=I_19</t>
  </si>
  <si>
    <t>C_ACCT.ID=202060000 AND IntCo.ID=I_19</t>
  </si>
  <si>
    <t>C_ACCT.ID=210000000 AND IntCo.ID=I_19</t>
  </si>
  <si>
    <t>C_ACCT.ID=104000000 AND IntCo.ID=I_19</t>
  </si>
  <si>
    <t>C_ACCT.ID=110010000 AND IntCo.ID=I_19</t>
  </si>
  <si>
    <t>C_ACCT.ID=110020000 AND IntCo.ID=I_19</t>
  </si>
  <si>
    <t>C_ACCT.ID=501010000 AND IntCo.ID=I_19</t>
  </si>
  <si>
    <t>C_ACCT.ID=503000000 AND IntCo.ID=I_19</t>
  </si>
  <si>
    <t>C_ACCT.ID=504000000 AND IntCo.ID=I_19</t>
  </si>
  <si>
    <t>C_ACCT.ID=501020000 AND IntCo.ID=I_19</t>
  </si>
  <si>
    <t>C_ACCT.ID=505010000 AND IntCo.ID=I_19</t>
  </si>
  <si>
    <t>C_ACCT.ID=505020000 AND IntCo.ID=I_19</t>
  </si>
  <si>
    <t>C_ACCT.ID=505030000 AND IntCo.ID=I_19</t>
  </si>
  <si>
    <t>C_ACCT.ID=505040000 AND IntCo.ID=I_19</t>
  </si>
  <si>
    <t>C_ACCT.ID=505990000 AND IntCo.ID=I_19</t>
  </si>
  <si>
    <t>C_ACCT.ID=502000000 AND IntCo.ID=I_19</t>
  </si>
  <si>
    <t>C_ACCT.ID=506000000 AND IntCo.ID=I_19</t>
  </si>
  <si>
    <t>C_ACCT.ID=410000000 AND IntCo.ID=I_19</t>
  </si>
  <si>
    <t>C_ACCT.ID=305000000 AND IntCo.ID=I_19</t>
  </si>
  <si>
    <t>C_ACCT.ID=310010000 AND IntCo.ID=I_19</t>
  </si>
  <si>
    <t>C_ACCT.ID=310020000 AND IntCo.ID=I_19</t>
  </si>
  <si>
    <t>C_ACCT.ID=205000000 AND IntCo.ID=I_Internal</t>
  </si>
  <si>
    <t>C_ACCT.ID=207000000 AND IntCo.ID=I_Internal</t>
  </si>
  <si>
    <t>C_ACCT.ID=206000000 AND IntCo.ID=I_Internal</t>
  </si>
  <si>
    <t>C_ACCT.ID=204000000 AND IntCo.ID=I_Internal</t>
  </si>
  <si>
    <t>C_ACCT.ID=202080000 AND IntCo.ID=I_Internal</t>
  </si>
  <si>
    <t>C_ACCT.ID=202070000 AND IntCo.ID=I_Internal</t>
  </si>
  <si>
    <t>C_ACCT.ID=202060000 AND IntCo.ID=I_Internal</t>
  </si>
  <si>
    <t>C_ACCT.ID=210000000 AND IntCo.ID=I_Internal</t>
  </si>
  <si>
    <t>C_ACCT.ID=104000000 AND IntCo.ID=I_Internal</t>
  </si>
  <si>
    <t>C_ACCT.ID=110010000 AND IntCo.ID=I_Internal</t>
  </si>
  <si>
    <t>C_ACCT.ID=110020000 AND IntCo.ID=I_Internal</t>
  </si>
  <si>
    <t>C_ACCT.ID=501010000 AND IntCo.ID=I_Internal</t>
  </si>
  <si>
    <t>C_ACCT.ID=503000000 AND IntCo.ID=I_Internal</t>
  </si>
  <si>
    <t>C_ACCT.ID=504000000 AND IntCo.ID=I_Internal</t>
  </si>
  <si>
    <t>C_ACCT.ID=501020000 AND IntCo.ID=I_Internal</t>
  </si>
  <si>
    <t>C_ACCT.ID=505010000 AND IntCo.ID=I_Internal</t>
  </si>
  <si>
    <t>C_ACCT.ID=505020000 AND IntCo.ID=I_Internal</t>
  </si>
  <si>
    <t>C_ACCT.ID=505030000 AND IntCo.ID=I_Internal</t>
  </si>
  <si>
    <t>C_ACCT.ID=505040000 AND IntCo.ID=I_Internal</t>
  </si>
  <si>
    <t>C_ACCT.ID=505990000 AND IntCo.ID=I_Internal</t>
  </si>
  <si>
    <t>C_ACCT.ID=502000000 AND IntCo.ID=I_Internal</t>
  </si>
  <si>
    <t>C_ACCT.ID=506000000 AND IntCo.ID=I_Internal</t>
  </si>
  <si>
    <t>C_ACCT.ID=410000000 AND IntCo.ID=I_Internal</t>
  </si>
  <si>
    <t>C_ACCT.ID=305000000 AND IntCo.ID=I_Internal</t>
  </si>
  <si>
    <t>C_ACCT.ID=310010000 AND IntCo.ID=I_Internal</t>
  </si>
  <si>
    <t>C_ACCT.ID=310020000 AND IntCo.ID=I_Internal</t>
  </si>
  <si>
    <t>Инвестиции в дочерние организации</t>
  </si>
  <si>
    <t>Инвестиции в ассоциированные организации (АО)</t>
  </si>
  <si>
    <t>Займы выданные - долгосрочная часть</t>
  </si>
  <si>
    <t>Средства в кредитных учреждениях - долгосрочная часть</t>
  </si>
  <si>
    <t>Долгосрочные финансовые активы</t>
  </si>
  <si>
    <t>Производные финансовые инструменты - долгосрочные активы</t>
  </si>
  <si>
    <t>Отложенные налоговые активы (ОНА)</t>
  </si>
  <si>
    <t>Долгосрочная дебиторская задолженность</t>
  </si>
  <si>
    <t>ДОЛГОСРОЧНЫЕ АКТИВЫ</t>
  </si>
  <si>
    <t>Краткосрочная дебиторская задолженность</t>
  </si>
  <si>
    <t>Займы выданные - текущая часть</t>
  </si>
  <si>
    <t>Средства в кредитных учреждениях - текущая часть</t>
  </si>
  <si>
    <t>Краткосрочные финансовые активы</t>
  </si>
  <si>
    <t>Производные финансовые инструменты - краткосрочные активы</t>
  </si>
  <si>
    <t>Предоплата по подоходному налогу</t>
  </si>
  <si>
    <t>НДС к возмещению</t>
  </si>
  <si>
    <t>Денежные средства</t>
  </si>
  <si>
    <t>Долгосрочные активы или группы выбытия, предназначенные для продажи</t>
  </si>
  <si>
    <t>КРАТКОСРОЧНЫЕ АКТИВЫ</t>
  </si>
  <si>
    <t>Уставный капитал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</si>
  <si>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</si>
  <si>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</si>
  <si>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</si>
  <si>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</si>
  <si>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</si>
  <si>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Опционы по расчетам акциями</t>
  </si>
  <si>
    <t>КАПИТАЛ И РЕЗЕРВЫ</t>
  </si>
  <si>
    <t>Займы полученные - долгосрочная часть</t>
  </si>
  <si>
    <t>Средства Правительства РК и Национальных банков - долгосрочная часть</t>
  </si>
  <si>
    <t>Привлеченные средства клиентов - долгосрочная часть</t>
  </si>
  <si>
    <t>Обязательства по финансовой аренде</t>
  </si>
  <si>
    <t>Производные финансовые инструменты - долгосрочные обязательства</t>
  </si>
  <si>
    <t>Отложенные налоговые обязательства (ОНО)</t>
  </si>
  <si>
    <t>Долгосрочная часть резервов под обязательства и отчисления</t>
  </si>
  <si>
    <t>Долгосрочная кредиторская задолженность</t>
  </si>
  <si>
    <t>ДОЛГОСРОЧНЫЕ ОБЯЗАТЕЛЬСТВА</t>
  </si>
  <si>
    <t>Займы полученные - текущая часть</t>
  </si>
  <si>
    <t>Средства Правительства РК и Национальных банков - текущая часть</t>
  </si>
  <si>
    <t>Привлеченные средства клиентов - текущая часть</t>
  </si>
  <si>
    <t>Производные финансовые инструменты - краткосрочные обязательства</t>
  </si>
  <si>
    <t>Краткосрочная кредиторская задолженность</t>
  </si>
  <si>
    <t>Обязательства по подоходному налогу</t>
  </si>
  <si>
    <t>Обязательства по прочим налогам и обязательным платежам</t>
  </si>
  <si>
    <t>Краткосрочная часть резервов под обязательства и отчисления</t>
  </si>
  <si>
    <t>Обязательства, непосредственно связанные с долгосрочными активами, удерживаемыми для продажи и группами выбытия</t>
  </si>
  <si>
    <t>КРАТКОСРОЧНЫЕ ОБЯЗАТЕЛЬСТВА</t>
  </si>
  <si>
    <t/>
  </si>
  <si>
    <t>Ф2. Отчет о совокупном доходе за период</t>
  </si>
  <si>
    <t>Отчет о совокупном доходе за период</t>
  </si>
  <si>
    <t>F_PL</t>
  </si>
  <si>
    <t>Отчетный период</t>
  </si>
  <si>
    <t>№ примечания</t>
  </si>
  <si>
    <t>Доходы от реализации и процентные доходы</t>
  </si>
  <si>
    <t>I_DO0999</t>
  </si>
  <si>
    <t>601000000,602000000|701000000|702000000,703000000,604000000,704000000,605000000,705000000|801000000,802000000,803000000,804000000,805000000,806000000,807000000,808000000|809000000|810000000|</t>
  </si>
  <si>
    <t>M3_TOTAL|M3_TOTAL|M3_TOTAL|M3_TOTAL|M3_TOTAL|M3_TOTAL|</t>
  </si>
  <si>
    <t>Государственные субсидии</t>
  </si>
  <si>
    <t>Итого  доходы от реализации и процентные доходы</t>
  </si>
  <si>
    <t>Себестоимость реализации и процентные расходы</t>
  </si>
  <si>
    <t xml:space="preserve">Валовый доход </t>
  </si>
  <si>
    <t>Расходы по транспортировке и реализации</t>
  </si>
  <si>
    <t>Прочие операционные доходы от банковской деятельности</t>
  </si>
  <si>
    <t>Прочие операционные расходы(убытки) от банковской деятельности</t>
  </si>
  <si>
    <t>Восстановление обесценения активов</t>
  </si>
  <si>
    <t>Убытки от обесценения активов</t>
  </si>
  <si>
    <t xml:space="preserve">Доход (убыток) от операционной деятельности </t>
  </si>
  <si>
    <t>Финансовый доход (реальный сектор)</t>
  </si>
  <si>
    <t>Финансовые затраты (реальный сектор)</t>
  </si>
  <si>
    <t>Доход (убыток) от курсовой разницы</t>
  </si>
  <si>
    <t>Доля в доходах (убытках) ассоциированных компаний</t>
  </si>
  <si>
    <t>Доля в доходах (убытках) совместно-контролируемых компаний</t>
  </si>
  <si>
    <t>Доход(убыток) от выбытия дочерних организаций</t>
  </si>
  <si>
    <t>Прибыль/(убыток) до налогообложения</t>
  </si>
  <si>
    <t>Расходы по корпоративному подоходному налогу</t>
  </si>
  <si>
    <t xml:space="preserve">Прибыль/ (убыток) за период от продолжающейся деятельности </t>
  </si>
  <si>
    <t>Прибыль/(убыток) за период от прекращенной деятельности</t>
  </si>
  <si>
    <t>Прибыль/(убыток) за период</t>
  </si>
  <si>
    <t>Прибыль/(убыток) за период относящийся к акционерам материнской компании</t>
  </si>
  <si>
    <t>Прибыль/(убыток) за период относящийся к неконтролирующим собственникам</t>
  </si>
  <si>
    <t>Прочий совокупный доход (убыток) на долю акционеров материнской компании</t>
  </si>
  <si>
    <t>Прочий совокупный доход, подлежащий переклассификации в состав прибыли или убытка в последующих периодах:</t>
  </si>
  <si>
    <t>Доходы (расходы), возникающие при пересчете отчетности зарубежных предприятий</t>
  </si>
  <si>
    <t>Доход (убытки) от переоценки финансовых активов, удерживаемых  для продажи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</si>
  <si>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</si>
  <si>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денежных потоков на прибыль/убыток отчетного периода (реализованная прибыль/(убыток))</t>
  </si>
  <si>
    <t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</t>
  </si>
  <si>
    <t>Реклассификация на прибыль или убытки резерва по пересчету иностранной валюты при выбытии иностранных дочерних предприятий</t>
  </si>
  <si>
    <t>I_F0001,I_DO0001,I_DO0002,I_DO0003,I_DO0004,I_V01,I_V02</t>
  </si>
  <si>
    <t>811000000,812000000|813000000|ALL(813000000) AND ID&lt;&gt;813100000 AND ID&lt;&gt;813110000 AND ID&lt;&gt;813030000 AND ID&lt;&gt;813040000 AND ID&lt;&gt;813090000|813030000,813040000,813090000|813100000|813110000|814000000|ALL(814000000) AND ID&lt;&gt;814100000 AND ID&lt;&gt;814110000 AND ID&lt;&gt;814030000 AND ID&lt;&gt;814040000 AND ID&lt;&gt;814090000|814030000,814040000,814090000|814100000|814110000|815000000,816000000</t>
  </si>
  <si>
    <t>M3_NONE|M3_TOTAL|M3_NONE|M3_NONE|M3_40_2_99|M3_40_1_99|M3_TOTAL|M3_NONE|M3_NONE|M3_40_2_99|M3_40_1_99|M3_TOTAL</t>
  </si>
  <si>
    <t>Прочий совокупный доход, не подлежащий переклассификации в состав прибыли или убытка в последующих периодах:</t>
  </si>
  <si>
    <t>Доход (убытки) от переоценки основных средств</t>
  </si>
  <si>
    <t>Доходы (убытки) по инструментам хеджирования денежных потоков</t>
  </si>
  <si>
    <t>Актуарные прибыли (убытки) по плану с установленными выплатами</t>
  </si>
  <si>
    <t>M3_40_2_99</t>
  </si>
  <si>
    <t>Эффект изменения в ставке подоходного налога на отсроченный налог дочерних организаций на долю акционеров материнской компании</t>
  </si>
  <si>
    <t>M3_40_1_99</t>
  </si>
  <si>
    <t>Налоговый эффект компонентов совокупного дохода (убытка) на долю акционеров материнской компании</t>
  </si>
  <si>
    <t>Прочий совокупный доход (убыток) на неконтролирующие доли</t>
  </si>
  <si>
    <t>Эффект изменения в ставке подоходного налога на отсроченный налог дочерних организаций на неконтролирующие доли</t>
  </si>
  <si>
    <t>Налоговый эффект компонентов совокупного дохода (убытка) на неконтролирующие доли</t>
  </si>
  <si>
    <t>Совокупный доход (убыток) за период</t>
  </si>
  <si>
    <t>Совокупный доход (убыток) относящийся к акционерам материнской компании</t>
  </si>
  <si>
    <t>Совокупный доход (убыток) относящийся к неконтролирующим собственникам</t>
  </si>
  <si>
    <t>INTCO.ID=I_29</t>
  </si>
  <si>
    <t>INTCO.ID=TVSEGO</t>
  </si>
  <si>
    <t>ZF3110000</t>
  </si>
  <si>
    <t>ZF3120000</t>
  </si>
  <si>
    <t>C_ACCT.ID=811000000 AND INTCO.PARENTH1=I_19</t>
  </si>
  <si>
    <t>C_ACCT.ID=812000000 AND INTCO.PARENTH1=I_19</t>
  </si>
  <si>
    <t>C_ACCT.PARENTH1=800000000 AND INTCO.PARENTH1=I_19</t>
  </si>
  <si>
    <t>C_ACCT.PARENTH1=600000000 AND INTCO.PARENTH1=I_19</t>
  </si>
  <si>
    <t>C_ACCT.PARENTH1=700000000 AND INTCO.PARENTH1=I_19</t>
  </si>
  <si>
    <t>Наименование</t>
  </si>
  <si>
    <t>ID</t>
  </si>
  <si>
    <t>I_F0001</t>
  </si>
  <si>
    <t>I_DO0001</t>
  </si>
  <si>
    <t>I_DO0002</t>
  </si>
  <si>
    <t>I_DO0003</t>
  </si>
  <si>
    <t>I_DO0004</t>
  </si>
  <si>
    <t>I_DO0005</t>
  </si>
  <si>
    <t>I_DO0006</t>
  </si>
  <si>
    <t>I_DO0007</t>
  </si>
  <si>
    <t>I_DO0008</t>
  </si>
  <si>
    <t>I_DO0009</t>
  </si>
  <si>
    <t>I_DO0010</t>
  </si>
  <si>
    <t>I_DO0011</t>
  </si>
  <si>
    <t>I_DO0012</t>
  </si>
  <si>
    <t>I_DO0013</t>
  </si>
  <si>
    <t>I_DO0014</t>
  </si>
  <si>
    <t>I_DO0015</t>
  </si>
  <si>
    <t>I_DO0016</t>
  </si>
  <si>
    <t>I_DO0017</t>
  </si>
  <si>
    <t>I_DO0018</t>
  </si>
  <si>
    <t>I_DO0019</t>
  </si>
  <si>
    <t>I_DO0020</t>
  </si>
  <si>
    <t>I_DO0021</t>
  </si>
  <si>
    <t>I_DO0022</t>
  </si>
  <si>
    <t>I_DO0023</t>
  </si>
  <si>
    <t>I_DO0024</t>
  </si>
  <si>
    <t>I_DO0025</t>
  </si>
  <si>
    <t>I_DO0026</t>
  </si>
  <si>
    <t>I_DO0027</t>
  </si>
  <si>
    <t>I_DO0028</t>
  </si>
  <si>
    <t>I_DO0029</t>
  </si>
  <si>
    <t>I_DO0030</t>
  </si>
  <si>
    <t>I_DO0031</t>
  </si>
  <si>
    <t>I_DO0032</t>
  </si>
  <si>
    <t>I_DO0033</t>
  </si>
  <si>
    <t>I_DO0034</t>
  </si>
  <si>
    <t>I_DO0035</t>
  </si>
  <si>
    <t>I_DO0036</t>
  </si>
  <si>
    <t>I_DO0037</t>
  </si>
  <si>
    <t>I_DO0038</t>
  </si>
  <si>
    <t>I_DO0039</t>
  </si>
  <si>
    <t>I_DO0040</t>
  </si>
  <si>
    <t>I_DO0041</t>
  </si>
  <si>
    <t>I_DO0042</t>
  </si>
  <si>
    <t>I_DO0043</t>
  </si>
  <si>
    <t>I_DO0044</t>
  </si>
  <si>
    <t>I_DO0045</t>
  </si>
  <si>
    <t>I_DO0046</t>
  </si>
  <si>
    <t>I_DO0047</t>
  </si>
  <si>
    <t>I_DO0048</t>
  </si>
  <si>
    <t>I_DO0049</t>
  </si>
  <si>
    <t>I_DO0050</t>
  </si>
  <si>
    <t>I_DO0051</t>
  </si>
  <si>
    <t>I_DO0052</t>
  </si>
  <si>
    <t>I_DO0053</t>
  </si>
  <si>
    <t>I_DO0054</t>
  </si>
  <si>
    <t>I_DO0055</t>
  </si>
  <si>
    <t>Ф3. Отчет о движении денежных средств за период (прямой метод)</t>
  </si>
  <si>
    <t>Отчет о движении денежных средств за период (прямой метод)</t>
  </si>
  <si>
    <t>I_25</t>
  </si>
  <si>
    <t>I_26</t>
  </si>
  <si>
    <t>TVSEGO</t>
  </si>
  <si>
    <t>2015.FEB</t>
  </si>
  <si>
    <t>№ строки</t>
  </si>
  <si>
    <t>ZF3000000</t>
  </si>
  <si>
    <t>I_F0001,I_DO0001,I_DO0002,I_DO0003,I_DO0004,I_DO0005,I_DO0006,I_DO0007,I_DO0008,I_DO0009,I_DO0010,I_DO0011,I_DO0012,I_DO0013,I_DO0014,I_DO0015,I_DO0016,I_DO0017,I_DO0018,I_DO0019,I_DO0020,I_DO0021,I_DO0022,I_DO0023,I_DO0024,I_DO0025,I_DO0026,I_DO0027,I_DO0028,I_DO0029,I_DO0030,I_DO0031,I_DO0032,I_DO0033,I_DO0034,I_DO0035,I_DO0036,I_DO0037,I_DO0038,I_DO0039,I_DO0040,I_DO0041,I_DO0042,I_DO0043,I_DO0044,I_DO0045,I_DO0046,I_DO0047,I_DO0048,I_DO0999</t>
  </si>
  <si>
    <t>ZF3500000</t>
  </si>
  <si>
    <t>ZF3100000</t>
  </si>
  <si>
    <t>ZF3110100</t>
  </si>
  <si>
    <t>ZF3000000,ALL(ZF3000000) AND ID&lt;&gt;ZF3600000 AND ID&lt;&gt;ZF3600500 AND PARENTH1&lt;&gt;ZF3600500</t>
  </si>
  <si>
    <t>ZF3110200</t>
  </si>
  <si>
    <t>ZF3110300</t>
  </si>
  <si>
    <t>ZF3110400</t>
  </si>
  <si>
    <t>ZF3110500</t>
  </si>
  <si>
    <t>ZF3110501</t>
  </si>
  <si>
    <t>ZF3110502</t>
  </si>
  <si>
    <t>ZF3110503</t>
  </si>
  <si>
    <t>ZF3110504</t>
  </si>
  <si>
    <t>ZF3110505</t>
  </si>
  <si>
    <t>ZF3110600</t>
  </si>
  <si>
    <t>ZF3110601</t>
  </si>
  <si>
    <t>ZF3110602</t>
  </si>
  <si>
    <t>ZF3110603</t>
  </si>
  <si>
    <t>ZF3110604</t>
  </si>
  <si>
    <t>ZF3110605</t>
  </si>
  <si>
    <t>ZF3110606</t>
  </si>
  <si>
    <t>ZF3110607</t>
  </si>
  <si>
    <t>ZF3110608</t>
  </si>
  <si>
    <t>ZF3110609</t>
  </si>
  <si>
    <t>ZF3110610</t>
  </si>
  <si>
    <t>ZF3110611</t>
  </si>
  <si>
    <t>ZF3110612</t>
  </si>
  <si>
    <t>ZF3110613</t>
  </si>
  <si>
    <t>ZF3110700</t>
  </si>
  <si>
    <t>ZF3110800</t>
  </si>
  <si>
    <t>ZF3110900</t>
  </si>
  <si>
    <t>ZF3119900</t>
  </si>
  <si>
    <t>D_RIGHT</t>
  </si>
  <si>
    <t>ZF3119901</t>
  </si>
  <si>
    <t>ZF3119902</t>
  </si>
  <si>
    <t>ZF3119903</t>
  </si>
  <si>
    <t>ZF3119904</t>
  </si>
  <si>
    <t>ZF3119905</t>
  </si>
  <si>
    <t>ZF3119906</t>
  </si>
  <si>
    <t>ZF3119907</t>
  </si>
  <si>
    <t>ZF3119908</t>
  </si>
  <si>
    <t>ZF3120100</t>
  </si>
  <si>
    <t>ZF3120200</t>
  </si>
  <si>
    <t>ZF3120300</t>
  </si>
  <si>
    <t>ZF3120400</t>
  </si>
  <si>
    <t>ZF3120401</t>
  </si>
  <si>
    <t>ZF3120402</t>
  </si>
  <si>
    <t>ZF3120403</t>
  </si>
  <si>
    <t>ZF3120404</t>
  </si>
  <si>
    <t>ZF3120405</t>
  </si>
  <si>
    <t>ZF3120406</t>
  </si>
  <si>
    <t>ZF3120407</t>
  </si>
  <si>
    <t>ZF3120408</t>
  </si>
  <si>
    <t>ZF3120500</t>
  </si>
  <si>
    <t>ZF3120600</t>
  </si>
  <si>
    <t>ZF3120700</t>
  </si>
  <si>
    <t>ZF3120701</t>
  </si>
  <si>
    <t>ZF3120702</t>
  </si>
  <si>
    <t>ZF3120703</t>
  </si>
  <si>
    <t>ZF3120704</t>
  </si>
  <si>
    <t>ZF3120705</t>
  </si>
  <si>
    <t>ZF3120706</t>
  </si>
  <si>
    <t>ZF3120707</t>
  </si>
  <si>
    <t>ZF3120708</t>
  </si>
  <si>
    <t>ZF3120709</t>
  </si>
  <si>
    <t>ZF3120710</t>
  </si>
  <si>
    <t>C_ACCT.PARENTH1=ZF3119900</t>
  </si>
  <si>
    <t>ZF3120711</t>
  </si>
  <si>
    <t>C_ACCT.PARENTH1=ZF3129900</t>
  </si>
  <si>
    <t>ZF3120712</t>
  </si>
  <si>
    <t>ZF3120800</t>
  </si>
  <si>
    <t>ZF3120900</t>
  </si>
  <si>
    <t>ZF3129900</t>
  </si>
  <si>
    <t>ZF3129901</t>
  </si>
  <si>
    <t>ZF3129902</t>
  </si>
  <si>
    <t>ZF3129903</t>
  </si>
  <si>
    <t>ZF3129904</t>
  </si>
  <si>
    <t>ZF3129905</t>
  </si>
  <si>
    <t>ZF3129906</t>
  </si>
  <si>
    <t>ZF3129907</t>
  </si>
  <si>
    <t>ZF3129908</t>
  </si>
  <si>
    <t>ZF3200000</t>
  </si>
  <si>
    <t>ZF3210000</t>
  </si>
  <si>
    <t>ZF3210100</t>
  </si>
  <si>
    <t>ZF3210200</t>
  </si>
  <si>
    <t>ZF3210300</t>
  </si>
  <si>
    <t>ZF3210400</t>
  </si>
  <si>
    <t>ZF3210500</t>
  </si>
  <si>
    <t>I_F0001,I_DO0001,I_DO0002,I_DO0003,I_DO0004,I_DO0005,I_DO0006,I_DO0007,I_DO0008,I_DO0009,I_DO0010,I_DO0011,I_DO0012,I_DO0013,I_DO0014,I_DO0015,I_DO0016,I_DO0017,I_DO0018,I_DO0019,I_DO0020,I_DO0021,I_DO0022,I_DO0023,I_DO0024,I_DO0025,I_DO0026,I_DO0027,I_DO0028,I_DO0029,I_DO0030,I_DO0031,I_DO0032,I_DO0033,I_DO0034,I_DO0035,I_DO0036,I_DO0037,I_DO0038,I_DO0999</t>
  </si>
  <si>
    <t>ZF3210600</t>
  </si>
  <si>
    <t>ZF3210700</t>
  </si>
  <si>
    <t>ZF3210800</t>
  </si>
  <si>
    <t>ZF3210900</t>
  </si>
  <si>
    <t>F_OPE,F_CLO,F_NONE</t>
  </si>
  <si>
    <t>ZF3211000</t>
  </si>
  <si>
    <t>ZF3211100</t>
  </si>
  <si>
    <t>ZF3211200</t>
  </si>
  <si>
    <t>ZF3211300</t>
  </si>
  <si>
    <t>ZF3211400</t>
  </si>
  <si>
    <t>ZF3211500</t>
  </si>
  <si>
    <t>ZF3211600</t>
  </si>
  <si>
    <t>ZF3299900</t>
  </si>
  <si>
    <t>ZF3220000</t>
  </si>
  <si>
    <t>ZF3220100</t>
  </si>
  <si>
    <t>ZF3220200</t>
  </si>
  <si>
    <t>ZF3220300</t>
  </si>
  <si>
    <t>ZF3220400</t>
  </si>
  <si>
    <t>ZF3220500</t>
  </si>
  <si>
    <t>ZF3220600</t>
  </si>
  <si>
    <t>ZF3220700</t>
  </si>
  <si>
    <t>ZF3220800</t>
  </si>
  <si>
    <t>ZF3220900</t>
  </si>
  <si>
    <t>ZF3221000</t>
  </si>
  <si>
    <t>ZF3221100</t>
  </si>
  <si>
    <t>ZF3221200</t>
  </si>
  <si>
    <t>ZF3221300</t>
  </si>
  <si>
    <t>ZF3221400</t>
  </si>
  <si>
    <t>ZF3229900</t>
  </si>
  <si>
    <t>ZF3300000</t>
  </si>
  <si>
    <t>ZF3310000</t>
  </si>
  <si>
    <t>ZF3310100</t>
  </si>
  <si>
    <t>ZF3310101</t>
  </si>
  <si>
    <t>ZF3310102</t>
  </si>
  <si>
    <t>ZF3310103</t>
  </si>
  <si>
    <t>ZF3310104</t>
  </si>
  <si>
    <t>ZF3310199</t>
  </si>
  <si>
    <t>ZF3310200</t>
  </si>
  <si>
    <t>ZF3310201</t>
  </si>
  <si>
    <t>ZF3310202</t>
  </si>
  <si>
    <t>ZF3310203</t>
  </si>
  <si>
    <t>ZF3310204</t>
  </si>
  <si>
    <t>ZF3310299</t>
  </si>
  <si>
    <t>ZF3310300</t>
  </si>
  <si>
    <t>ZF3310400</t>
  </si>
  <si>
    <t>ZF3310500</t>
  </si>
  <si>
    <t>FLOW.ID=F_OPE</t>
  </si>
  <si>
    <t>ZF3310600</t>
  </si>
  <si>
    <t>ZF3310700</t>
  </si>
  <si>
    <t>FLOW.ID=F_OPE AND INTCO.ID=I_T</t>
  </si>
  <si>
    <t>ZF3310800</t>
  </si>
  <si>
    <t>FLOW.ID=F_CLO AND INTCO.ID=I_T</t>
  </si>
  <si>
    <t>ZF3310900</t>
  </si>
  <si>
    <t>ZF3311000</t>
  </si>
  <si>
    <t>ZF3319900</t>
  </si>
  <si>
    <t>ZF3320000</t>
  </si>
  <si>
    <t>ZF3320100</t>
  </si>
  <si>
    <t>FLOW.ID=F_NONE</t>
  </si>
  <si>
    <t>Контроль</t>
  </si>
  <si>
    <t>ZF3320200</t>
  </si>
  <si>
    <t>ZF3320300</t>
  </si>
  <si>
    <t>ZF3320400</t>
  </si>
  <si>
    <t>CONTENT</t>
  </si>
  <si>
    <t>ZF3320500</t>
  </si>
  <si>
    <t>FORMULA</t>
  </si>
  <si>
    <t>ZF3320600</t>
  </si>
  <si>
    <t>ZF3320700</t>
  </si>
  <si>
    <t>ZF3320800</t>
  </si>
  <si>
    <t>ZF3320900</t>
  </si>
  <si>
    <t>ZF3321000</t>
  </si>
  <si>
    <t>ZF3321001</t>
  </si>
  <si>
    <t>ZF3321002</t>
  </si>
  <si>
    <t>ZF3321100</t>
  </si>
  <si>
    <t>ZF3321101</t>
  </si>
  <si>
    <t>ZF3321102</t>
  </si>
  <si>
    <t>ZF3329900</t>
  </si>
  <si>
    <t>ZF3400000</t>
  </si>
  <si>
    <t>F_OPE</t>
  </si>
  <si>
    <t>Раскрытие движения денежных средств (прямой метод)</t>
  </si>
  <si>
    <t>Чистое изменение денежных средств и их эквивалентов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</si>
  <si>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</si>
  <si>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</si>
  <si>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</si>
  <si>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</si>
  <si>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дивиденды</t>
  </si>
  <si>
    <t>полученные вознаграждения (проценты)</t>
  </si>
  <si>
    <t>Полученные вознаграждения по  займам выданным, КРОМЕ дебиторской задолженности по финансовой аренде)</t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</si>
  <si>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</si>
  <si>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</si>
  <si>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</si>
  <si>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</si>
  <si>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</si>
  <si>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</si>
  <si>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</si>
  <si>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</si>
  <si>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</si>
  <si>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>Погашение дебиторской задолженности по финансовой аренде</t>
  </si>
  <si>
    <t>Поступления по средствам клиентов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</si>
  <si>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</si>
  <si>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</si>
  <si>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</si>
  <si>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</si>
  <si>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</si>
  <si>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</si>
  <si>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</si>
  <si>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</si>
  <si>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</si>
  <si>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реализация услуг</t>
  </si>
  <si>
    <t>прочие поступления (введите наименование статей ниже)</t>
  </si>
  <si>
    <t>1.2. Выбытие денежных средств, всего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</si>
  <si>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</si>
  <si>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</si>
  <si>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</si>
  <si>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</si>
  <si>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</si>
  <si>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</si>
  <si>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</si>
  <si>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</si>
  <si>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</si>
  <si>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</si>
  <si>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</si>
  <si>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</si>
  <si>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</si>
  <si>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</si>
  <si>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</si>
  <si>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</si>
  <si>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</si>
  <si>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</si>
  <si>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</si>
  <si>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</si>
  <si>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</si>
  <si>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Займам из Республиканского бюджета РК</t>
  </si>
  <si>
    <t>Выплата основного долга по Займам из Национального фонда РК</t>
  </si>
  <si>
    <t>Выплата основного долга по Займам, предоставленным Национальным Банком РК</t>
  </si>
  <si>
    <t>Выплата основного долга по Займам, предоставленным Национальными Банками других государств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</si>
  <si>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</si>
  <si>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</si>
  <si>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(для страховых организаций)</t>
  </si>
  <si>
    <t>прочие выплаты (введите наименование статей ниже)</t>
  </si>
  <si>
    <t>2. Движение денежных средств по инвестиционной деятельности</t>
  </si>
  <si>
    <t>2.1. Поступление денежных средств, всего</t>
  </si>
  <si>
    <t>Поступления от продажи основных средств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</si>
  <si>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</si>
  <si>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</si>
  <si>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</si>
  <si>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</si>
  <si>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</si>
  <si>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</si>
  <si>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</si>
  <si>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</si>
  <si>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</si>
  <si>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</si>
  <si>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</si>
  <si>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>Дивиденды и прочие выплаты от совместно-контролируемых организаций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</si>
  <si>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</si>
  <si>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</si>
  <si>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</t>
  </si>
  <si>
    <t>Прочие поступления</t>
  </si>
  <si>
    <t>2.2. Выбытие денежных средств, всего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</si>
  <si>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</si>
  <si>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</si>
  <si>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</si>
  <si>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</si>
  <si>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</si>
  <si>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</si>
  <si>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</si>
  <si>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</si>
  <si>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</si>
  <si>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</si>
  <si>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Взносы в уставный капитал дочерних организаций</t>
  </si>
  <si>
    <t>Денежные средства дочерних организаций, которые перегруппированы в группы выбытия</t>
  </si>
  <si>
    <t>Прочие выплаты</t>
  </si>
  <si>
    <t>3. Движение денежных средств по финансовой деятельности</t>
  </si>
  <si>
    <t>3.1. Поступление денежных средств, всего</t>
  </si>
  <si>
    <t>Поступления от выпуска акций и взносы в уставный капитал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</si>
  <si>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</si>
  <si>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</si>
  <si>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</si>
  <si>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</si>
  <si>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</si>
  <si>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</t>
  </si>
  <si>
    <t>Продажа собственных акций (не первичное размещение)</t>
  </si>
  <si>
    <t>3.2. Выбытие денежных средств, всего</t>
  </si>
  <si>
    <t>Приобретение собственных акций</t>
  </si>
  <si>
    <t>Выплата основного долга по обязательствам по финансовой аренде</t>
  </si>
  <si>
    <t>Дивиденды выплаченные</t>
  </si>
  <si>
    <t>дивиденды выплаченные акционерам материнской компании</t>
  </si>
  <si>
    <t>дивиденды выплаченные неконтролирующим собственникам</t>
  </si>
  <si>
    <t>прочие выплаты акционерам материнской компании</t>
  </si>
  <si>
    <t>прочие выплаты неконтролирующим собственникам</t>
  </si>
  <si>
    <t>4. Влияние изменений обменного курса на сальдо денежных средств в иностранной валюте</t>
  </si>
  <si>
    <t>Денежные средства и их эквиваленты сальдо на начало</t>
  </si>
  <si>
    <t>Денежные средства и их эквиваленты сальдо на конец</t>
  </si>
  <si>
    <t>100000000</t>
  </si>
  <si>
    <t>I_NONE</t>
  </si>
  <si>
    <t>EXPANSION 4</t>
  </si>
  <si>
    <t>501010000,503000000,504000000,501020000,505010000,505020000,505030000,505040000,505990000,502000000,506000000|599990000,500000000</t>
  </si>
  <si>
    <t>Text</t>
  </si>
  <si>
    <t>INTERIOR.COLOR,LOCK</t>
  </si>
  <si>
    <t>FLOW.GROUP2=SALDO</t>
  </si>
  <si>
    <t>FLOW.PARENTH1=M1_04_07</t>
  </si>
  <si>
    <t>Level 1 members</t>
  </si>
  <si>
    <t>FLOW.PARENTH1=M1_04_20</t>
  </si>
  <si>
    <t>M1_04_08</t>
  </si>
  <si>
    <t>M1_04_09</t>
  </si>
  <si>
    <t>M1_04_10</t>
  </si>
  <si>
    <t>M1_04_11</t>
  </si>
  <si>
    <t>M1_04_12</t>
  </si>
  <si>
    <t>M1_04_13</t>
  </si>
  <si>
    <t>M1_04_14</t>
  </si>
  <si>
    <t>M1_04_15</t>
  </si>
  <si>
    <t>M1_04_19</t>
  </si>
  <si>
    <t>M1_04_20</t>
  </si>
  <si>
    <t>M1_04_21</t>
  </si>
  <si>
    <t>M1_04_22</t>
  </si>
  <si>
    <t>M1_04_23</t>
  </si>
  <si>
    <t>M1_04_24</t>
  </si>
  <si>
    <t>M1_04_25</t>
  </si>
  <si>
    <t>M1_04_52</t>
  </si>
  <si>
    <t>M1_04_53</t>
  </si>
  <si>
    <t>M1_04_54</t>
  </si>
  <si>
    <t>Ф4. Отчет об изменениях в собственном капитале за период</t>
  </si>
  <si>
    <t>D_HIDE_COL</t>
  </si>
  <si>
    <t>M1_04_01</t>
  </si>
  <si>
    <t>M1_04_17</t>
  </si>
  <si>
    <t>Главный бухгалтер ______________________________________________</t>
  </si>
  <si>
    <t>г. Астана, ул. Кабанбай батыра 15A, блок Б</t>
  </si>
  <si>
    <t>Производство электроэнергии</t>
  </si>
  <si>
    <t>от 27 февраля 2015 года № 143</t>
  </si>
  <si>
    <t xml:space="preserve">Директор Департамента "Бухгалтерский и налоговый учет" - главный бухгалтер </t>
  </si>
  <si>
    <t>за год, заканчивающийся 31 декабря 2016 г.</t>
  </si>
  <si>
    <t>Алиев Е.Ж.</t>
  </si>
  <si>
    <t>И.О. Управляющего директора по экономике и финансам</t>
  </si>
  <si>
    <t>по состоянию на  30.09.2018 г.</t>
  </si>
  <si>
    <t>за период, заканчивающийся 30 сентября 2018 года</t>
  </si>
  <si>
    <t>от 28 июня 2017 года №404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</si>
</sst>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164" formatCode="_-* #,##0.00_-;\-* #,##0.00_-;_-* &quot;-&quot;??_-;_-@_-"/>
    <numFmt numFmtId="165" formatCode="&quot;$&quot;#,##0_);\(&quot;$&quot;#,##0\)"/>
    <numFmt numFmtId="166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р.&quot;;[Red]\-#,##0\ &quot;р.&quot;"/>
    <numFmt numFmtId="171" formatCode="#,##0.00\ &quot;р.&quot;;\-#,##0.00\ &quot;р.&quot;"/>
    <numFmt numFmtId="172" formatCode="_-* #,##0\ _р_._-;\-* #,##0\ _р_._-;_-* &quot;-&quot;\ _р_._-;_-@_-"/>
    <numFmt numFmtId="173" formatCode="_-* #,##0.00\ &quot;р.&quot;_-;\-* #,##0.00\ &quot;р.&quot;_-;_-* &quot;-&quot;??\ &quot;р.&quot;_-;_-@_-"/>
    <numFmt numFmtId="174" formatCode="_-* #,##0.00\ _р_._-;\-* #,##0.00\ _р_._-;_-* &quot;-&quot;??\ _р_.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_ ;[Red]\-#,##0\ "/>
    <numFmt numFmtId="179" formatCode="#,##0_ ;[Red]\(#,##0\)"/>
    <numFmt numFmtId="180" formatCode="&quot;&quot;#,##0.000_);[Red]\(&quot;&quot;#,##0.000\)"/>
    <numFmt numFmtId="181" formatCode="&quot;&quot;#,##0_);[Red]\(&quot;&quot;#,##0\)"/>
    <numFmt numFmtId="182" formatCode="0.0%"/>
    <numFmt numFmtId="183" formatCode="_-* #,##0.00[$€-1]_-;\-* #,##0.00[$€-1]_-;_-* &quot;-&quot;??[$€-1]_-"/>
    <numFmt numFmtId="184" formatCode="0.00_)"/>
    <numFmt numFmtId="185" formatCode="_(* #,##0_);_(* \(#,##0\);_(* &quot;-&quot;??_);_(@_)"/>
    <numFmt numFmtId="186" formatCode="#,##0.00_ ;[Red]\-#,##0.00\ "/>
    <numFmt numFmtId="187" formatCode="&quot;Период, за который составляется отчетность (с нарастающим итогом): &quot;@"/>
    <numFmt numFmtId="188" formatCode="[$$-409]#,##0_ ;[Red]\-[$$-409]#,##0\ "/>
    <numFmt numFmtId="189" formatCode="#"/>
    <numFmt numFmtId="190" formatCode="#,##0;\(#,##0\)"/>
    <numFmt numFmtId="191" formatCode="0.00;0;"/>
    <numFmt numFmtId="192" formatCode="0.0"/>
    <numFmt numFmtId="193" formatCode="_-* ###0_-;\(###0\);_-* &quot;–&quot;_-;_-@_-"/>
    <numFmt numFmtId="194" formatCode="_-* #,##0_-;\(#,##0\);_-* &quot;–&quot;_-;_-@_-"/>
    <numFmt numFmtId="195" formatCode="_-* #,###_-;\(#,###\);_-* &quot;–&quot;_-;_-@_-"/>
    <numFmt numFmtId="196" formatCode="_-\ #,##0.000_-;\(#,##0.000\);_-* &quot;–&quot;_-;_-@_-"/>
    <numFmt numFmtId="197" formatCode="_-#,###_-;\(#,###\);_-\ &quot;–&quot;_-;_-@_-"/>
    <numFmt numFmtId="198" formatCode="#,##0.0_);\(#,##0.0\)"/>
    <numFmt numFmtId="199" formatCode="&quot;$&quot;#,##0.0_);[Red]\(&quot;$&quot;#,##0.0\)"/>
    <numFmt numFmtId="200" formatCode="#\ ##0_.\ &quot;zі&quot;\ 00\ &quot;gr&quot;;\(#\ ##0.00\z\і\)"/>
    <numFmt numFmtId="201" formatCode="#\ ##0&quot;zі&quot;00&quot;gr&quot;;\(#\ ##0.00\z\і\)"/>
    <numFmt numFmtId="202" formatCode="_-&quot;$&quot;* #,##0.00_-;\-&quot;$&quot;* #,##0.00_-;_-&quot;$&quot;* &quot;-&quot;??_-;_-@_-"/>
    <numFmt numFmtId="203" formatCode="0.0%;\(0.0%\)"/>
    <numFmt numFmtId="204" formatCode="#,##0.000\);[Red]\(#,##0.000\)"/>
    <numFmt numFmtId="205" formatCode="\60\4\7\:"/>
    <numFmt numFmtId="206" formatCode="&quot;$&quot;#,\);\(&quot;$&quot;#,##0\)"/>
    <numFmt numFmtId="207" formatCode="[$-409]d\-mmm\-yy;@"/>
    <numFmt numFmtId="208" formatCode="mmmm\ d\,\ yyyy"/>
    <numFmt numFmtId="209" formatCode="[$-409]d\-mmm;@"/>
    <numFmt numFmtId="210" formatCode="&quot;P&quot;#,##0.00;[Red]\-&quot;P&quot;#,##0.00"/>
    <numFmt numFmtId="211" formatCode="_-&quot;P&quot;* #,##0.00_-;\-&quot;P&quot;* #,##0.00_-;_-&quot;P&quot;* &quot;-&quot;??_-;_-@_-"/>
    <numFmt numFmtId="212" formatCode="_(#,##0;\(#,##0\);\-;&quot;  &quot;@"/>
    <numFmt numFmtId="213" formatCode="_-* #,##0\ _P_t_s_-;\-* #,##0\ _P_t_s_-;_-* &quot;-&quot;\ _P_t_s_-;_-@_-"/>
    <numFmt numFmtId="214" formatCode="_-* #,##0.00\ _P_t_s_-;\-* #,##0.00\ _P_t_s_-;_-* &quot;-&quot;??\ _P_t_s_-;_-@_-"/>
    <numFmt numFmtId="215" formatCode="_-* #,##0\ &quot;Pts&quot;_-;\-* #,##0\ &quot;Pts&quot;_-;_-* &quot;-&quot;\ &quot;Pts&quot;_-;_-@_-"/>
    <numFmt numFmtId="216" formatCode="_-* #,##0.00\ &quot;Pts&quot;_-;\-* #,##0.00\ &quot;Pts&quot;_-;_-* &quot;-&quot;??\ &quot;Pts&quot;_-;_-@_-"/>
    <numFmt numFmtId="217" formatCode="#,##0.00&quot; $&quot;;[Red]\-#,##0.00&quot; $&quot;"/>
    <numFmt numFmtId="218" formatCode="_(* #,##0,_);_(* \(#,##0,\);_(* &quot;-&quot;_);_(@_)"/>
    <numFmt numFmtId="219" formatCode="0.00000%"/>
    <numFmt numFmtId="220" formatCode="0.0000000%"/>
    <numFmt numFmtId="221" formatCode="_-* #,##0_?_._-;\-* #,##0_?_._-;_-* &quot;-&quot;_?_._-;_-@_-"/>
    <numFmt numFmtId="222" formatCode="_-* #,##0.00_?_._-;\-* #,##0.00_?_._-;_-* &quot;-&quot;??_?_._-;_-@_-"/>
    <numFmt numFmtId="223" formatCode="0%_);\(0%\)"/>
    <numFmt numFmtId="224" formatCode="_-* #,##0\ _$_-;\-* #,##0\ _$_-;_-* &quot;-&quot;\ _$_-;_-@_-"/>
    <numFmt numFmtId="225" formatCode="&quot;$&quot;#,\);\(&quot;$&quot;#,\)"/>
    <numFmt numFmtId="226" formatCode="\+0.0;\-0.0"/>
    <numFmt numFmtId="227" formatCode="\+0.0%;\-0.0%"/>
    <numFmt numFmtId="228" formatCode="#,##0______;;&quot;------------      &quot;"/>
    <numFmt numFmtId="229" formatCode="&quot;$&quot;#,##0"/>
    <numFmt numFmtId="230" formatCode="#\ ##0&quot;zі&quot;_.00&quot;gr&quot;;\(#\ ##0.00\z\і\)"/>
    <numFmt numFmtId="231" formatCode="#\ ##0&quot;zі&quot;.00&quot;gr&quot;;\(#\ ##0&quot;zі&quot;.00&quot;gr&quot;\)"/>
    <numFmt numFmtId="232" formatCode="&quot;P&quot;#,##0.00;\-&quot;P&quot;#,##0.00"/>
    <numFmt numFmtId="233" formatCode="_-&quot;P&quot;* #,##0_-;\-&quot;P&quot;* #,##0_-;_-&quot;P&quot;* &quot;-&quot;_-;_-@_-"/>
    <numFmt numFmtId="234" formatCode="General_)"/>
    <numFmt numFmtId="235" formatCode="#,##0.000_ ;\-#,##0.000\ "/>
    <numFmt numFmtId="236" formatCode="0.000"/>
    <numFmt numFmtId="237" formatCode="_-* #,##0_-;\-* #,##0_-;_-* &quot;-&quot;??_-;_-@_-"/>
  </numFmts>
  <fonts count="17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6"/>
      <name val="Helv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Arial"/>
      <family val="2"/>
      <charset val="204"/>
    </font>
    <font>
      <sz val="11"/>
      <name val="Times"/>
      <family val="1"/>
    </font>
    <font>
      <b/>
      <sz val="11"/>
      <name val="Times"/>
      <family val="1"/>
    </font>
    <font>
      <i/>
      <sz val="11"/>
      <name val="Times"/>
      <family val="1"/>
    </font>
    <font>
      <b/>
      <i/>
      <sz val="11"/>
      <name val="Times"/>
      <family val="1"/>
    </font>
    <font>
      <sz val="11"/>
      <color indexed="8"/>
      <name val="Times"/>
      <family val="1"/>
    </font>
    <font>
      <i/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3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2"/>
      <name val="Arial"/>
      <family val="2"/>
      <charset val="204"/>
    </font>
    <font>
      <sz val="2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222222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222222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Geneva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Helv"/>
      <charset val="204"/>
    </font>
    <font>
      <sz val="11"/>
      <color indexed="20"/>
      <name val="Calibri"/>
      <family val="2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NTTimes/Cyrillic"/>
    </font>
    <font>
      <sz val="10"/>
      <color theme="1"/>
      <name val="Arial"/>
      <family val="2"/>
    </font>
    <font>
      <sz val="9"/>
      <name val="Times New Roman"/>
      <family val="1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sz val="10"/>
      <name val="PragmaticaCTT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0"/>
      <name val="NTHelvetica/Cyrillic"/>
      <charset val="204"/>
    </font>
    <font>
      <sz val="11"/>
      <name val="Univers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indexed="12"/>
      <name val="Arial Cyr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9"/>
      <color rgb="FF008080"/>
      <name val="Arial"/>
      <family val="2"/>
      <charset val="204"/>
    </font>
    <font>
      <b/>
      <sz val="11"/>
      <name val="Times"/>
      <charset val="204"/>
    </font>
    <font>
      <sz val="11"/>
      <color rgb="FFFF0000"/>
      <name val="Times"/>
      <family val="1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8FCD0"/>
        <bgColor indexed="64"/>
      </patternFill>
    </fill>
    <fill>
      <patternFill patternType="lightUp"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15">
    <xf numFmtId="0" fontId="0" fillId="0" borderId="0"/>
    <xf numFmtId="0" fontId="15" fillId="2" borderId="1" applyNumberFormat="0" applyFont="0" applyBorder="0" applyAlignment="0" applyProtection="0"/>
    <xf numFmtId="0" fontId="15" fillId="2" borderId="1" applyNumberFormat="0" applyFont="0" applyBorder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15" fillId="2" borderId="1" applyNumberFormat="0" applyFont="0" applyBorder="0" applyAlignment="0" applyProtection="0"/>
    <xf numFmtId="0" fontId="15" fillId="2" borderId="1" applyNumberFormat="0" applyFont="0" applyBorder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15" fillId="2" borderId="1" applyNumberFormat="0" applyFont="0" applyBorder="0" applyAlignment="0" applyProtection="0"/>
    <xf numFmtId="0" fontId="15" fillId="2" borderId="1" applyNumberFormat="0" applyFont="0" applyBorder="0" applyAlignment="0" applyProtection="0"/>
    <xf numFmtId="183" fontId="3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38" fontId="10" fillId="4" borderId="0" applyNumberFormat="0" applyBorder="0" applyAlignment="0" applyProtection="0"/>
    <xf numFmtId="10" fontId="10" fillId="5" borderId="5" applyNumberFormat="0" applyBorder="0" applyAlignment="0" applyProtection="0"/>
    <xf numFmtId="184" fontId="17" fillId="0" borderId="0"/>
    <xf numFmtId="1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6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0" fillId="0" borderId="0">
      <alignment horizontal="left"/>
    </xf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21" fillId="0" borderId="0"/>
    <xf numFmtId="0" fontId="10" fillId="0" borderId="0">
      <alignment horizontal="left"/>
    </xf>
    <xf numFmtId="0" fontId="7" fillId="0" borderId="0"/>
    <xf numFmtId="0" fontId="22" fillId="0" borderId="0"/>
    <xf numFmtId="0" fontId="3" fillId="0" borderId="0"/>
    <xf numFmtId="0" fontId="7" fillId="0" borderId="0"/>
    <xf numFmtId="0" fontId="7" fillId="0" borderId="0"/>
    <xf numFmtId="0" fontId="10" fillId="0" borderId="0">
      <alignment horizontal="left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7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2" fillId="0" borderId="0"/>
    <xf numFmtId="0" fontId="72" fillId="0" borderId="24"/>
    <xf numFmtId="0" fontId="73" fillId="0" borderId="0"/>
    <xf numFmtId="0" fontId="7" fillId="0" borderId="0"/>
    <xf numFmtId="0" fontId="74" fillId="0" borderId="0"/>
    <xf numFmtId="0" fontId="74" fillId="0" borderId="0"/>
    <xf numFmtId="188" fontId="3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5" fillId="0" borderId="0">
      <protection locked="0"/>
    </xf>
    <xf numFmtId="189" fontId="76" fillId="0" borderId="0">
      <protection locked="0"/>
    </xf>
    <xf numFmtId="189" fontId="76" fillId="0" borderId="0">
      <protection locked="0"/>
    </xf>
    <xf numFmtId="189" fontId="76" fillId="0" borderId="0">
      <protection locked="0"/>
    </xf>
    <xf numFmtId="189" fontId="76" fillId="0" borderId="0">
      <protection locked="0"/>
    </xf>
    <xf numFmtId="0" fontId="77" fillId="0" borderId="0"/>
    <xf numFmtId="4" fontId="78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7" fillId="0" borderId="0"/>
    <xf numFmtId="0" fontId="73" fillId="0" borderId="0"/>
    <xf numFmtId="190" fontId="7" fillId="2" borderId="23">
      <alignment wrapText="1"/>
      <protection locked="0"/>
    </xf>
    <xf numFmtId="0" fontId="79" fillId="2" borderId="23">
      <alignment wrapText="1"/>
      <protection locked="0"/>
    </xf>
    <xf numFmtId="0" fontId="79" fillId="2" borderId="23">
      <alignment wrapText="1"/>
      <protection locked="0"/>
    </xf>
    <xf numFmtId="0" fontId="79" fillId="2" borderId="23">
      <alignment wrapText="1"/>
      <protection locked="0"/>
    </xf>
    <xf numFmtId="0" fontId="79" fillId="2" borderId="23">
      <alignment wrapText="1"/>
      <protection locked="0"/>
    </xf>
    <xf numFmtId="190" fontId="7" fillId="2" borderId="23">
      <alignment wrapText="1"/>
      <protection locked="0"/>
    </xf>
    <xf numFmtId="190" fontId="7" fillId="2" borderId="23">
      <alignment wrapText="1"/>
      <protection locked="0"/>
    </xf>
    <xf numFmtId="190" fontId="7" fillId="2" borderId="23">
      <alignment wrapText="1"/>
      <protection locked="0"/>
    </xf>
    <xf numFmtId="0" fontId="79" fillId="2" borderId="23">
      <alignment wrapText="1"/>
      <protection locked="0"/>
    </xf>
    <xf numFmtId="0" fontId="79" fillId="2" borderId="23">
      <alignment wrapText="1"/>
      <protection locked="0"/>
    </xf>
    <xf numFmtId="190" fontId="7" fillId="2" borderId="23">
      <alignment wrapText="1"/>
      <protection locked="0"/>
    </xf>
    <xf numFmtId="190" fontId="7" fillId="2" borderId="23">
      <alignment wrapText="1"/>
      <protection locked="0"/>
    </xf>
    <xf numFmtId="190" fontId="7" fillId="2" borderId="23">
      <alignment wrapText="1"/>
      <protection locked="0"/>
    </xf>
    <xf numFmtId="190" fontId="7" fillId="2" borderId="23">
      <alignment wrapText="1"/>
      <protection locked="0"/>
    </xf>
    <xf numFmtId="0" fontId="79" fillId="2" borderId="23">
      <alignment wrapText="1"/>
      <protection locked="0"/>
    </xf>
    <xf numFmtId="0" fontId="80" fillId="0" borderId="0"/>
    <xf numFmtId="0" fontId="80" fillId="0" borderId="0"/>
    <xf numFmtId="0" fontId="73" fillId="0" borderId="0"/>
    <xf numFmtId="0" fontId="73" fillId="0" borderId="0"/>
    <xf numFmtId="0" fontId="77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3" fillId="0" borderId="0"/>
    <xf numFmtId="0" fontId="73" fillId="0" borderId="0"/>
    <xf numFmtId="0" fontId="77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7" fillId="0" borderId="0"/>
    <xf numFmtId="0" fontId="77" fillId="0" borderId="0"/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1" fillId="0" borderId="25">
      <protection locked="0"/>
    </xf>
    <xf numFmtId="0" fontId="81" fillId="0" borderId="25">
      <protection locked="0"/>
    </xf>
    <xf numFmtId="191" fontId="83" fillId="0" borderId="0">
      <alignment horizontal="center"/>
    </xf>
    <xf numFmtId="192" fontId="84" fillId="0" borderId="15" applyFont="0" applyFill="0" applyBorder="0" applyAlignment="0" applyProtection="0">
      <alignment horizontal="right"/>
    </xf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2" borderId="0" applyNumberFormat="0" applyBorder="0" applyAlignment="0" applyProtection="0"/>
    <xf numFmtId="0" fontId="21" fillId="22" borderId="0" applyNumberFormat="0" applyBorder="0" applyAlignment="0" applyProtection="0"/>
    <xf numFmtId="0" fontId="85" fillId="23" borderId="0" applyNumberFormat="0" applyBorder="0" applyAlignment="0" applyProtection="0"/>
    <xf numFmtId="0" fontId="21" fillId="23" borderId="0" applyNumberFormat="0" applyBorder="0" applyAlignment="0" applyProtection="0"/>
    <xf numFmtId="0" fontId="85" fillId="24" borderId="0" applyNumberFormat="0" applyBorder="0" applyAlignment="0" applyProtection="0"/>
    <xf numFmtId="0" fontId="21" fillId="24" borderId="0" applyNumberFormat="0" applyBorder="0" applyAlignment="0" applyProtection="0"/>
    <xf numFmtId="0" fontId="85" fillId="25" borderId="0" applyNumberFormat="0" applyBorder="0" applyAlignment="0" applyProtection="0"/>
    <xf numFmtId="0" fontId="21" fillId="25" borderId="0" applyNumberFormat="0" applyBorder="0" applyAlignment="0" applyProtection="0"/>
    <xf numFmtId="0" fontId="85" fillId="26" borderId="0" applyNumberFormat="0" applyBorder="0" applyAlignment="0" applyProtection="0"/>
    <xf numFmtId="0" fontId="21" fillId="26" borderId="0" applyNumberFormat="0" applyBorder="0" applyAlignment="0" applyProtection="0"/>
    <xf numFmtId="0" fontId="85" fillId="27" borderId="0" applyNumberFormat="0" applyBorder="0" applyAlignment="0" applyProtection="0"/>
    <xf numFmtId="0" fontId="21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28" borderId="0" applyNumberFormat="0" applyBorder="0" applyAlignment="0" applyProtection="0"/>
    <xf numFmtId="0" fontId="21" fillId="28" borderId="0" applyNumberFormat="0" applyBorder="0" applyAlignment="0" applyProtection="0"/>
    <xf numFmtId="0" fontId="85" fillId="29" borderId="0" applyNumberFormat="0" applyBorder="0" applyAlignment="0" applyProtection="0"/>
    <xf numFmtId="0" fontId="21" fillId="29" borderId="0" applyNumberFormat="0" applyBorder="0" applyAlignment="0" applyProtection="0"/>
    <xf numFmtId="0" fontId="85" fillId="30" borderId="0" applyNumberFormat="0" applyBorder="0" applyAlignment="0" applyProtection="0"/>
    <xf numFmtId="0" fontId="21" fillId="30" borderId="0" applyNumberFormat="0" applyBorder="0" applyAlignment="0" applyProtection="0"/>
    <xf numFmtId="0" fontId="85" fillId="25" borderId="0" applyNumberFormat="0" applyBorder="0" applyAlignment="0" applyProtection="0"/>
    <xf numFmtId="0" fontId="21" fillId="25" borderId="0" applyNumberFormat="0" applyBorder="0" applyAlignment="0" applyProtection="0"/>
    <xf numFmtId="0" fontId="85" fillId="28" borderId="0" applyNumberFormat="0" applyBorder="0" applyAlignment="0" applyProtection="0"/>
    <xf numFmtId="0" fontId="21" fillId="28" borderId="0" applyNumberFormat="0" applyBorder="0" applyAlignment="0" applyProtection="0"/>
    <xf numFmtId="0" fontId="85" fillId="31" borderId="0" applyNumberFormat="0" applyBorder="0" applyAlignment="0" applyProtection="0"/>
    <xf numFmtId="0" fontId="21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30" borderId="0" applyNumberFormat="0" applyBorder="0" applyAlignment="0" applyProtection="0"/>
    <xf numFmtId="0" fontId="86" fillId="33" borderId="0" applyNumberFormat="0" applyBorder="0" applyAlignment="0" applyProtection="0"/>
    <xf numFmtId="0" fontId="87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4" borderId="0" applyNumberFormat="0" applyBorder="0" applyAlignment="0" applyProtection="0"/>
    <xf numFmtId="0" fontId="86" fillId="35" borderId="0" applyNumberFormat="0" applyBorder="0" applyAlignment="0" applyProtection="0"/>
    <xf numFmtId="0" fontId="87" fillId="35" borderId="0" applyNumberFormat="0" applyBorder="0" applyAlignment="0" applyProtection="0"/>
    <xf numFmtId="0" fontId="88" fillId="0" borderId="0">
      <alignment horizontal="right"/>
    </xf>
    <xf numFmtId="189" fontId="76" fillId="0" borderId="0">
      <protection locked="0"/>
    </xf>
    <xf numFmtId="189" fontId="76" fillId="0" borderId="0">
      <protection locked="0"/>
    </xf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90" fillId="0" borderId="0"/>
    <xf numFmtId="193" fontId="91" fillId="0" borderId="0">
      <alignment horizontal="right"/>
    </xf>
    <xf numFmtId="194" fontId="91" fillId="0" borderId="0">
      <alignment horizontal="right" vertical="center"/>
    </xf>
    <xf numFmtId="193" fontId="91" fillId="0" borderId="0">
      <alignment horizontal="right" vertical="center"/>
    </xf>
    <xf numFmtId="0" fontId="20" fillId="0" borderId="0">
      <alignment vertical="center"/>
    </xf>
    <xf numFmtId="0" fontId="92" fillId="0" borderId="0">
      <alignment horizontal="left"/>
    </xf>
    <xf numFmtId="195" fontId="93" fillId="12" borderId="0">
      <alignment horizontal="right" vertical="center"/>
    </xf>
    <xf numFmtId="196" fontId="93" fillId="12" borderId="0">
      <alignment horizontal="right"/>
    </xf>
    <xf numFmtId="197" fontId="93" fillId="0" borderId="0">
      <alignment horizontal="right" vertical="center"/>
    </xf>
    <xf numFmtId="0" fontId="94" fillId="0" borderId="0" applyFill="0" applyBorder="0" applyAlignment="0"/>
    <xf numFmtId="0" fontId="94" fillId="0" borderId="0" applyFill="0" applyBorder="0" applyAlignment="0"/>
    <xf numFmtId="198" fontId="73" fillId="0" borderId="0" applyFill="0" applyBorder="0" applyAlignment="0"/>
    <xf numFmtId="199" fontId="7" fillId="0" borderId="0" applyFill="0" applyBorder="0" applyAlignment="0"/>
    <xf numFmtId="199" fontId="7" fillId="0" borderId="0" applyFill="0" applyBorder="0" applyAlignment="0"/>
    <xf numFmtId="199" fontId="7" fillId="0" borderId="0" applyFill="0" applyBorder="0" applyAlignment="0"/>
    <xf numFmtId="200" fontId="95" fillId="0" borderId="0" applyFill="0" applyBorder="0" applyAlignment="0"/>
    <xf numFmtId="201" fontId="95" fillId="0" borderId="0" applyFill="0" applyBorder="0" applyAlignment="0"/>
    <xf numFmtId="202" fontId="73" fillId="0" borderId="0" applyFill="0" applyBorder="0" applyAlignment="0"/>
    <xf numFmtId="203" fontId="73" fillId="0" borderId="0" applyFill="0" applyBorder="0" applyAlignment="0"/>
    <xf numFmtId="198" fontId="73" fillId="0" borderId="0" applyFill="0" applyBorder="0" applyAlignment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0" fontId="96" fillId="40" borderId="26" applyNumberFormat="0" applyAlignment="0" applyProtection="0"/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172" fontId="80" fillId="20" borderId="24">
      <alignment vertical="center"/>
    </xf>
    <xf numFmtId="0" fontId="97" fillId="41" borderId="27" applyNumberFormat="0" applyAlignment="0" applyProtection="0"/>
    <xf numFmtId="0" fontId="97" fillId="41" borderId="27" applyNumberFormat="0" applyAlignment="0" applyProtection="0"/>
    <xf numFmtId="0" fontId="98" fillId="0" borderId="0" applyFont="0" applyFill="0" applyBorder="0" applyAlignment="0" applyProtection="0"/>
    <xf numFmtId="202" fontId="73" fillId="0" borderId="0" applyFont="0" applyFill="0" applyBorder="0" applyAlignment="0" applyProtection="0"/>
    <xf numFmtId="202" fontId="73" fillId="0" borderId="0" applyFont="0" applyFill="0" applyBorder="0" applyAlignment="0" applyProtection="0"/>
    <xf numFmtId="167" fontId="7" fillId="0" borderId="0" applyFont="0" applyFill="0" applyBorder="0" applyAlignment="0" applyProtection="0"/>
    <xf numFmtId="204" fontId="99" fillId="0" borderId="0" applyFont="0" applyFill="0" applyBorder="0" applyAlignment="0" applyProtection="0">
      <alignment horizontal="center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94" fillId="0" borderId="0" applyFont="0" applyFill="0" applyBorder="0" applyAlignment="0" applyProtection="0"/>
    <xf numFmtId="174" fontId="94" fillId="0" borderId="0" applyFont="0" applyFill="0" applyBorder="0" applyAlignment="0" applyProtection="0"/>
    <xf numFmtId="205" fontId="101" fillId="0" borderId="0" applyFont="0" applyFill="0" applyBorder="0" applyAlignment="0" applyProtection="0"/>
    <xf numFmtId="3" fontId="7" fillId="0" borderId="0" applyFill="0" applyBorder="0" applyAlignment="0" applyProtection="0"/>
    <xf numFmtId="166" fontId="18" fillId="0" borderId="0" applyFont="0" applyFill="0" applyBorder="0" applyAlignment="0" applyProtection="0"/>
    <xf numFmtId="198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" fillId="0" borderId="0" applyFont="0" applyFill="0" applyBorder="0" applyAlignment="0" applyProtection="0"/>
    <xf numFmtId="37" fontId="102" fillId="0" borderId="28" applyFont="0" applyFill="0" applyBorder="0">
      <protection locked="0"/>
    </xf>
    <xf numFmtId="206" fontId="103" fillId="0" borderId="0" applyFont="0" applyFill="0" applyBorder="0" applyAlignment="0" applyProtection="0"/>
    <xf numFmtId="165" fontId="7" fillId="0" borderId="0" applyFill="0" applyBorder="0" applyAlignment="0" applyProtection="0"/>
    <xf numFmtId="207" fontId="7" fillId="6" borderId="0" applyFont="0" applyFill="0" applyBorder="0" applyAlignment="0" applyProtection="0"/>
    <xf numFmtId="207" fontId="7" fillId="6" borderId="0" applyFont="0" applyFill="0" applyBorder="0" applyAlignment="0" applyProtection="0"/>
    <xf numFmtId="208" fontId="7" fillId="0" borderId="0" applyFill="0" applyBorder="0" applyAlignment="0" applyProtection="0"/>
    <xf numFmtId="14" fontId="94" fillId="0" borderId="0" applyFill="0" applyBorder="0" applyAlignment="0"/>
    <xf numFmtId="209" fontId="7" fillId="6" borderId="0" applyFont="0" applyFill="0" applyBorder="0" applyAlignment="0" applyProtection="0"/>
    <xf numFmtId="209" fontId="7" fillId="6" borderId="0" applyFont="0" applyFill="0" applyBorder="0" applyAlignment="0" applyProtection="0"/>
    <xf numFmtId="38" fontId="18" fillId="0" borderId="29">
      <alignment vertical="center"/>
    </xf>
    <xf numFmtId="210" fontId="104" fillId="0" borderId="0" applyFont="0" applyFill="0" applyBorder="0" applyAlignment="0" applyProtection="0"/>
    <xf numFmtId="211" fontId="10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02" fontId="73" fillId="0" borderId="0" applyFill="0" applyBorder="0" applyAlignment="0"/>
    <xf numFmtId="198" fontId="73" fillId="0" borderId="0" applyFill="0" applyBorder="0" applyAlignment="0"/>
    <xf numFmtId="202" fontId="73" fillId="0" borderId="0" applyFill="0" applyBorder="0" applyAlignment="0"/>
    <xf numFmtId="203" fontId="73" fillId="0" borderId="0" applyFill="0" applyBorder="0" applyAlignment="0"/>
    <xf numFmtId="198" fontId="73" fillId="0" borderId="0" applyFill="0" applyBorder="0" applyAlignmen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" fontId="7" fillId="0" borderId="0" applyFill="0" applyBorder="0" applyAlignment="0" applyProtection="0"/>
    <xf numFmtId="10" fontId="107" fillId="42" borderId="5" applyNumberFormat="0" applyFill="0" applyBorder="0" applyAlignment="0" applyProtection="0">
      <protection locked="0"/>
    </xf>
    <xf numFmtId="10" fontId="107" fillId="42" borderId="5" applyNumberFormat="0" applyFill="0" applyBorder="0" applyAlignment="0" applyProtection="0">
      <protection locked="0"/>
    </xf>
    <xf numFmtId="10" fontId="107" fillId="42" borderId="5" applyNumberFormat="0" applyFill="0" applyBorder="0" applyAlignment="0" applyProtection="0">
      <protection locked="0"/>
    </xf>
    <xf numFmtId="0" fontId="108" fillId="0" borderId="0">
      <alignment vertical="center"/>
    </xf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10" fillId="0" borderId="30" applyNumberFormat="0" applyAlignment="0" applyProtection="0">
      <alignment horizontal="left" vertical="center"/>
    </xf>
    <xf numFmtId="0" fontId="110" fillId="0" borderId="30" applyNumberFormat="0" applyAlignment="0" applyProtection="0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0" fontId="110" fillId="0" borderId="7">
      <alignment horizontal="left" vertical="center"/>
    </xf>
    <xf numFmtId="14" fontId="111" fillId="43" borderId="18">
      <alignment horizontal="center" vertical="center" wrapText="1"/>
    </xf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7" fillId="0" borderId="0"/>
    <xf numFmtId="189" fontId="75" fillId="0" borderId="0">
      <protection locked="0"/>
    </xf>
    <xf numFmtId="189" fontId="76" fillId="0" borderId="0">
      <protection locked="0"/>
    </xf>
    <xf numFmtId="212" fontId="7" fillId="2" borderId="5" applyNumberFormat="0" applyFont="0" applyAlignment="0">
      <protection locked="0"/>
    </xf>
    <xf numFmtId="10" fontId="20" fillId="5" borderId="5" applyNumberFormat="0" applyBorder="0" applyAlignment="0" applyProtection="0"/>
    <xf numFmtId="10" fontId="20" fillId="5" borderId="5" applyNumberFormat="0" applyBorder="0" applyAlignment="0" applyProtection="0"/>
    <xf numFmtId="212" fontId="7" fillId="2" borderId="5" applyNumberFormat="0" applyFont="0" applyAlignment="0">
      <protection locked="0"/>
    </xf>
    <xf numFmtId="212" fontId="7" fillId="2" borderId="5" applyNumberFormat="0" applyFont="0" applyAlignment="0">
      <protection locked="0"/>
    </xf>
    <xf numFmtId="172" fontId="80" fillId="44" borderId="5" applyBorder="0">
      <alignment horizontal="center" vertical="center"/>
      <protection locked="0"/>
    </xf>
    <xf numFmtId="202" fontId="73" fillId="0" borderId="0" applyFill="0" applyBorder="0" applyAlignment="0"/>
    <xf numFmtId="198" fontId="73" fillId="0" borderId="0" applyFill="0" applyBorder="0" applyAlignment="0"/>
    <xf numFmtId="202" fontId="73" fillId="0" borderId="0" applyFill="0" applyBorder="0" applyAlignment="0"/>
    <xf numFmtId="203" fontId="73" fillId="0" borderId="0" applyFill="0" applyBorder="0" applyAlignment="0"/>
    <xf numFmtId="198" fontId="73" fillId="0" borderId="0" applyFill="0" applyBorder="0" applyAlignment="0"/>
    <xf numFmtId="0" fontId="116" fillId="0" borderId="34" applyNumberFormat="0" applyFill="0" applyAlignment="0" applyProtection="0"/>
    <xf numFmtId="0" fontId="116" fillId="0" borderId="34" applyNumberFormat="0" applyFill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217" fontId="7" fillId="0" borderId="0"/>
    <xf numFmtId="217" fontId="7" fillId="0" borderId="0"/>
    <xf numFmtId="217" fontId="7" fillId="0" borderId="0"/>
    <xf numFmtId="0" fontId="83" fillId="0" borderId="0"/>
    <xf numFmtId="0" fontId="2" fillId="0" borderId="0"/>
    <xf numFmtId="0" fontId="100" fillId="0" borderId="0"/>
    <xf numFmtId="0" fontId="7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8" fillId="0" borderId="0"/>
    <xf numFmtId="0" fontId="88" fillId="0" borderId="0"/>
    <xf numFmtId="0" fontId="73" fillId="0" borderId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0" fontId="85" fillId="46" borderId="35" applyNumberFormat="0" applyFont="0" applyAlignment="0" applyProtection="0"/>
    <xf numFmtId="218" fontId="7" fillId="6" borderId="0"/>
    <xf numFmtId="218" fontId="7" fillId="6" borderId="0"/>
    <xf numFmtId="218" fontId="7" fillId="6" borderId="0"/>
    <xf numFmtId="189" fontId="76" fillId="0" borderId="0">
      <protection locked="0"/>
    </xf>
    <xf numFmtId="189" fontId="76" fillId="0" borderId="0">
      <protection locked="0"/>
    </xf>
    <xf numFmtId="219" fontId="118" fillId="0" borderId="0" applyFont="0" applyFill="0" applyBorder="0" applyAlignment="0" applyProtection="0"/>
    <xf numFmtId="220" fontId="118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19" fillId="40" borderId="36" applyNumberFormat="0" applyAlignment="0" applyProtection="0"/>
    <xf numFmtId="0" fontId="120" fillId="6" borderId="0"/>
    <xf numFmtId="0" fontId="120" fillId="6" borderId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01" fontId="95" fillId="0" borderId="0" applyFont="0" applyFill="0" applyBorder="0" applyAlignment="0" applyProtection="0"/>
    <xf numFmtId="224" fontId="95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99" fillId="0" borderId="0" applyFont="0" applyFill="0" applyBorder="0" applyAlignment="0" applyProtection="0">
      <alignment horizontal="center"/>
    </xf>
    <xf numFmtId="10" fontId="9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25" fontId="103" fillId="0" borderId="0" applyFont="0" applyFill="0" applyBorder="0" applyAlignment="0" applyProtection="0"/>
    <xf numFmtId="37" fontId="121" fillId="2" borderId="22"/>
    <xf numFmtId="226" fontId="73" fillId="0" borderId="0"/>
    <xf numFmtId="227" fontId="73" fillId="0" borderId="0"/>
    <xf numFmtId="37" fontId="121" fillId="2" borderId="22"/>
    <xf numFmtId="182" fontId="7" fillId="0" borderId="0" applyFont="0" applyFill="0" applyBorder="0" applyAlignment="0" applyProtection="0"/>
    <xf numFmtId="202" fontId="73" fillId="0" borderId="0" applyFill="0" applyBorder="0" applyAlignment="0"/>
    <xf numFmtId="198" fontId="73" fillId="0" borderId="0" applyFill="0" applyBorder="0" applyAlignment="0"/>
    <xf numFmtId="202" fontId="73" fillId="0" borderId="0" applyFill="0" applyBorder="0" applyAlignment="0"/>
    <xf numFmtId="203" fontId="73" fillId="0" borderId="0" applyFill="0" applyBorder="0" applyAlignment="0"/>
    <xf numFmtId="198" fontId="73" fillId="0" borderId="0" applyFill="0" applyBorder="0" applyAlignment="0"/>
    <xf numFmtId="0" fontId="122" fillId="0" borderId="0" applyNumberFormat="0">
      <alignment horizontal="left"/>
    </xf>
    <xf numFmtId="228" fontId="123" fillId="0" borderId="37" applyBorder="0">
      <alignment horizontal="right"/>
      <protection locked="0"/>
    </xf>
    <xf numFmtId="3" fontId="80" fillId="0" borderId="0" applyFont="0" applyFill="0" applyBorder="0" applyAlignment="0"/>
    <xf numFmtId="0" fontId="7" fillId="4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88" fillId="0" borderId="0" applyNumberFormat="0" applyFill="0" applyBorder="0" applyAlignment="0" applyProtection="0">
      <alignment horizontal="center"/>
    </xf>
    <xf numFmtId="229" fontId="124" fillId="0" borderId="5">
      <alignment horizontal="left" vertical="center"/>
      <protection locked="0"/>
    </xf>
    <xf numFmtId="0" fontId="125" fillId="0" borderId="0"/>
    <xf numFmtId="0" fontId="77" fillId="0" borderId="0"/>
    <xf numFmtId="0" fontId="77" fillId="0" borderId="0"/>
    <xf numFmtId="0" fontId="73" fillId="0" borderId="0"/>
    <xf numFmtId="0" fontId="126" fillId="0" borderId="0"/>
    <xf numFmtId="0" fontId="18" fillId="0" borderId="0" applyNumberFormat="0" applyFont="0" applyFill="0" applyBorder="0" applyAlignment="0" applyProtection="0">
      <alignment vertical="top"/>
    </xf>
    <xf numFmtId="0" fontId="126" fillId="0" borderId="0"/>
    <xf numFmtId="0" fontId="18" fillId="0" borderId="0" applyNumberFormat="0" applyFont="0" applyFill="0" applyBorder="0" applyAlignment="0" applyProtection="0">
      <alignment vertical="top"/>
    </xf>
    <xf numFmtId="0" fontId="127" fillId="0" borderId="0"/>
    <xf numFmtId="49" fontId="94" fillId="0" borderId="0" applyFill="0" applyBorder="0" applyAlignment="0"/>
    <xf numFmtId="230" fontId="95" fillId="0" borderId="0" applyFill="0" applyBorder="0" applyAlignment="0"/>
    <xf numFmtId="231" fontId="95" fillId="0" borderId="0" applyFill="0" applyBorder="0" applyAlignment="0"/>
    <xf numFmtId="0" fontId="128" fillId="0" borderId="0" applyFill="0" applyBorder="0" applyProtection="0">
      <alignment horizontal="left" vertical="top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0" fontId="130" fillId="0" borderId="38" applyNumberFormat="0" applyFill="0" applyAlignment="0" applyProtection="0"/>
    <xf numFmtId="174" fontId="7" fillId="0" borderId="0" applyFont="0" applyFill="0" applyBorder="0" applyAlignment="0" applyProtection="0"/>
    <xf numFmtId="232" fontId="104" fillId="0" borderId="0" applyFont="0" applyFill="0" applyBorder="0" applyAlignment="0" applyProtection="0"/>
    <xf numFmtId="233" fontId="104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6" fillId="36" borderId="0" applyNumberFormat="0" applyBorder="0" applyAlignment="0" applyProtection="0"/>
    <xf numFmtId="0" fontId="87" fillId="36" borderId="0" applyNumberFormat="0" applyBorder="0" applyAlignment="0" applyProtection="0"/>
    <xf numFmtId="0" fontId="86" fillId="37" borderId="0" applyNumberFormat="0" applyBorder="0" applyAlignment="0" applyProtection="0"/>
    <xf numFmtId="0" fontId="87" fillId="37" borderId="0" applyNumberFormat="0" applyBorder="0" applyAlignment="0" applyProtection="0"/>
    <xf numFmtId="0" fontId="86" fillId="38" borderId="0" applyNumberFormat="0" applyBorder="0" applyAlignment="0" applyProtection="0"/>
    <xf numFmtId="0" fontId="87" fillId="38" borderId="0" applyNumberFormat="0" applyBorder="0" applyAlignment="0" applyProtection="0"/>
    <xf numFmtId="0" fontId="86" fillId="33" borderId="0" applyNumberFormat="0" applyBorder="0" applyAlignment="0" applyProtection="0"/>
    <xf numFmtId="0" fontId="87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4" borderId="0" applyNumberFormat="0" applyBorder="0" applyAlignment="0" applyProtection="0"/>
    <xf numFmtId="0" fontId="86" fillId="39" borderId="0" applyNumberFormat="0" applyBorder="0" applyAlignment="0" applyProtection="0"/>
    <xf numFmtId="0" fontId="87" fillId="39" borderId="0" applyNumberFormat="0" applyBorder="0" applyAlignment="0" applyProtection="0"/>
    <xf numFmtId="234" fontId="80" fillId="0" borderId="39">
      <protection locked="0"/>
    </xf>
    <xf numFmtId="0" fontId="132" fillId="27" borderId="26" applyNumberFormat="0" applyAlignment="0" applyProtection="0"/>
    <xf numFmtId="0" fontId="133" fillId="27" borderId="26" applyNumberFormat="0" applyAlignment="0" applyProtection="0"/>
    <xf numFmtId="0" fontId="132" fillId="27" borderId="26" applyNumberFormat="0" applyAlignment="0" applyProtection="0"/>
    <xf numFmtId="3" fontId="134" fillId="0" borderId="0">
      <alignment horizontal="center" vertical="center" textRotation="90" wrapText="1"/>
    </xf>
    <xf numFmtId="235" fontId="80" fillId="0" borderId="5">
      <alignment vertical="top" wrapText="1"/>
    </xf>
    <xf numFmtId="0" fontId="119" fillId="40" borderId="36" applyNumberFormat="0" applyAlignment="0" applyProtection="0"/>
    <xf numFmtId="0" fontId="135" fillId="40" borderId="36" applyNumberFormat="0" applyAlignment="0" applyProtection="0"/>
    <xf numFmtId="0" fontId="119" fillId="40" borderId="36" applyNumberFormat="0" applyAlignment="0" applyProtection="0"/>
    <xf numFmtId="0" fontId="96" fillId="40" borderId="26" applyNumberFormat="0" applyAlignment="0" applyProtection="0"/>
    <xf numFmtId="0" fontId="136" fillId="40" borderId="26" applyNumberFormat="0" applyAlignment="0" applyProtection="0"/>
    <xf numFmtId="0" fontId="96" fillId="40" borderId="26" applyNumberFormat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4" borderId="24"/>
    <xf numFmtId="4" fontId="16" fillId="0" borderId="5">
      <alignment horizontal="left" vertical="center"/>
    </xf>
    <xf numFmtId="4" fontId="16" fillId="0" borderId="5"/>
    <xf numFmtId="4" fontId="16" fillId="47" borderId="5"/>
    <xf numFmtId="4" fontId="16" fillId="47" borderId="5"/>
    <xf numFmtId="4" fontId="16" fillId="48" borderId="5"/>
    <xf numFmtId="4" fontId="140" fillId="49" borderId="5"/>
    <xf numFmtId="0" fontId="140" fillId="4" borderId="24"/>
    <xf numFmtId="186" fontId="141" fillId="0" borderId="5">
      <alignment vertical="top" wrapText="1"/>
    </xf>
    <xf numFmtId="185" fontId="3" fillId="0" borderId="5">
      <alignment vertical="top" wrapText="1"/>
    </xf>
    <xf numFmtId="14" fontId="80" fillId="0" borderId="0">
      <alignment horizontal="right"/>
    </xf>
    <xf numFmtId="14" fontId="80" fillId="0" borderId="0">
      <alignment horizontal="right"/>
    </xf>
    <xf numFmtId="14" fontId="142" fillId="0" borderId="0"/>
    <xf numFmtId="0" fontId="143" fillId="49" borderId="0" applyNumberFormat="0"/>
    <xf numFmtId="0" fontId="112" fillId="0" borderId="31" applyNumberFormat="0" applyFill="0" applyAlignment="0" applyProtection="0"/>
    <xf numFmtId="0" fontId="144" fillId="0" borderId="31" applyNumberFormat="0" applyFill="0" applyAlignment="0" applyProtection="0"/>
    <xf numFmtId="0" fontId="113" fillId="0" borderId="32" applyNumberFormat="0" applyFill="0" applyAlignment="0" applyProtection="0"/>
    <xf numFmtId="0" fontId="145" fillId="0" borderId="32" applyNumberFormat="0" applyFill="0" applyAlignment="0" applyProtection="0"/>
    <xf numFmtId="0" fontId="114" fillId="0" borderId="33" applyNumberFormat="0" applyFill="0" applyAlignment="0" applyProtection="0"/>
    <xf numFmtId="0" fontId="146" fillId="0" borderId="33" applyNumberFormat="0" applyFill="0" applyAlignment="0" applyProtection="0"/>
    <xf numFmtId="0" fontId="11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34" fontId="147" fillId="43" borderId="39"/>
    <xf numFmtId="0" fontId="7" fillId="0" borderId="5">
      <alignment horizontal="right"/>
    </xf>
    <xf numFmtId="0" fontId="7" fillId="0" borderId="5">
      <alignment horizontal="right"/>
    </xf>
    <xf numFmtId="0" fontId="7" fillId="0" borderId="5">
      <alignment horizontal="right"/>
    </xf>
    <xf numFmtId="0" fontId="130" fillId="0" borderId="38" applyNumberFormat="0" applyFill="0" applyAlignment="0" applyProtection="0"/>
    <xf numFmtId="0" fontId="148" fillId="0" borderId="38" applyNumberFormat="0" applyFill="0" applyAlignment="0" applyProtection="0"/>
    <xf numFmtId="0" fontId="130" fillId="0" borderId="38" applyNumberFormat="0" applyFill="0" applyAlignment="0" applyProtection="0"/>
    <xf numFmtId="236" fontId="149" fillId="0" borderId="5"/>
    <xf numFmtId="0" fontId="7" fillId="0" borderId="0"/>
    <xf numFmtId="0" fontId="7" fillId="0" borderId="0"/>
    <xf numFmtId="0" fontId="7" fillId="0" borderId="0"/>
    <xf numFmtId="0" fontId="97" fillId="41" borderId="27" applyNumberFormat="0" applyAlignment="0" applyProtection="0"/>
    <xf numFmtId="0" fontId="150" fillId="41" borderId="27" applyNumberFormat="0" applyAlignment="0" applyProtection="0"/>
    <xf numFmtId="0" fontId="129" fillId="0" borderId="0" applyNumberFormat="0" applyFill="0" applyBorder="0" applyAlignment="0" applyProtection="0"/>
    <xf numFmtId="0" fontId="7" fillId="0" borderId="5"/>
    <xf numFmtId="0" fontId="7" fillId="0" borderId="5"/>
    <xf numFmtId="171" fontId="151" fillId="0" borderId="0"/>
    <xf numFmtId="171" fontId="151" fillId="0" borderId="0"/>
    <xf numFmtId="171" fontId="151" fillId="0" borderId="0"/>
    <xf numFmtId="0" fontId="117" fillId="45" borderId="0" applyNumberFormat="0" applyBorder="0" applyAlignment="0" applyProtection="0"/>
    <xf numFmtId="0" fontId="152" fillId="45" borderId="0" applyNumberFormat="0" applyBorder="0" applyAlignment="0" applyProtection="0"/>
    <xf numFmtId="49" fontId="134" fillId="0" borderId="5">
      <alignment horizontal="right" vertical="top" wrapText="1"/>
    </xf>
    <xf numFmtId="192" fontId="153" fillId="0" borderId="0">
      <alignment horizontal="righ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209" fontId="3" fillId="0" borderId="0"/>
    <xf numFmtId="0" fontId="2" fillId="0" borderId="0"/>
    <xf numFmtId="0" fontId="2" fillId="0" borderId="0"/>
    <xf numFmtId="0" fontId="98" fillId="0" borderId="0">
      <alignment vertical="center"/>
    </xf>
    <xf numFmtId="209" fontId="3" fillId="0" borderId="0"/>
    <xf numFmtId="0" fontId="7" fillId="0" borderId="0"/>
    <xf numFmtId="0" fontId="7" fillId="0" borderId="0"/>
    <xf numFmtId="0" fontId="7" fillId="0" borderId="0"/>
    <xf numFmtId="209" fontId="3" fillId="0" borderId="0"/>
    <xf numFmtId="0" fontId="3" fillId="0" borderId="0"/>
    <xf numFmtId="0" fontId="89" fillId="23" borderId="0" applyNumberFormat="0" applyBorder="0" applyAlignment="0" applyProtection="0"/>
    <xf numFmtId="0" fontId="154" fillId="23" borderId="0" applyNumberFormat="0" applyBorder="0" applyAlignment="0" applyProtection="0"/>
    <xf numFmtId="186" fontId="155" fillId="0" borderId="5">
      <alignment vertical="top"/>
    </xf>
    <xf numFmtId="0" fontId="10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" fillId="46" borderId="35" applyNumberFormat="0" applyFont="0" applyAlignment="0" applyProtection="0"/>
    <xf numFmtId="0" fontId="3" fillId="46" borderId="35" applyNumberFormat="0" applyFont="0" applyAlignment="0" applyProtection="0"/>
    <xf numFmtId="0" fontId="7" fillId="46" borderId="35" applyNumberFormat="0" applyFont="0" applyAlignment="0" applyProtection="0"/>
    <xf numFmtId="49" fontId="140" fillId="0" borderId="23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36" fontId="157" fillId="0" borderId="5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0" fontId="116" fillId="0" borderId="34" applyNumberFormat="0" applyFill="0" applyAlignment="0" applyProtection="0"/>
    <xf numFmtId="0" fontId="159" fillId="0" borderId="34" applyNumberFormat="0" applyFill="0" applyAlignment="0" applyProtection="0"/>
    <xf numFmtId="0" fontId="73" fillId="0" borderId="0"/>
    <xf numFmtId="0" fontId="73" fillId="0" borderId="0"/>
    <xf numFmtId="0" fontId="7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3" fillId="0" borderId="0">
      <alignment vertical="justify"/>
    </xf>
    <xf numFmtId="49" fontId="80" fillId="0" borderId="5" applyNumberFormat="0" applyFill="0" applyAlignment="0" applyProtection="0"/>
    <xf numFmtId="49" fontId="140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78" fontId="158" fillId="0" borderId="0" applyFont="0" applyFill="0" applyBorder="0" applyAlignment="0" applyProtection="0"/>
    <xf numFmtId="188" fontId="161" fillId="0" borderId="0" applyFont="0" applyFill="0" applyBorder="0" applyProtection="0">
      <alignment horizontal="right" vertical="top"/>
      <protection locked="0"/>
    </xf>
    <xf numFmtId="178" fontId="162" fillId="0" borderId="40" applyFont="0" applyFill="0" applyBorder="0" applyAlignment="0" applyProtection="0">
      <alignment horizontal="center" vertical="center" wrapText="1"/>
    </xf>
    <xf numFmtId="178" fontId="16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09" fillId="24" borderId="0" applyNumberFormat="0" applyBorder="0" applyAlignment="0" applyProtection="0"/>
    <xf numFmtId="0" fontId="164" fillId="24" borderId="0" applyNumberFormat="0" applyBorder="0" applyAlignment="0" applyProtection="0"/>
    <xf numFmtId="4" fontId="7" fillId="0" borderId="5"/>
    <xf numFmtId="4" fontId="7" fillId="0" borderId="5"/>
    <xf numFmtId="4" fontId="7" fillId="0" borderId="5"/>
    <xf numFmtId="173" fontId="81" fillId="0" borderId="0">
      <protection locked="0"/>
    </xf>
    <xf numFmtId="173" fontId="81" fillId="0" borderId="0">
      <protection locked="0"/>
    </xf>
    <xf numFmtId="173" fontId="81" fillId="0" borderId="0">
      <protection locked="0"/>
    </xf>
    <xf numFmtId="49" fontId="141" fillId="0" borderId="5">
      <alignment horizontal="center" vertical="center" wrapText="1"/>
    </xf>
    <xf numFmtId="49" fontId="165" fillId="0" borderId="5" applyNumberFormat="0" applyFill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626">
    <xf numFmtId="0" fontId="0" fillId="0" borderId="0" xfId="0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4" fillId="0" borderId="5" xfId="0" applyFont="1" applyBorder="1" applyAlignment="1">
      <alignment vertical="top"/>
    </xf>
    <xf numFmtId="3" fontId="4" fillId="6" borderId="6" xfId="0" applyNumberFormat="1" applyFont="1" applyFill="1" applyBorder="1" applyAlignment="1">
      <alignment vertical="top"/>
    </xf>
    <xf numFmtId="0" fontId="4" fillId="0" borderId="5" xfId="767" applyFont="1" applyFill="1" applyBorder="1" applyAlignment="1">
      <alignment horizontal="center" vertical="center" wrapText="1"/>
    </xf>
    <xf numFmtId="49" fontId="4" fillId="0" borderId="5" xfId="769" applyNumberFormat="1" applyFont="1" applyFill="1" applyBorder="1" applyAlignment="1">
      <alignment horizontal="center" vertical="center" wrapText="1"/>
    </xf>
    <xf numFmtId="0" fontId="4" fillId="0" borderId="5" xfId="769" applyFont="1" applyFill="1" applyBorder="1" applyAlignment="1">
      <alignment horizontal="center" vertical="center" wrapText="1"/>
    </xf>
    <xf numFmtId="0" fontId="4" fillId="0" borderId="5" xfId="769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773" applyFont="1" applyFill="1"/>
    <xf numFmtId="0" fontId="8" fillId="0" borderId="0" xfId="772" applyFont="1" applyFill="1" applyAlignment="1">
      <alignment horizontal="right" vertical="center"/>
    </xf>
    <xf numFmtId="0" fontId="4" fillId="0" borderId="0" xfId="770" applyFont="1" applyFill="1" applyAlignment="1">
      <alignment vertical="center"/>
    </xf>
    <xf numFmtId="180" fontId="4" fillId="0" borderId="6" xfId="770" applyNumberFormat="1" applyFont="1" applyFill="1" applyBorder="1" applyAlignment="1">
      <alignment vertical="top"/>
    </xf>
    <xf numFmtId="0" fontId="4" fillId="0" borderId="6" xfId="773" applyFont="1" applyFill="1" applyBorder="1"/>
    <xf numFmtId="0" fontId="5" fillId="0" borderId="6" xfId="768" applyFont="1" applyFill="1" applyBorder="1" applyAlignment="1"/>
    <xf numFmtId="49" fontId="5" fillId="0" borderId="6" xfId="770" applyNumberFormat="1" applyFont="1" applyFill="1" applyBorder="1" applyAlignment="1">
      <alignment horizontal="right" vertical="center"/>
    </xf>
    <xf numFmtId="0" fontId="4" fillId="0" borderId="0" xfId="770" applyFont="1" applyFill="1" applyBorder="1" applyAlignment="1">
      <alignment vertical="center"/>
    </xf>
    <xf numFmtId="49" fontId="4" fillId="0" borderId="0" xfId="770" applyNumberFormat="1" applyFont="1" applyFill="1" applyBorder="1" applyAlignment="1">
      <alignment horizontal="center" vertical="center"/>
    </xf>
    <xf numFmtId="0" fontId="5" fillId="0" borderId="0" xfId="768" applyFont="1" applyFill="1" applyBorder="1" applyAlignment="1"/>
    <xf numFmtId="0" fontId="5" fillId="0" borderId="0" xfId="768" applyFont="1" applyFill="1" applyBorder="1" applyAlignment="1">
      <alignment horizontal="right"/>
    </xf>
    <xf numFmtId="3" fontId="11" fillId="0" borderId="0" xfId="775" applyNumberFormat="1" applyFont="1" applyFill="1" applyBorder="1"/>
    <xf numFmtId="0" fontId="4" fillId="0" borderId="0" xfId="775" applyFont="1" applyFill="1" applyBorder="1"/>
    <xf numFmtId="0" fontId="4" fillId="0" borderId="0" xfId="773" applyFont="1" applyFill="1" applyBorder="1"/>
    <xf numFmtId="0" fontId="5" fillId="0" borderId="0" xfId="768" applyFont="1" applyFill="1" applyAlignment="1"/>
    <xf numFmtId="0" fontId="4" fillId="0" borderId="0" xfId="770" applyFont="1" applyFill="1" applyBorder="1" applyAlignment="1">
      <alignment horizontal="right" vertical="center"/>
    </xf>
    <xf numFmtId="0" fontId="8" fillId="0" borderId="8" xfId="770" applyFont="1" applyFill="1" applyBorder="1" applyAlignment="1">
      <alignment horizontal="center" vertical="center" wrapText="1"/>
    </xf>
    <xf numFmtId="3" fontId="8" fillId="0" borderId="0" xfId="773" applyNumberFormat="1" applyFont="1" applyFill="1" applyAlignment="1">
      <alignment vertical="top"/>
    </xf>
    <xf numFmtId="0" fontId="8" fillId="0" borderId="0" xfId="778" applyFont="1" applyFill="1"/>
    <xf numFmtId="0" fontId="10" fillId="0" borderId="0" xfId="760" applyAlignment="1"/>
    <xf numFmtId="0" fontId="8" fillId="0" borderId="0" xfId="772" applyFont="1" applyFill="1" applyAlignment="1">
      <alignment vertical="top"/>
    </xf>
    <xf numFmtId="0" fontId="8" fillId="0" borderId="0" xfId="779" applyNumberFormat="1" applyFont="1" applyFill="1" applyBorder="1" applyAlignment="1">
      <alignment horizontal="left" vertical="center"/>
    </xf>
    <xf numFmtId="49" fontId="8" fillId="0" borderId="0" xfId="772" applyNumberFormat="1" applyFont="1" applyFill="1" applyBorder="1" applyAlignment="1">
      <alignment horizontal="center" vertical="center"/>
    </xf>
    <xf numFmtId="0" fontId="8" fillId="0" borderId="0" xfId="780" applyFont="1" applyFill="1"/>
    <xf numFmtId="0" fontId="8" fillId="0" borderId="5" xfId="772" applyFont="1" applyFill="1" applyBorder="1" applyAlignment="1">
      <alignment vertical="top"/>
    </xf>
    <xf numFmtId="0" fontId="8" fillId="0" borderId="5" xfId="777" applyFont="1" applyFill="1" applyBorder="1"/>
    <xf numFmtId="0" fontId="9" fillId="0" borderId="5" xfId="0" applyFont="1" applyBorder="1" applyAlignment="1">
      <alignment wrapText="1"/>
    </xf>
    <xf numFmtId="49" fontId="4" fillId="0" borderId="10" xfId="769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4" fillId="0" borderId="0" xfId="0" applyFont="1"/>
    <xf numFmtId="3" fontId="4" fillId="0" borderId="10" xfId="769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49" fontId="13" fillId="0" borderId="5" xfId="0" applyNumberFormat="1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8" fillId="0" borderId="0" xfId="732" applyFont="1" applyFill="1" applyAlignment="1" applyProtection="1">
      <alignment horizontal="right"/>
    </xf>
    <xf numFmtId="0" fontId="6" fillId="0" borderId="0" xfId="0" applyFont="1" applyFill="1" applyAlignment="1">
      <alignment horizontal="center" vertical="top"/>
    </xf>
    <xf numFmtId="178" fontId="13" fillId="0" borderId="5" xfId="0" applyNumberFormat="1" applyFont="1" applyFill="1" applyBorder="1" applyAlignment="1">
      <alignment horizontal="right" vertical="top"/>
    </xf>
    <xf numFmtId="178" fontId="8" fillId="0" borderId="5" xfId="0" applyNumberFormat="1" applyFont="1" applyFill="1" applyBorder="1" applyAlignment="1">
      <alignment vertical="top"/>
    </xf>
    <xf numFmtId="178" fontId="8" fillId="0" borderId="5" xfId="0" applyNumberFormat="1" applyFont="1" applyFill="1" applyBorder="1" applyAlignment="1">
      <alignment horizontal="right" vertical="top"/>
    </xf>
    <xf numFmtId="181" fontId="8" fillId="0" borderId="5" xfId="773" applyNumberFormat="1" applyFont="1" applyFill="1" applyBorder="1" applyAlignment="1">
      <alignment vertical="top"/>
    </xf>
    <xf numFmtId="0" fontId="8" fillId="0" borderId="0" xfId="773" applyFont="1" applyFill="1" applyAlignment="1">
      <alignment vertical="top"/>
    </xf>
    <xf numFmtId="4" fontId="8" fillId="0" borderId="0" xfId="773" applyNumberFormat="1" applyFont="1" applyFill="1" applyAlignment="1">
      <alignment vertical="top"/>
    </xf>
    <xf numFmtId="0" fontId="8" fillId="0" borderId="0" xfId="773" applyFont="1" applyFill="1"/>
    <xf numFmtId="49" fontId="8" fillId="0" borderId="5" xfId="771" applyNumberFormat="1" applyFont="1" applyFill="1" applyBorder="1" applyAlignment="1">
      <alignment horizontal="center" vertical="top" wrapText="1"/>
    </xf>
    <xf numFmtId="181" fontId="8" fillId="0" borderId="5" xfId="745" applyNumberFormat="1" applyFont="1" applyFill="1" applyBorder="1" applyAlignment="1">
      <alignment horizontal="center" vertical="top"/>
    </xf>
    <xf numFmtId="181" fontId="8" fillId="0" borderId="5" xfId="770" applyNumberFormat="1" applyFont="1" applyFill="1" applyBorder="1" applyAlignment="1">
      <alignment horizontal="center" vertical="top"/>
    </xf>
    <xf numFmtId="49" fontId="8" fillId="0" borderId="11" xfId="768" applyNumberFormat="1" applyFont="1" applyFill="1" applyBorder="1" applyAlignment="1">
      <alignment horizontal="center" vertical="center" wrapText="1"/>
    </xf>
    <xf numFmtId="49" fontId="8" fillId="0" borderId="12" xfId="768" applyNumberFormat="1" applyFont="1" applyFill="1" applyBorder="1" applyAlignment="1">
      <alignment horizontal="center" vertical="center" wrapText="1"/>
    </xf>
    <xf numFmtId="0" fontId="8" fillId="0" borderId="0" xfId="760" applyFont="1" applyAlignment="1"/>
    <xf numFmtId="49" fontId="8" fillId="0" borderId="13" xfId="772" applyNumberFormat="1" applyFont="1" applyFill="1" applyBorder="1" applyAlignment="1">
      <alignment horizontal="center" vertical="top"/>
    </xf>
    <xf numFmtId="0" fontId="25" fillId="0" borderId="0" xfId="760" applyFont="1" applyAlignment="1"/>
    <xf numFmtId="49" fontId="8" fillId="0" borderId="13" xfId="772" applyNumberFormat="1" applyFont="1" applyFill="1" applyBorder="1" applyAlignment="1">
      <alignment vertical="top"/>
    </xf>
    <xf numFmtId="182" fontId="25" fillId="0" borderId="0" xfId="760" applyNumberFormat="1" applyFont="1" applyAlignment="1"/>
    <xf numFmtId="49" fontId="8" fillId="0" borderId="13" xfId="772" applyNumberFormat="1" applyFont="1" applyFill="1" applyBorder="1" applyAlignment="1">
      <alignment horizontal="left" vertical="top" wrapText="1"/>
    </xf>
    <xf numFmtId="49" fontId="8" fillId="0" borderId="13" xfId="772" applyNumberFormat="1" applyFont="1" applyFill="1" applyBorder="1" applyAlignment="1">
      <alignment vertical="top" wrapText="1"/>
    </xf>
    <xf numFmtId="49" fontId="8" fillId="0" borderId="12" xfId="772" applyNumberFormat="1" applyFont="1" applyFill="1" applyBorder="1" applyAlignment="1">
      <alignment horizontal="center" vertical="top"/>
    </xf>
    <xf numFmtId="49" fontId="8" fillId="0" borderId="12" xfId="772" applyNumberFormat="1" applyFont="1" applyFill="1" applyBorder="1" applyAlignment="1">
      <alignment vertical="top"/>
    </xf>
    <xf numFmtId="49" fontId="8" fillId="0" borderId="14" xfId="772" applyNumberFormat="1" applyFont="1" applyFill="1" applyBorder="1" applyAlignment="1">
      <alignment horizontal="left" vertical="top" wrapText="1"/>
    </xf>
    <xf numFmtId="49" fontId="8" fillId="0" borderId="13" xfId="772" applyNumberFormat="1" applyFont="1" applyFill="1" applyBorder="1" applyAlignment="1">
      <alignment horizontal="justify" vertical="top" wrapText="1"/>
    </xf>
    <xf numFmtId="49" fontId="8" fillId="0" borderId="13" xfId="772" applyNumberFormat="1" applyFont="1" applyFill="1" applyBorder="1" applyAlignment="1">
      <alignment horizontal="center" vertical="top" wrapText="1"/>
    </xf>
    <xf numFmtId="0" fontId="8" fillId="0" borderId="5" xfId="770" applyFont="1" applyBorder="1" applyAlignment="1">
      <alignment vertical="top"/>
    </xf>
    <xf numFmtId="0" fontId="8" fillId="0" borderId="0" xfId="745" applyFont="1" applyFill="1"/>
    <xf numFmtId="0" fontId="8" fillId="0" borderId="5" xfId="780" applyFont="1" applyFill="1" applyBorder="1" applyAlignment="1">
      <alignment wrapText="1"/>
    </xf>
    <xf numFmtId="49" fontId="8" fillId="0" borderId="5" xfId="772" applyNumberFormat="1" applyFont="1" applyFill="1" applyBorder="1" applyAlignment="1">
      <alignment horizontal="center" vertical="top" wrapText="1"/>
    </xf>
    <xf numFmtId="0" fontId="8" fillId="0" borderId="5" xfId="771" applyFont="1" applyBorder="1" applyAlignment="1">
      <alignment vertical="top"/>
    </xf>
    <xf numFmtId="0" fontId="8" fillId="0" borderId="5" xfId="776" applyFont="1" applyBorder="1" applyAlignment="1"/>
    <xf numFmtId="3" fontId="8" fillId="0" borderId="6" xfId="0" applyNumberFormat="1" applyFont="1" applyBorder="1"/>
    <xf numFmtId="0" fontId="8" fillId="0" borderId="5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4" fillId="0" borderId="0" xfId="0" applyFont="1" applyAlignment="1">
      <alignment wrapText="1"/>
    </xf>
    <xf numFmtId="0" fontId="27" fillId="0" borderId="0" xfId="0" applyFont="1" applyAlignment="1">
      <alignment horizontal="center" vertical="top"/>
    </xf>
    <xf numFmtId="0" fontId="4" fillId="0" borderId="6" xfId="0" applyFont="1" applyFill="1" applyBorder="1" applyAlignment="1">
      <alignment vertical="top"/>
    </xf>
    <xf numFmtId="0" fontId="24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top"/>
    </xf>
    <xf numFmtId="0" fontId="27" fillId="0" borderId="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24" fillId="0" borderId="0" xfId="0" applyFont="1" applyFill="1" applyBorder="1"/>
    <xf numFmtId="0" fontId="8" fillId="0" borderId="6" xfId="772" applyNumberFormat="1" applyFont="1" applyFill="1" applyBorder="1" applyAlignment="1">
      <alignment vertical="center" wrapText="1"/>
    </xf>
    <xf numFmtId="179" fontId="8" fillId="0" borderId="0" xfId="760" applyNumberFormat="1" applyFont="1" applyAlignment="1"/>
    <xf numFmtId="178" fontId="8" fillId="0" borderId="0" xfId="760" applyNumberFormat="1" applyFont="1" applyAlignment="1"/>
    <xf numFmtId="0" fontId="24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772" applyFont="1" applyFill="1" applyBorder="1" applyAlignment="1">
      <alignment horizontal="center" vertical="center"/>
    </xf>
    <xf numFmtId="181" fontId="13" fillId="0" borderId="5" xfId="770" applyNumberFormat="1" applyFont="1" applyFill="1" applyBorder="1" applyAlignment="1">
      <alignment horizontal="center" vertical="top"/>
    </xf>
    <xf numFmtId="181" fontId="13" fillId="0" borderId="5" xfId="773" applyNumberFormat="1" applyFont="1" applyFill="1" applyBorder="1" applyAlignment="1">
      <alignment horizontal="center" vertical="top"/>
    </xf>
    <xf numFmtId="181" fontId="8" fillId="0" borderId="5" xfId="773" applyNumberFormat="1" applyFont="1" applyFill="1" applyBorder="1" applyAlignment="1">
      <alignment horizontal="center" vertical="top"/>
    </xf>
    <xf numFmtId="181" fontId="8" fillId="0" borderId="5" xfId="768" applyNumberFormat="1" applyFont="1" applyFill="1" applyBorder="1" applyAlignment="1">
      <alignment horizontal="center" vertical="top"/>
    </xf>
    <xf numFmtId="181" fontId="25" fillId="0" borderId="5" xfId="768" applyNumberFormat="1" applyFont="1" applyFill="1" applyBorder="1" applyAlignment="1">
      <alignment horizontal="center" vertical="top"/>
    </xf>
    <xf numFmtId="181" fontId="8" fillId="0" borderId="5" xfId="775" applyNumberFormat="1" applyFont="1" applyFill="1" applyBorder="1" applyAlignment="1">
      <alignment horizontal="center" vertical="top"/>
    </xf>
    <xf numFmtId="181" fontId="25" fillId="0" borderId="5" xfId="766" applyNumberFormat="1" applyFont="1" applyFill="1" applyBorder="1" applyAlignment="1">
      <alignment horizontal="center" vertical="top"/>
    </xf>
    <xf numFmtId="181" fontId="25" fillId="0" borderId="5" xfId="774" applyNumberFormat="1" applyFont="1" applyFill="1" applyBorder="1" applyAlignment="1">
      <alignment horizontal="center" vertical="top"/>
    </xf>
    <xf numFmtId="181" fontId="8" fillId="0" borderId="5" xfId="773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79" fontId="8" fillId="0" borderId="5" xfId="0" applyNumberFormat="1" applyFont="1" applyFill="1" applyBorder="1" applyAlignment="1">
      <alignment horizontal="center" vertical="top"/>
    </xf>
    <xf numFmtId="179" fontId="13" fillId="0" borderId="5" xfId="0" applyNumberFormat="1" applyFont="1" applyFill="1" applyBorder="1" applyAlignment="1">
      <alignment horizontal="center" vertical="top"/>
    </xf>
    <xf numFmtId="179" fontId="13" fillId="0" borderId="5" xfId="0" applyNumberFormat="1" applyFont="1" applyFill="1" applyBorder="1" applyAlignment="1">
      <alignment horizontal="center" vertical="center"/>
    </xf>
    <xf numFmtId="0" fontId="8" fillId="0" borderId="0" xfId="780" applyFont="1" applyFill="1" applyAlignment="1">
      <alignment horizontal="center"/>
    </xf>
    <xf numFmtId="0" fontId="8" fillId="0" borderId="0" xfId="778" applyFont="1" applyFill="1" applyAlignment="1">
      <alignment horizontal="center"/>
    </xf>
    <xf numFmtId="0" fontId="8" fillId="0" borderId="6" xfId="772" applyNumberFormat="1" applyFont="1" applyFill="1" applyBorder="1" applyAlignment="1">
      <alignment horizontal="center" vertical="center" wrapText="1"/>
    </xf>
    <xf numFmtId="0" fontId="8" fillId="0" borderId="0" xfId="772" applyFont="1" applyFill="1" applyAlignment="1">
      <alignment horizontal="center" vertical="center"/>
    </xf>
    <xf numFmtId="0" fontId="5" fillId="0" borderId="5" xfId="769" applyFont="1" applyBorder="1" applyAlignment="1">
      <alignment vertical="top" wrapText="1"/>
    </xf>
    <xf numFmtId="49" fontId="5" fillId="0" borderId="10" xfId="769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178" fontId="8" fillId="0" borderId="5" xfId="772" applyNumberFormat="1" applyFont="1" applyFill="1" applyBorder="1" applyAlignment="1">
      <alignment vertical="top"/>
    </xf>
    <xf numFmtId="178" fontId="13" fillId="0" borderId="5" xfId="772" applyNumberFormat="1" applyFont="1" applyFill="1" applyBorder="1" applyAlignment="1">
      <alignment vertical="top"/>
    </xf>
    <xf numFmtId="178" fontId="8" fillId="0" borderId="0" xfId="0" applyNumberFormat="1" applyFont="1" applyFill="1" applyAlignment="1"/>
    <xf numFmtId="178" fontId="8" fillId="0" borderId="5" xfId="0" applyNumberFormat="1" applyFont="1" applyFill="1" applyBorder="1" applyAlignment="1">
      <alignment vertical="top" wrapText="1"/>
    </xf>
    <xf numFmtId="178" fontId="13" fillId="0" borderId="5" xfId="0" applyNumberFormat="1" applyFont="1" applyFill="1" applyBorder="1" applyAlignment="1">
      <alignment vertical="top"/>
    </xf>
    <xf numFmtId="178" fontId="8" fillId="0" borderId="0" xfId="778" applyNumberFormat="1" applyFont="1" applyFill="1" applyAlignment="1"/>
    <xf numFmtId="178" fontId="8" fillId="0" borderId="13" xfId="772" applyNumberFormat="1" applyFont="1" applyFill="1" applyBorder="1" applyAlignment="1">
      <alignment vertical="center" wrapText="1"/>
    </xf>
    <xf numFmtId="178" fontId="0" fillId="6" borderId="20" xfId="0" applyNumberFormat="1" applyFill="1" applyBorder="1" applyAlignment="1" applyProtection="1">
      <protection locked="0"/>
    </xf>
    <xf numFmtId="178" fontId="26" fillId="0" borderId="5" xfId="772" applyNumberFormat="1" applyFont="1" applyFill="1" applyBorder="1" applyAlignment="1">
      <alignment vertical="top"/>
    </xf>
    <xf numFmtId="178" fontId="8" fillId="0" borderId="0" xfId="772" applyNumberFormat="1" applyFont="1" applyFill="1" applyBorder="1" applyAlignment="1">
      <alignment vertical="center"/>
    </xf>
    <xf numFmtId="178" fontId="8" fillId="0" borderId="5" xfId="772" applyNumberFormat="1" applyFont="1" applyFill="1" applyBorder="1" applyAlignment="1">
      <alignment vertical="center" wrapText="1"/>
    </xf>
    <xf numFmtId="0" fontId="31" fillId="0" borderId="0" xfId="0" applyFont="1" applyAlignment="1">
      <alignment vertical="top"/>
    </xf>
    <xf numFmtId="3" fontId="31" fillId="0" borderId="0" xfId="0" applyNumberFormat="1" applyFont="1" applyFill="1" applyAlignment="1">
      <alignment vertical="top"/>
    </xf>
    <xf numFmtId="3" fontId="32" fillId="0" borderId="0" xfId="0" applyNumberFormat="1" applyFont="1" applyFill="1" applyAlignment="1">
      <alignment vertical="top"/>
    </xf>
    <xf numFmtId="0" fontId="33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3" fontId="33" fillId="0" borderId="0" xfId="0" applyNumberFormat="1" applyFont="1" applyFill="1" applyAlignment="1">
      <alignment vertical="top"/>
    </xf>
    <xf numFmtId="3" fontId="34" fillId="0" borderId="0" xfId="0" applyNumberFormat="1" applyFont="1" applyFill="1" applyAlignment="1">
      <alignment horizontal="center" vertical="top"/>
    </xf>
    <xf numFmtId="0" fontId="31" fillId="0" borderId="7" xfId="0" applyFont="1" applyBorder="1" applyAlignment="1">
      <alignment vertical="top" wrapText="1"/>
    </xf>
    <xf numFmtId="3" fontId="31" fillId="0" borderId="7" xfId="0" applyNumberFormat="1" applyFont="1" applyFill="1" applyBorder="1" applyAlignment="1">
      <alignment vertical="top" wrapText="1"/>
    </xf>
    <xf numFmtId="0" fontId="31" fillId="0" borderId="7" xfId="0" applyFont="1" applyBorder="1" applyAlignment="1">
      <alignment vertical="top"/>
    </xf>
    <xf numFmtId="3" fontId="31" fillId="0" borderId="7" xfId="0" applyNumberFormat="1" applyFont="1" applyFill="1" applyBorder="1" applyAlignment="1">
      <alignment vertical="top"/>
    </xf>
    <xf numFmtId="0" fontId="31" fillId="0" borderId="5" xfId="0" applyFont="1" applyBorder="1" applyAlignment="1">
      <alignment horizontal="center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vertical="top"/>
    </xf>
    <xf numFmtId="3" fontId="31" fillId="0" borderId="5" xfId="0" applyNumberFormat="1" applyFont="1" applyFill="1" applyBorder="1" applyAlignment="1">
      <alignment vertical="top"/>
    </xf>
    <xf numFmtId="49" fontId="31" fillId="0" borderId="5" xfId="0" applyNumberFormat="1" applyFont="1" applyBorder="1" applyAlignment="1">
      <alignment horizontal="center" vertical="top"/>
    </xf>
    <xf numFmtId="179" fontId="31" fillId="0" borderId="0" xfId="0" applyNumberFormat="1" applyFont="1" applyAlignment="1">
      <alignment vertical="top"/>
    </xf>
    <xf numFmtId="0" fontId="31" fillId="0" borderId="5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31" fillId="0" borderId="9" xfId="0" applyFont="1" applyBorder="1" applyAlignment="1">
      <alignment vertical="top"/>
    </xf>
    <xf numFmtId="3" fontId="31" fillId="0" borderId="6" xfId="0" applyNumberFormat="1" applyFont="1" applyFill="1" applyBorder="1" applyAlignment="1">
      <alignment vertical="top"/>
    </xf>
    <xf numFmtId="0" fontId="31" fillId="0" borderId="0" xfId="0" applyFont="1" applyAlignment="1"/>
    <xf numFmtId="0" fontId="31" fillId="0" borderId="0" xfId="0" applyFont="1" applyBorder="1" applyAlignment="1">
      <alignment vertical="top"/>
    </xf>
    <xf numFmtId="3" fontId="31" fillId="0" borderId="0" xfId="0" applyNumberFormat="1" applyFont="1" applyFill="1" applyAlignment="1">
      <alignment horizontal="right"/>
    </xf>
    <xf numFmtId="3" fontId="31" fillId="0" borderId="0" xfId="732" applyNumberFormat="1" applyFont="1" applyFill="1" applyAlignment="1" applyProtection="1">
      <alignment horizontal="right"/>
    </xf>
    <xf numFmtId="0" fontId="35" fillId="0" borderId="0" xfId="0" applyFont="1" applyAlignment="1"/>
    <xf numFmtId="0" fontId="35" fillId="0" borderId="0" xfId="0" applyFont="1"/>
    <xf numFmtId="3" fontId="31" fillId="0" borderId="0" xfId="772" applyNumberFormat="1" applyFont="1" applyFill="1" applyBorder="1" applyAlignment="1">
      <alignment horizontal="right" vertical="center"/>
    </xf>
    <xf numFmtId="0" fontId="31" fillId="0" borderId="0" xfId="0" applyFont="1"/>
    <xf numFmtId="0" fontId="35" fillId="0" borderId="0" xfId="0" applyFont="1" applyAlignment="1">
      <alignment horizontal="left" wrapText="1"/>
    </xf>
    <xf numFmtId="3" fontId="33" fillId="0" borderId="9" xfId="0" applyNumberFormat="1" applyFont="1" applyFill="1" applyBorder="1" applyAlignment="1">
      <alignment horizontal="center" vertical="top"/>
    </xf>
    <xf numFmtId="181" fontId="8" fillId="0" borderId="0" xfId="773" applyNumberFormat="1" applyFont="1" applyFill="1"/>
    <xf numFmtId="0" fontId="10" fillId="0" borderId="0" xfId="0" applyFont="1"/>
    <xf numFmtId="179" fontId="8" fillId="0" borderId="5" xfId="0" applyNumberFormat="1" applyFont="1" applyFill="1" applyBorder="1" applyAlignment="1">
      <alignment horizontal="right" vertical="top"/>
    </xf>
    <xf numFmtId="179" fontId="13" fillId="0" borderId="5" xfId="0" applyNumberFormat="1" applyFont="1" applyFill="1" applyBorder="1" applyAlignment="1">
      <alignment horizontal="right" vertical="top"/>
    </xf>
    <xf numFmtId="0" fontId="36" fillId="0" borderId="18" xfId="0" applyFont="1" applyBorder="1" applyAlignment="1">
      <alignment wrapText="1"/>
    </xf>
    <xf numFmtId="0" fontId="37" fillId="0" borderId="18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18" xfId="0" applyFont="1" applyBorder="1" applyAlignment="1">
      <alignment wrapText="1"/>
    </xf>
    <xf numFmtId="0" fontId="38" fillId="0" borderId="18" xfId="0" applyFont="1" applyBorder="1" applyAlignment="1">
      <alignment horizontal="center" wrapText="1"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19" xfId="0" applyFont="1" applyBorder="1" applyAlignment="1">
      <alignment horizontal="center" wrapText="1"/>
    </xf>
    <xf numFmtId="3" fontId="37" fillId="0" borderId="18" xfId="0" applyNumberFormat="1" applyFont="1" applyBorder="1" applyAlignment="1">
      <alignment horizontal="right" wrapText="1"/>
    </xf>
    <xf numFmtId="3" fontId="38" fillId="0" borderId="0" xfId="0" applyNumberFormat="1" applyFont="1" applyAlignment="1">
      <alignment horizontal="right" wrapText="1"/>
    </xf>
    <xf numFmtId="3" fontId="37" fillId="0" borderId="0" xfId="0" applyNumberFormat="1" applyFont="1" applyAlignment="1">
      <alignment horizontal="right" wrapText="1"/>
    </xf>
    <xf numFmtId="3" fontId="38" fillId="0" borderId="18" xfId="0" applyNumberFormat="1" applyFont="1" applyBorder="1" applyAlignment="1">
      <alignment horizontal="right" wrapText="1"/>
    </xf>
    <xf numFmtId="3" fontId="38" fillId="0" borderId="19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38" fillId="7" borderId="0" xfId="0" applyNumberFormat="1" applyFont="1" applyFill="1" applyAlignment="1">
      <alignment horizontal="right" wrapText="1"/>
    </xf>
    <xf numFmtId="179" fontId="8" fillId="0" borderId="0" xfId="0" applyNumberFormat="1" applyFont="1" applyFill="1" applyAlignment="1">
      <alignment horizontal="center"/>
    </xf>
    <xf numFmtId="0" fontId="38" fillId="0" borderId="0" xfId="0" applyFont="1"/>
    <xf numFmtId="3" fontId="38" fillId="0" borderId="0" xfId="0" applyNumberFormat="1" applyFont="1" applyAlignment="1">
      <alignment wrapText="1"/>
    </xf>
    <xf numFmtId="3" fontId="37" fillId="7" borderId="0" xfId="0" applyNumberFormat="1" applyFont="1" applyFill="1" applyAlignment="1">
      <alignment horizontal="right" wrapText="1"/>
    </xf>
    <xf numFmtId="178" fontId="8" fillId="0" borderId="0" xfId="0" applyNumberFormat="1" applyFont="1" applyFill="1" applyAlignment="1">
      <alignment horizontal="right"/>
    </xf>
    <xf numFmtId="0" fontId="13" fillId="0" borderId="5" xfId="0" applyFont="1" applyFill="1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9" fillId="0" borderId="18" xfId="0" applyFont="1" applyBorder="1" applyAlignment="1">
      <alignment wrapText="1"/>
    </xf>
    <xf numFmtId="0" fontId="40" fillId="0" borderId="18" xfId="0" applyFont="1" applyBorder="1" applyAlignment="1">
      <alignment horizontal="center" wrapText="1"/>
    </xf>
    <xf numFmtId="0" fontId="40" fillId="0" borderId="18" xfId="0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3" fontId="0" fillId="0" borderId="0" xfId="0" applyNumberFormat="1"/>
    <xf numFmtId="3" fontId="30" fillId="0" borderId="0" xfId="0" applyNumberFormat="1" applyFont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8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3" fontId="40" fillId="0" borderId="0" xfId="0" applyNumberFormat="1" applyFont="1" applyAlignment="1">
      <alignment wrapText="1"/>
    </xf>
    <xf numFmtId="3" fontId="40" fillId="0" borderId="0" xfId="0" applyNumberFormat="1" applyFont="1" applyAlignment="1">
      <alignment horizontal="right" wrapText="1"/>
    </xf>
    <xf numFmtId="0" fontId="40" fillId="0" borderId="18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30" fillId="0" borderId="19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wrapText="1"/>
    </xf>
    <xf numFmtId="0" fontId="30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30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right" wrapText="1"/>
    </xf>
    <xf numFmtId="0" fontId="30" fillId="0" borderId="19" xfId="0" applyFont="1" applyBorder="1" applyAlignment="1">
      <alignment vertical="top" wrapText="1"/>
    </xf>
    <xf numFmtId="0" fontId="40" fillId="0" borderId="19" xfId="0" applyFont="1" applyBorder="1" applyAlignment="1">
      <alignment vertical="top" wrapText="1"/>
    </xf>
    <xf numFmtId="0" fontId="40" fillId="0" borderId="19" xfId="0" applyFont="1" applyBorder="1" applyAlignment="1">
      <alignment horizontal="right" wrapText="1"/>
    </xf>
    <xf numFmtId="0" fontId="40" fillId="0" borderId="18" xfId="0" applyFont="1" applyBorder="1" applyAlignment="1">
      <alignment vertical="top" wrapText="1"/>
    </xf>
    <xf numFmtId="3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3" fillId="0" borderId="0" xfId="0" applyFont="1" applyAlignment="1">
      <alignment vertical="top" wrapText="1"/>
    </xf>
    <xf numFmtId="0" fontId="10" fillId="0" borderId="0" xfId="0" applyFont="1" applyAlignment="1">
      <alignment horizontal="right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 wrapText="1"/>
    </xf>
    <xf numFmtId="0" fontId="44" fillId="0" borderId="18" xfId="0" applyFont="1" applyBorder="1" applyAlignment="1">
      <alignment horizontal="right" vertical="top" wrapText="1"/>
    </xf>
    <xf numFmtId="0" fontId="44" fillId="0" borderId="0" xfId="0" applyFont="1" applyAlignment="1">
      <alignment horizontal="center" wrapText="1"/>
    </xf>
    <xf numFmtId="0" fontId="10" fillId="0" borderId="3" xfId="0" applyFont="1" applyBorder="1" applyAlignment="1">
      <alignment wrapText="1"/>
    </xf>
    <xf numFmtId="0" fontId="44" fillId="0" borderId="3" xfId="0" applyFont="1" applyBorder="1" applyAlignment="1">
      <alignment horizontal="center" wrapText="1"/>
    </xf>
    <xf numFmtId="0" fontId="44" fillId="0" borderId="3" xfId="0" applyFont="1" applyBorder="1" applyAlignment="1">
      <alignment wrapText="1"/>
    </xf>
    <xf numFmtId="0" fontId="44" fillId="0" borderId="0" xfId="0" applyFont="1" applyAlignment="1">
      <alignment horizontal="left" wrapText="1" indent="1"/>
    </xf>
    <xf numFmtId="0" fontId="10" fillId="0" borderId="0" xfId="0" applyFont="1" applyAlignment="1">
      <alignment horizontal="center" wrapText="1"/>
    </xf>
    <xf numFmtId="3" fontId="44" fillId="0" borderId="0" xfId="0" applyNumberFormat="1" applyFont="1" applyAlignment="1">
      <alignment wrapText="1"/>
    </xf>
    <xf numFmtId="0" fontId="10" fillId="0" borderId="18" xfId="0" applyFont="1" applyBorder="1" applyAlignment="1">
      <alignment horizontal="left" wrapText="1" inden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horizontal="justify" wrapText="1"/>
    </xf>
    <xf numFmtId="0" fontId="10" fillId="0" borderId="19" xfId="0" applyFont="1" applyBorder="1" applyAlignment="1">
      <alignment horizontal="left" wrapText="1" indent="1"/>
    </xf>
    <xf numFmtId="0" fontId="44" fillId="0" borderId="19" xfId="0" applyFont="1" applyBorder="1" applyAlignment="1">
      <alignment horizontal="center" wrapText="1"/>
    </xf>
    <xf numFmtId="0" fontId="44" fillId="0" borderId="19" xfId="0" applyFont="1" applyBorder="1" applyAlignment="1">
      <alignment wrapText="1"/>
    </xf>
    <xf numFmtId="0" fontId="45" fillId="0" borderId="0" xfId="0" applyFont="1" applyAlignment="1">
      <alignment horizontal="justify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horizontal="justify" wrapText="1"/>
    </xf>
    <xf numFmtId="0" fontId="37" fillId="0" borderId="18" xfId="0" applyFont="1" applyBorder="1" applyAlignment="1">
      <alignment horizontal="right" wrapText="1"/>
    </xf>
    <xf numFmtId="3" fontId="37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0" fontId="47" fillId="0" borderId="0" xfId="0" applyFont="1" applyAlignment="1">
      <alignment horizontal="left" indent="2"/>
    </xf>
    <xf numFmtId="3" fontId="31" fillId="0" borderId="0" xfId="0" applyNumberFormat="1" applyFont="1" applyAlignment="1">
      <alignment vertical="top"/>
    </xf>
    <xf numFmtId="4" fontId="31" fillId="0" borderId="0" xfId="0" applyNumberFormat="1" applyFont="1" applyAlignment="1">
      <alignment vertical="top"/>
    </xf>
    <xf numFmtId="179" fontId="8" fillId="0" borderId="0" xfId="0" applyNumberFormat="1" applyFont="1"/>
    <xf numFmtId="0" fontId="40" fillId="0" borderId="18" xfId="0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0" fillId="0" borderId="18" xfId="0" applyNumberFormat="1" applyFont="1" applyBorder="1" applyAlignment="1">
      <alignment wrapText="1"/>
    </xf>
    <xf numFmtId="3" fontId="30" fillId="0" borderId="0" xfId="0" applyNumberFormat="1" applyFont="1"/>
    <xf numFmtId="3" fontId="30" fillId="0" borderId="0" xfId="0" applyNumberFormat="1" applyFont="1" applyAlignment="1">
      <alignment horizontal="right" vertical="center" wrapText="1"/>
    </xf>
    <xf numFmtId="3" fontId="30" fillId="0" borderId="18" xfId="0" applyNumberFormat="1" applyFont="1" applyBorder="1" applyAlignment="1">
      <alignment horizontal="right" wrapText="1"/>
    </xf>
    <xf numFmtId="3" fontId="40" fillId="0" borderId="18" xfId="0" applyNumberFormat="1" applyFont="1" applyBorder="1" applyAlignment="1">
      <alignment horizontal="right" wrapText="1"/>
    </xf>
    <xf numFmtId="3" fontId="40" fillId="0" borderId="19" xfId="0" applyNumberFormat="1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3" fontId="40" fillId="0" borderId="0" xfId="0" applyNumberFormat="1" applyFont="1"/>
    <xf numFmtId="3" fontId="40" fillId="0" borderId="0" xfId="0" applyNumberFormat="1" applyFont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0" fillId="0" borderId="19" xfId="0" applyNumberFormat="1" applyFont="1" applyBorder="1" applyAlignment="1">
      <alignment wrapText="1"/>
    </xf>
    <xf numFmtId="3" fontId="30" fillId="0" borderId="18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10" fillId="0" borderId="18" xfId="0" applyNumberFormat="1" applyFont="1" applyBorder="1" applyAlignment="1">
      <alignment wrapText="1"/>
    </xf>
    <xf numFmtId="3" fontId="44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/>
    <xf numFmtId="3" fontId="38" fillId="0" borderId="18" xfId="0" applyNumberFormat="1" applyFont="1" applyBorder="1" applyAlignment="1">
      <alignment wrapText="1"/>
    </xf>
    <xf numFmtId="3" fontId="51" fillId="0" borderId="0" xfId="0" applyNumberFormat="1" applyFont="1"/>
    <xf numFmtId="3" fontId="51" fillId="0" borderId="0" xfId="0" applyNumberFormat="1" applyFont="1" applyAlignment="1">
      <alignment vertical="center" wrapText="1"/>
    </xf>
    <xf numFmtId="3" fontId="50" fillId="0" borderId="0" xfId="0" applyNumberFormat="1" applyFont="1" applyAlignment="1">
      <alignment vertical="center" wrapText="1"/>
    </xf>
    <xf numFmtId="3" fontId="37" fillId="0" borderId="18" xfId="0" applyNumberFormat="1" applyFont="1" applyBorder="1" applyAlignment="1">
      <alignment wrapText="1"/>
    </xf>
    <xf numFmtId="3" fontId="8" fillId="0" borderId="0" xfId="773" applyNumberFormat="1" applyFont="1" applyFill="1"/>
    <xf numFmtId="3" fontId="8" fillId="0" borderId="0" xfId="0" applyNumberFormat="1" applyFont="1" applyFill="1"/>
    <xf numFmtId="178" fontId="8" fillId="0" borderId="0" xfId="0" applyNumberFormat="1" applyFont="1" applyFill="1"/>
    <xf numFmtId="3" fontId="8" fillId="0" borderId="0" xfId="0" applyNumberFormat="1" applyFont="1"/>
    <xf numFmtId="3" fontId="44" fillId="9" borderId="0" xfId="0" applyNumberFormat="1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10" fillId="9" borderId="0" xfId="0" applyNumberFormat="1" applyFont="1" applyFill="1" applyAlignment="1">
      <alignment vertical="center" wrapText="1"/>
    </xf>
    <xf numFmtId="0" fontId="54" fillId="10" borderId="5" xfId="0" applyFont="1" applyFill="1" applyBorder="1"/>
    <xf numFmtId="0" fontId="56" fillId="6" borderId="0" xfId="0" applyFont="1" applyFill="1"/>
    <xf numFmtId="0" fontId="54" fillId="6" borderId="0" xfId="0" applyFont="1" applyFill="1"/>
    <xf numFmtId="0" fontId="0" fillId="11" borderId="0" xfId="0" applyFill="1"/>
    <xf numFmtId="0" fontId="0" fillId="12" borderId="0" xfId="0" applyFill="1"/>
    <xf numFmtId="0" fontId="57" fillId="13" borderId="0" xfId="0" applyFont="1" applyFill="1" applyBorder="1" applyAlignment="1" applyProtection="1">
      <alignment horizontal="left" indent="1"/>
    </xf>
    <xf numFmtId="0" fontId="0" fillId="13" borderId="0" xfId="0" applyFill="1" applyAlignment="1">
      <alignment horizontal="center" vertical="center"/>
    </xf>
    <xf numFmtId="0" fontId="0" fillId="13" borderId="0" xfId="0" applyFill="1"/>
    <xf numFmtId="0" fontId="0" fillId="6" borderId="0" xfId="0" applyFill="1"/>
    <xf numFmtId="0" fontId="54" fillId="13" borderId="0" xfId="0" applyFont="1" applyFill="1"/>
    <xf numFmtId="0" fontId="54" fillId="10" borderId="12" xfId="0" applyFont="1" applyFill="1" applyBorder="1"/>
    <xf numFmtId="0" fontId="54" fillId="10" borderId="16" xfId="0" applyFont="1" applyFill="1" applyBorder="1"/>
    <xf numFmtId="0" fontId="58" fillId="13" borderId="0" xfId="0" applyFont="1" applyFill="1"/>
    <xf numFmtId="0" fontId="54" fillId="4" borderId="5" xfId="0" applyFont="1" applyFill="1" applyBorder="1"/>
    <xf numFmtId="0" fontId="0" fillId="6" borderId="5" xfId="0" applyFill="1" applyBorder="1"/>
    <xf numFmtId="0" fontId="54" fillId="13" borderId="0" xfId="0" applyFont="1" applyFill="1" applyAlignment="1">
      <alignment horizontal="left" indent="1"/>
    </xf>
    <xf numFmtId="0" fontId="0" fillId="7" borderId="0" xfId="0" applyFill="1"/>
    <xf numFmtId="172" fontId="59" fillId="0" borderId="0" xfId="753" applyNumberFormat="1" applyFont="1" applyFill="1" applyAlignment="1">
      <alignment horizontal="left"/>
    </xf>
    <xf numFmtId="0" fontId="60" fillId="13" borderId="0" xfId="0" applyFont="1" applyFill="1" applyAlignment="1"/>
    <xf numFmtId="0" fontId="61" fillId="1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14" borderId="0" xfId="0" applyFill="1"/>
    <xf numFmtId="0" fontId="54" fillId="15" borderId="11" xfId="759" applyNumberFormat="1" applyFont="1" applyFill="1" applyBorder="1" applyAlignment="1" applyProtection="1">
      <alignment horizontal="center" vertical="center" wrapText="1"/>
      <protection hidden="1"/>
    </xf>
    <xf numFmtId="0" fontId="0" fillId="15" borderId="11" xfId="0" applyNumberFormat="1" applyFill="1" applyBorder="1" applyAlignment="1">
      <alignment horizontal="center"/>
    </xf>
    <xf numFmtId="0" fontId="0" fillId="15" borderId="11" xfId="0" applyNumberFormat="1" applyFill="1" applyBorder="1" applyAlignment="1">
      <alignment horizontal="center" vertical="center"/>
    </xf>
    <xf numFmtId="0" fontId="0" fillId="15" borderId="8" xfId="0" applyNumberFormat="1" applyFill="1" applyBorder="1" applyAlignment="1">
      <alignment horizontal="center"/>
    </xf>
    <xf numFmtId="0" fontId="54" fillId="15" borderId="8" xfId="0" applyNumberFormat="1" applyFont="1" applyFill="1" applyBorder="1" applyAlignment="1">
      <alignment horizontal="center" vertical="center" wrapText="1"/>
    </xf>
    <xf numFmtId="0" fontId="0" fillId="6" borderId="5" xfId="0" applyNumberFormat="1" applyFill="1" applyBorder="1"/>
    <xf numFmtId="0" fontId="0" fillId="14" borderId="0" xfId="0" applyFill="1" applyAlignment="1"/>
    <xf numFmtId="0" fontId="0" fillId="6" borderId="5" xfId="0" applyNumberFormat="1" applyFill="1" applyBorder="1" applyAlignment="1" applyProtection="1">
      <alignment horizontal="left" wrapText="1" indent="1"/>
      <protection hidden="1"/>
    </xf>
    <xf numFmtId="0" fontId="0" fillId="6" borderId="5" xfId="0" applyNumberFormat="1" applyFill="1" applyBorder="1" applyAlignment="1" applyProtection="1">
      <alignment horizontal="center" vertical="center" wrapText="1"/>
      <protection hidden="1"/>
    </xf>
    <xf numFmtId="178" fontId="7" fillId="16" borderId="20" xfId="753" applyNumberFormat="1" applyFill="1" applyBorder="1" applyAlignment="1">
      <alignment horizontal="right"/>
    </xf>
    <xf numFmtId="0" fontId="54" fillId="10" borderId="9" xfId="0" applyFont="1" applyFill="1" applyBorder="1"/>
    <xf numFmtId="49" fontId="54" fillId="4" borderId="5" xfId="0" applyNumberFormat="1" applyFont="1" applyFill="1" applyBorder="1"/>
    <xf numFmtId="49" fontId="0" fillId="6" borderId="5" xfId="0" applyNumberFormat="1" applyFill="1" applyBorder="1"/>
    <xf numFmtId="0" fontId="54" fillId="13" borderId="5" xfId="0" applyFont="1" applyFill="1" applyBorder="1" applyAlignment="1" applyProtection="1">
      <alignment horizontal="left" wrapText="1" indent="1"/>
      <protection hidden="1"/>
    </xf>
    <xf numFmtId="0" fontId="0" fillId="6" borderId="5" xfId="0" applyNumberFormat="1" applyFill="1" applyBorder="1" applyAlignment="1" applyProtection="1">
      <alignment horizontal="center" vertical="center" wrapText="1"/>
    </xf>
    <xf numFmtId="0" fontId="62" fillId="17" borderId="20" xfId="0" applyFont="1" applyFill="1" applyBorder="1"/>
    <xf numFmtId="178" fontId="7" fillId="16" borderId="21" xfId="753" applyNumberFormat="1" applyFill="1" applyBorder="1" applyAlignment="1">
      <alignment horizontal="right" wrapText="1"/>
    </xf>
    <xf numFmtId="0" fontId="0" fillId="6" borderId="0" xfId="0" applyFill="1" applyBorder="1"/>
    <xf numFmtId="0" fontId="54" fillId="18" borderId="5" xfId="0" applyNumberFormat="1" applyFont="1" applyFill="1" applyBorder="1" applyAlignment="1" applyProtection="1">
      <alignment horizontal="left" wrapText="1" indent="1"/>
      <protection hidden="1"/>
    </xf>
    <xf numFmtId="178" fontId="7" fillId="18" borderId="5" xfId="753" applyNumberFormat="1" applyFill="1" applyBorder="1" applyAlignment="1">
      <alignment horizontal="right" wrapText="1"/>
    </xf>
    <xf numFmtId="49" fontId="0" fillId="6" borderId="0" xfId="0" applyNumberFormat="1" applyFill="1"/>
    <xf numFmtId="0" fontId="63" fillId="15" borderId="14" xfId="0" applyFont="1" applyFill="1" applyBorder="1" applyAlignment="1" applyProtection="1">
      <alignment vertical="top"/>
      <protection hidden="1"/>
    </xf>
    <xf numFmtId="0" fontId="0" fillId="14" borderId="0" xfId="0" applyFill="1" applyAlignment="1">
      <alignment horizontal="center"/>
    </xf>
    <xf numFmtId="178" fontId="0" fillId="6" borderId="20" xfId="0" applyNumberFormat="1" applyFill="1" applyBorder="1" applyAlignment="1" applyProtection="1">
      <alignment horizontal="right"/>
      <protection locked="0"/>
    </xf>
    <xf numFmtId="0" fontId="54" fillId="18" borderId="5" xfId="0" applyFont="1" applyFill="1" applyBorder="1" applyAlignment="1" applyProtection="1">
      <alignment horizontal="left" wrapText="1" indent="1"/>
      <protection hidden="1"/>
    </xf>
    <xf numFmtId="178" fontId="54" fillId="18" borderId="5" xfId="0" applyNumberFormat="1" applyFont="1" applyFill="1" applyBorder="1" applyAlignment="1" applyProtection="1">
      <alignment horizontal="right"/>
      <protection hidden="1"/>
    </xf>
    <xf numFmtId="0" fontId="0" fillId="6" borderId="5" xfId="0" applyNumberFormat="1" applyFill="1" applyBorder="1" applyAlignment="1">
      <alignment horizontal="left" vertical="top"/>
    </xf>
    <xf numFmtId="0" fontId="0" fillId="12" borderId="0" xfId="0" applyFill="1" applyAlignment="1"/>
    <xf numFmtId="0" fontId="54" fillId="18" borderId="5" xfId="0" applyNumberFormat="1" applyFont="1" applyFill="1" applyBorder="1" applyAlignment="1" applyProtection="1">
      <alignment horizontal="left" wrapText="1" indent="1"/>
    </xf>
    <xf numFmtId="0" fontId="64" fillId="0" borderId="0" xfId="0" applyFont="1"/>
    <xf numFmtId="0" fontId="0" fillId="6" borderId="0" xfId="0" applyFill="1" applyBorder="1" applyProtection="1"/>
    <xf numFmtId="0" fontId="54" fillId="10" borderId="13" xfId="0" applyFont="1" applyFill="1" applyBorder="1"/>
    <xf numFmtId="0" fontId="54" fillId="10" borderId="7" xfId="0" applyFont="1" applyFill="1" applyBorder="1"/>
    <xf numFmtId="0" fontId="54" fillId="10" borderId="10" xfId="0" applyFont="1" applyFill="1" applyBorder="1"/>
    <xf numFmtId="0" fontId="0" fillId="6" borderId="12" xfId="0" applyFill="1" applyBorder="1"/>
    <xf numFmtId="0" fontId="0" fillId="6" borderId="9" xfId="0" applyFill="1" applyBorder="1"/>
    <xf numFmtId="0" fontId="0" fillId="6" borderId="16" xfId="0" applyFill="1" applyBorder="1"/>
    <xf numFmtId="0" fontId="0" fillId="6" borderId="15" xfId="0" applyFill="1" applyBorder="1"/>
    <xf numFmtId="0" fontId="0" fillId="12" borderId="0" xfId="0" applyNumberFormat="1" applyFill="1" applyBorder="1" applyAlignment="1">
      <alignment horizontal="left"/>
    </xf>
    <xf numFmtId="0" fontId="0" fillId="6" borderId="22" xfId="0" applyFill="1" applyBorder="1"/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6" borderId="22" xfId="0" applyFill="1" applyBorder="1" applyProtection="1">
      <protection hidden="1"/>
    </xf>
    <xf numFmtId="0" fontId="0" fillId="6" borderId="0" xfId="0" applyFill="1" applyBorder="1" applyProtection="1">
      <protection locked="0"/>
    </xf>
    <xf numFmtId="178" fontId="7" fillId="16" borderId="20" xfId="753" applyNumberFormat="1" applyFill="1" applyBorder="1" applyAlignment="1">
      <alignment horizontal="right" wrapText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ill="1" applyAlignment="1" applyProtection="1">
      <alignment horizontal="left" indent="1"/>
      <protection hidden="1"/>
    </xf>
    <xf numFmtId="0" fontId="0" fillId="6" borderId="0" xfId="0" applyFill="1" applyAlignment="1" applyProtection="1">
      <alignment horizontal="left" indent="2"/>
      <protection hidden="1"/>
    </xf>
    <xf numFmtId="0" fontId="0" fillId="6" borderId="0" xfId="0" applyFill="1" applyAlignment="1" applyProtection="1">
      <alignment horizontal="left" indent="3"/>
      <protection hidden="1"/>
    </xf>
    <xf numFmtId="0" fontId="0" fillId="6" borderId="0" xfId="0" applyFill="1" applyAlignment="1" applyProtection="1">
      <alignment horizontal="left" indent="4"/>
      <protection hidden="1"/>
    </xf>
    <xf numFmtId="0" fontId="0" fillId="6" borderId="0" xfId="0" applyFill="1" applyAlignment="1" applyProtection="1">
      <alignment horizontal="left" indent="5"/>
      <protection hidden="1"/>
    </xf>
    <xf numFmtId="186" fontId="0" fillId="6" borderId="20" xfId="0" applyNumberFormat="1" applyFill="1" applyBorder="1" applyAlignment="1" applyProtection="1">
      <alignment horizontal="right"/>
      <protection locked="0"/>
    </xf>
    <xf numFmtId="0" fontId="58" fillId="13" borderId="0" xfId="0" applyFont="1" applyFill="1" applyAlignment="1">
      <alignment horizontal="left" indent="1"/>
    </xf>
    <xf numFmtId="172" fontId="59" fillId="0" borderId="0" xfId="753" applyNumberFormat="1" applyFont="1" applyFill="1" applyAlignment="1">
      <alignment horizontal="right"/>
    </xf>
    <xf numFmtId="0" fontId="54" fillId="15" borderId="11" xfId="759" applyNumberFormat="1" applyFont="1" applyFill="1" applyBorder="1" applyAlignment="1">
      <alignment horizontal="center" vertical="center" wrapText="1"/>
    </xf>
    <xf numFmtId="0" fontId="54" fillId="18" borderId="5" xfId="0" applyFont="1" applyFill="1" applyBorder="1" applyAlignment="1" applyProtection="1">
      <alignment horizontal="left" wrapText="1"/>
      <protection hidden="1"/>
    </xf>
    <xf numFmtId="0" fontId="54" fillId="18" borderId="5" xfId="0" applyFont="1" applyFill="1" applyBorder="1" applyAlignment="1" applyProtection="1">
      <alignment horizontal="center" vertical="center" wrapText="1"/>
      <protection hidden="1"/>
    </xf>
    <xf numFmtId="0" fontId="0" fillId="6" borderId="5" xfId="0" applyNumberFormat="1" applyFill="1" applyBorder="1" applyAlignment="1" applyProtection="1">
      <alignment horizontal="left" wrapText="1" indent="1"/>
    </xf>
    <xf numFmtId="0" fontId="65" fillId="13" borderId="0" xfId="0" applyFont="1" applyFill="1"/>
    <xf numFmtId="0" fontId="0" fillId="6" borderId="5" xfId="0" applyNumberFormat="1" applyFill="1" applyBorder="1" applyAlignment="1" applyProtection="1">
      <alignment horizontal="left" wrapText="1" indent="2"/>
    </xf>
    <xf numFmtId="0" fontId="54" fillId="18" borderId="5" xfId="0" applyFont="1" applyFill="1" applyBorder="1" applyAlignment="1" applyProtection="1">
      <alignment horizontal="left" wrapText="1" indent="2"/>
      <protection hidden="1"/>
    </xf>
    <xf numFmtId="0" fontId="0" fillId="14" borderId="5" xfId="0" applyNumberFormat="1" applyFill="1" applyBorder="1" applyAlignment="1" applyProtection="1">
      <alignment horizontal="left"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left" indent="1"/>
    </xf>
    <xf numFmtId="0" fontId="0" fillId="6" borderId="0" xfId="0" applyFill="1" applyAlignment="1">
      <alignment horizontal="left" indent="2"/>
    </xf>
    <xf numFmtId="0" fontId="0" fillId="6" borderId="0" xfId="0" applyFill="1" applyAlignment="1">
      <alignment horizontal="left" indent="3"/>
    </xf>
    <xf numFmtId="0" fontId="0" fillId="6" borderId="0" xfId="0" applyFill="1" applyAlignment="1">
      <alignment horizontal="left" indent="4"/>
    </xf>
    <xf numFmtId="0" fontId="0" fillId="6" borderId="0" xfId="0" applyFill="1" applyAlignment="1">
      <alignment horizontal="left" indent="5"/>
    </xf>
    <xf numFmtId="0" fontId="0" fillId="6" borderId="0" xfId="0" applyFill="1" applyAlignment="1">
      <alignment horizontal="center"/>
    </xf>
    <xf numFmtId="0" fontId="0" fillId="19" borderId="5" xfId="0" applyFill="1" applyBorder="1" applyAlignment="1">
      <alignment horizontal="left" wrapText="1" indent="1"/>
    </xf>
    <xf numFmtId="0" fontId="0" fillId="14" borderId="0" xfId="0" quotePrefix="1" applyFill="1"/>
    <xf numFmtId="0" fontId="54" fillId="15" borderId="8" xfId="0" applyNumberFormat="1" applyFont="1" applyFill="1" applyBorder="1" applyAlignment="1">
      <alignment horizontal="center" vertical="center"/>
    </xf>
    <xf numFmtId="0" fontId="54" fillId="18" borderId="5" xfId="0" applyFont="1" applyFill="1" applyBorder="1" applyAlignment="1" applyProtection="1">
      <alignment horizontal="left" wrapText="1" indent="3"/>
      <protection hidden="1"/>
    </xf>
    <xf numFmtId="0" fontId="0" fillId="6" borderId="5" xfId="0" applyNumberFormat="1" applyFill="1" applyBorder="1" applyAlignment="1" applyProtection="1">
      <alignment horizontal="left" wrapText="1" indent="4"/>
      <protection hidden="1"/>
    </xf>
    <xf numFmtId="0" fontId="54" fillId="18" borderId="5" xfId="0" applyFont="1" applyFill="1" applyBorder="1" applyAlignment="1" applyProtection="1">
      <alignment horizontal="left" wrapText="1" indent="4"/>
      <protection hidden="1"/>
    </xf>
    <xf numFmtId="0" fontId="0" fillId="6" borderId="5" xfId="0" applyNumberFormat="1" applyFill="1" applyBorder="1" applyAlignment="1" applyProtection="1">
      <alignment horizontal="left" wrapText="1" indent="5"/>
      <protection hidden="1"/>
    </xf>
    <xf numFmtId="0" fontId="0" fillId="7" borderId="5" xfId="0" applyFill="1" applyBorder="1"/>
    <xf numFmtId="0" fontId="0" fillId="6" borderId="5" xfId="0" applyNumberFormat="1" applyFill="1" applyBorder="1" applyAlignment="1" applyProtection="1">
      <alignment horizontal="left" wrapText="1" indent="1"/>
      <protection locked="0" hidden="1"/>
    </xf>
    <xf numFmtId="0" fontId="0" fillId="6" borderId="5" xfId="0" applyNumberFormat="1" applyFill="1" applyBorder="1" applyAlignment="1" applyProtection="1">
      <alignment horizontal="center" vertical="center" wrapText="1"/>
      <protection locked="0" hidden="1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left" indent="1"/>
    </xf>
    <xf numFmtId="0" fontId="0" fillId="6" borderId="0" xfId="0" applyFill="1" applyBorder="1" applyAlignment="1">
      <alignment horizontal="left" indent="2"/>
    </xf>
    <xf numFmtId="0" fontId="0" fillId="6" borderId="0" xfId="0" applyFill="1" applyBorder="1" applyAlignment="1">
      <alignment horizontal="left" indent="3"/>
    </xf>
    <xf numFmtId="0" fontId="0" fillId="6" borderId="0" xfId="0" applyFill="1" applyBorder="1" applyAlignment="1">
      <alignment horizontal="left" indent="4"/>
    </xf>
    <xf numFmtId="0" fontId="0" fillId="6" borderId="14" xfId="0" applyFill="1" applyBorder="1"/>
    <xf numFmtId="0" fontId="0" fillId="6" borderId="6" xfId="0" applyFill="1" applyBorder="1" applyAlignment="1" applyProtection="1">
      <protection hidden="1"/>
    </xf>
    <xf numFmtId="0" fontId="0" fillId="6" borderId="6" xfId="0" applyFill="1" applyBorder="1" applyAlignment="1">
      <alignment horizontal="left" indent="5"/>
    </xf>
    <xf numFmtId="0" fontId="0" fillId="6" borderId="6" xfId="0" applyFill="1" applyBorder="1"/>
    <xf numFmtId="0" fontId="0" fillId="6" borderId="17" xfId="0" applyFill="1" applyBorder="1"/>
    <xf numFmtId="178" fontId="0" fillId="17" borderId="20" xfId="0" applyNumberFormat="1" applyFill="1" applyBorder="1" applyAlignment="1" applyProtection="1">
      <alignment horizontal="right"/>
    </xf>
    <xf numFmtId="0" fontId="54" fillId="6" borderId="5" xfId="0" applyNumberFormat="1" applyFont="1" applyFill="1" applyBorder="1" applyAlignment="1" applyProtection="1">
      <alignment horizontal="left" wrapText="1" indent="2"/>
      <protection hidden="1"/>
    </xf>
    <xf numFmtId="0" fontId="66" fillId="6" borderId="0" xfId="0" applyNumberFormat="1" applyFont="1" applyFill="1" applyBorder="1" applyAlignment="1" applyProtection="1">
      <alignment horizontal="left" wrapText="1" indent="2"/>
      <protection hidden="1"/>
    </xf>
    <xf numFmtId="178" fontId="53" fillId="13" borderId="0" xfId="753" applyNumberFormat="1" applyFont="1" applyFill="1" applyBorder="1" applyAlignment="1">
      <alignment horizontal="right"/>
    </xf>
    <xf numFmtId="0" fontId="66" fillId="6" borderId="8" xfId="0" applyNumberFormat="1" applyFont="1" applyFill="1" applyBorder="1" applyAlignment="1" applyProtection="1">
      <alignment horizontal="left" wrapText="1" indent="2"/>
      <protection hidden="1"/>
    </xf>
    <xf numFmtId="178" fontId="53" fillId="13" borderId="20" xfId="753" applyNumberFormat="1" applyFont="1" applyFill="1" applyBorder="1" applyAlignment="1">
      <alignment horizontal="right"/>
    </xf>
    <xf numFmtId="0" fontId="0" fillId="6" borderId="5" xfId="0" applyNumberFormat="1" applyFill="1" applyBorder="1" applyAlignment="1" applyProtection="1">
      <alignment horizontal="left" wrapText="1" indent="2"/>
      <protection hidden="1"/>
    </xf>
    <xf numFmtId="0" fontId="5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66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67" fillId="13" borderId="0" xfId="0" applyFont="1" applyFill="1" applyAlignment="1">
      <alignment horizontal="left" indent="2"/>
    </xf>
    <xf numFmtId="178" fontId="0" fillId="13" borderId="0" xfId="0" applyNumberFormat="1" applyFill="1"/>
    <xf numFmtId="0" fontId="54" fillId="20" borderId="5" xfId="795" applyFont="1" applyFill="1" applyBorder="1"/>
    <xf numFmtId="0" fontId="52" fillId="21" borderId="13" xfId="795" applyFont="1" applyFill="1" applyBorder="1"/>
    <xf numFmtId="0" fontId="55" fillId="21" borderId="7" xfId="795" applyFont="1" applyFill="1" applyBorder="1"/>
    <xf numFmtId="0" fontId="55" fillId="21" borderId="10" xfId="795" applyFont="1" applyFill="1" applyBorder="1"/>
    <xf numFmtId="0" fontId="2" fillId="6" borderId="0" xfId="795" applyFill="1"/>
    <xf numFmtId="49" fontId="2" fillId="6" borderId="0" xfId="795" applyNumberFormat="1" applyFill="1" applyBorder="1" applyAlignment="1">
      <alignment horizontal="center" vertical="top"/>
    </xf>
    <xf numFmtId="0" fontId="2" fillId="6" borderId="0" xfId="795" applyNumberFormat="1" applyFill="1"/>
    <xf numFmtId="0" fontId="54" fillId="6" borderId="0" xfId="795" applyFont="1" applyFill="1"/>
    <xf numFmtId="0" fontId="2" fillId="20" borderId="0" xfId="795" applyFill="1"/>
    <xf numFmtId="0" fontId="54" fillId="20" borderId="12" xfId="795" applyFont="1" applyFill="1" applyBorder="1"/>
    <xf numFmtId="0" fontId="54" fillId="20" borderId="16" xfId="795" applyFont="1" applyFill="1" applyBorder="1"/>
    <xf numFmtId="0" fontId="2" fillId="7" borderId="0" xfId="795" applyFill="1"/>
    <xf numFmtId="0" fontId="54" fillId="4" borderId="5" xfId="795" applyFont="1" applyFill="1" applyBorder="1"/>
    <xf numFmtId="0" fontId="2" fillId="6" borderId="5" xfId="795" applyFill="1" applyBorder="1"/>
    <xf numFmtId="0" fontId="2" fillId="6" borderId="0" xfId="795" quotePrefix="1" applyFill="1"/>
    <xf numFmtId="0" fontId="2" fillId="11" borderId="0" xfId="795" applyFill="1"/>
    <xf numFmtId="0" fontId="2" fillId="6" borderId="0" xfId="795" quotePrefix="1" applyNumberFormat="1" applyFill="1"/>
    <xf numFmtId="0" fontId="54" fillId="20" borderId="13" xfId="795" applyFont="1" applyFill="1" applyBorder="1"/>
    <xf numFmtId="0" fontId="54" fillId="20" borderId="7" xfId="795" applyFont="1" applyFill="1" applyBorder="1"/>
    <xf numFmtId="0" fontId="54" fillId="20" borderId="10" xfId="795" applyFont="1" applyFill="1" applyBorder="1"/>
    <xf numFmtId="49" fontId="54" fillId="4" borderId="5" xfId="795" applyNumberFormat="1" applyFont="1" applyFill="1" applyBorder="1"/>
    <xf numFmtId="49" fontId="2" fillId="6" borderId="5" xfId="795" applyNumberFormat="1" applyFill="1" applyBorder="1"/>
    <xf numFmtId="0" fontId="2" fillId="6" borderId="5" xfId="795" applyNumberFormat="1" applyFill="1" applyBorder="1"/>
    <xf numFmtId="0" fontId="2" fillId="6" borderId="0" xfId="795" applyFill="1" applyBorder="1"/>
    <xf numFmtId="0" fontId="2" fillId="6" borderId="12" xfId="795" applyFill="1" applyBorder="1"/>
    <xf numFmtId="0" fontId="2" fillId="6" borderId="9" xfId="795" applyFill="1" applyBorder="1"/>
    <xf numFmtId="0" fontId="2" fillId="6" borderId="16" xfId="795" applyFill="1" applyBorder="1"/>
    <xf numFmtId="0" fontId="2" fillId="6" borderId="15" xfId="795" applyFill="1" applyBorder="1"/>
    <xf numFmtId="38" fontId="2" fillId="6" borderId="20" xfId="795" applyNumberFormat="1" applyFill="1" applyBorder="1" applyAlignment="1" applyProtection="1">
      <alignment horizontal="right"/>
      <protection locked="0"/>
    </xf>
    <xf numFmtId="0" fontId="2" fillId="6" borderId="22" xfId="795" applyFill="1" applyBorder="1"/>
    <xf numFmtId="178" fontId="2" fillId="6" borderId="0" xfId="795" applyNumberFormat="1" applyFill="1" applyBorder="1"/>
    <xf numFmtId="49" fontId="2" fillId="12" borderId="0" xfId="795" applyNumberFormat="1" applyFill="1" applyBorder="1"/>
    <xf numFmtId="0" fontId="2" fillId="15" borderId="8" xfId="795" applyNumberFormat="1" applyFill="1" applyBorder="1" applyAlignment="1" applyProtection="1">
      <alignment horizontal="center" vertical="center" wrapText="1"/>
      <protection hidden="1"/>
    </xf>
    <xf numFmtId="0" fontId="2" fillId="6" borderId="5" xfId="795" applyNumberFormat="1" applyFill="1" applyBorder="1" applyAlignment="1" applyProtection="1">
      <alignment horizontal="left" wrapText="1" indent="1"/>
      <protection hidden="1"/>
    </xf>
    <xf numFmtId="0" fontId="2" fillId="6" borderId="0" xfId="795" applyFill="1" applyBorder="1" applyProtection="1">
      <protection locked="0"/>
    </xf>
    <xf numFmtId="38" fontId="2" fillId="16" borderId="20" xfId="795" applyNumberFormat="1" applyFill="1" applyBorder="1" applyAlignment="1" applyProtection="1">
      <alignment horizontal="right"/>
    </xf>
    <xf numFmtId="38" fontId="2" fillId="18" borderId="5" xfId="795" applyNumberFormat="1" applyFill="1" applyBorder="1" applyAlignment="1" applyProtection="1">
      <alignment horizontal="right"/>
    </xf>
    <xf numFmtId="0" fontId="54" fillId="18" borderId="5" xfId="795" applyNumberFormat="1" applyFont="1" applyFill="1" applyBorder="1" applyAlignment="1" applyProtection="1">
      <alignment horizontal="left" wrapText="1" indent="1"/>
      <protection hidden="1"/>
    </xf>
    <xf numFmtId="0" fontId="54" fillId="6" borderId="0" xfId="795" applyFont="1" applyFill="1" applyBorder="1" applyAlignment="1" applyProtection="1">
      <alignment horizontal="left" indent="1"/>
      <protection hidden="1"/>
    </xf>
    <xf numFmtId="178" fontId="54" fillId="18" borderId="5" xfId="795" applyNumberFormat="1" applyFont="1" applyFill="1" applyBorder="1" applyAlignment="1" applyProtection="1">
      <alignment horizontal="right" indent="1"/>
    </xf>
    <xf numFmtId="178" fontId="2" fillId="6" borderId="6" xfId="795" applyNumberFormat="1" applyFill="1" applyBorder="1"/>
    <xf numFmtId="0" fontId="2" fillId="6" borderId="0" xfId="795" applyFill="1" applyBorder="1" applyAlignment="1" applyProtection="1">
      <alignment horizontal="left" indent="3"/>
      <protection hidden="1"/>
    </xf>
    <xf numFmtId="0" fontId="2" fillId="6" borderId="14" xfId="795" applyFill="1" applyBorder="1"/>
    <xf numFmtId="0" fontId="2" fillId="6" borderId="6" xfId="795" applyFill="1" applyBorder="1"/>
    <xf numFmtId="0" fontId="2" fillId="6" borderId="6" xfId="795" applyFill="1" applyBorder="1" applyAlignment="1" applyProtection="1">
      <alignment horizontal="left" indent="3"/>
      <protection hidden="1"/>
    </xf>
    <xf numFmtId="0" fontId="2" fillId="6" borderId="17" xfId="795" applyFill="1" applyBorder="1"/>
    <xf numFmtId="0" fontId="2" fillId="6" borderId="0" xfId="795" applyFill="1" applyBorder="1" applyProtection="1"/>
    <xf numFmtId="0" fontId="54" fillId="0" borderId="0" xfId="795" applyFont="1" applyFill="1" applyBorder="1"/>
    <xf numFmtId="0" fontId="52" fillId="0" borderId="0" xfId="795" applyFont="1" applyFill="1" applyBorder="1"/>
    <xf numFmtId="0" fontId="55" fillId="0" borderId="0" xfId="795" applyFont="1" applyFill="1" applyBorder="1"/>
    <xf numFmtId="0" fontId="2" fillId="0" borderId="0" xfId="795" applyFill="1" applyBorder="1"/>
    <xf numFmtId="49" fontId="2" fillId="0" borderId="0" xfId="795" applyNumberFormat="1" applyFill="1" applyBorder="1" applyAlignment="1">
      <alignment horizontal="center" vertical="top"/>
    </xf>
    <xf numFmtId="0" fontId="2" fillId="0" borderId="0" xfId="795" quotePrefix="1" applyFill="1" applyBorder="1"/>
    <xf numFmtId="49" fontId="54" fillId="0" borderId="0" xfId="795" applyNumberFormat="1" applyFont="1" applyFill="1" applyBorder="1"/>
    <xf numFmtId="0" fontId="2" fillId="0" borderId="0" xfId="795" applyFill="1" applyBorder="1" applyAlignment="1">
      <alignment horizontal="center" vertical="top"/>
    </xf>
    <xf numFmtId="0" fontId="2" fillId="6" borderId="13" xfId="795" applyFill="1" applyBorder="1"/>
    <xf numFmtId="0" fontId="2" fillId="6" borderId="7" xfId="795" applyFill="1" applyBorder="1"/>
    <xf numFmtId="0" fontId="2" fillId="6" borderId="10" xfId="795" applyFill="1" applyBorder="1"/>
    <xf numFmtId="0" fontId="58" fillId="6" borderId="0" xfId="795" applyFont="1" applyFill="1" applyAlignment="1">
      <alignment horizontal="left" indent="1"/>
    </xf>
    <xf numFmtId="187" fontId="54" fillId="6" borderId="0" xfId="795" applyNumberFormat="1" applyFont="1" applyFill="1"/>
    <xf numFmtId="0" fontId="52" fillId="6" borderId="0" xfId="795" applyFont="1" applyFill="1" applyAlignment="1">
      <alignment horizontal="left" indent="1"/>
    </xf>
    <xf numFmtId="0" fontId="2" fillId="15" borderId="11" xfId="795" applyNumberFormat="1" applyFill="1" applyBorder="1" applyAlignment="1">
      <alignment vertical="center" wrapText="1"/>
    </xf>
    <xf numFmtId="0" fontId="2" fillId="15" borderId="12" xfId="795" applyNumberFormat="1" applyFill="1" applyBorder="1" applyAlignment="1">
      <alignment horizontal="center" vertical="center" wrapText="1"/>
    </xf>
    <xf numFmtId="0" fontId="2" fillId="15" borderId="11" xfId="795" applyNumberFormat="1" applyFill="1" applyBorder="1" applyAlignment="1">
      <alignment horizontal="center" vertical="center" wrapText="1"/>
    </xf>
    <xf numFmtId="0" fontId="2" fillId="6" borderId="23" xfId="795" applyFill="1" applyBorder="1"/>
    <xf numFmtId="0" fontId="68" fillId="6" borderId="23" xfId="795" applyNumberFormat="1" applyFont="1" applyFill="1" applyBorder="1"/>
    <xf numFmtId="0" fontId="2" fillId="14" borderId="0" xfId="795" applyFill="1"/>
    <xf numFmtId="0" fontId="2" fillId="6" borderId="23" xfId="795" applyNumberFormat="1" applyFill="1" applyBorder="1"/>
    <xf numFmtId="0" fontId="2" fillId="14" borderId="0" xfId="795" applyFill="1" applyAlignment="1">
      <alignment horizontal="left"/>
    </xf>
    <xf numFmtId="0" fontId="2" fillId="15" borderId="8" xfId="795" applyNumberFormat="1" applyFill="1" applyBorder="1" applyAlignment="1">
      <alignment vertical="center" wrapText="1"/>
    </xf>
    <xf numFmtId="0" fontId="2" fillId="15" borderId="5" xfId="795" applyNumberFormat="1" applyFill="1" applyBorder="1" applyAlignment="1">
      <alignment horizontal="center" vertical="center" wrapText="1"/>
    </xf>
    <xf numFmtId="0" fontId="2" fillId="14" borderId="0" xfId="795" applyFill="1" applyAlignment="1"/>
    <xf numFmtId="178" fontId="54" fillId="18" borderId="5" xfId="795" applyNumberFormat="1" applyFont="1" applyFill="1" applyBorder="1" applyAlignment="1">
      <alignment horizontal="right" indent="1"/>
    </xf>
    <xf numFmtId="38" fontId="2" fillId="16" borderId="20" xfId="795" applyNumberFormat="1" applyFill="1" applyBorder="1" applyAlignment="1">
      <alignment horizontal="right"/>
    </xf>
    <xf numFmtId="0" fontId="69" fillId="6" borderId="5" xfId="795" applyNumberFormat="1" applyFont="1" applyFill="1" applyBorder="1" applyAlignment="1" applyProtection="1">
      <alignment horizontal="left" wrapText="1" indent="1"/>
      <protection hidden="1"/>
    </xf>
    <xf numFmtId="0" fontId="70" fillId="0" borderId="0" xfId="795" applyFont="1"/>
    <xf numFmtId="0" fontId="2" fillId="6" borderId="0" xfId="795" applyFont="1" applyFill="1"/>
    <xf numFmtId="4" fontId="4" fillId="0" borderId="0" xfId="0" applyNumberFormat="1" applyFont="1" applyAlignment="1">
      <alignment vertical="top"/>
    </xf>
    <xf numFmtId="186" fontId="4" fillId="0" borderId="0" xfId="0" applyNumberFormat="1" applyFont="1" applyAlignment="1">
      <alignment vertical="top"/>
    </xf>
    <xf numFmtId="3" fontId="4" fillId="0" borderId="0" xfId="773" applyNumberFormat="1" applyFont="1" applyFill="1"/>
    <xf numFmtId="4" fontId="166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top" wrapText="1"/>
    </xf>
    <xf numFmtId="178" fontId="4" fillId="0" borderId="0" xfId="0" applyNumberFormat="1" applyFont="1" applyAlignment="1">
      <alignment vertical="top"/>
    </xf>
    <xf numFmtId="3" fontId="168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33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left" wrapText="1"/>
    </xf>
    <xf numFmtId="3" fontId="31" fillId="0" borderId="5" xfId="0" applyNumberFormat="1" applyFont="1" applyFill="1" applyBorder="1"/>
    <xf numFmtId="3" fontId="31" fillId="0" borderId="5" xfId="0" applyNumberFormat="1" applyFont="1" applyFill="1" applyBorder="1" applyAlignment="1">
      <alignment horizontal="right" vertical="top"/>
    </xf>
    <xf numFmtId="3" fontId="32" fillId="0" borderId="5" xfId="0" applyNumberFormat="1" applyFont="1" applyFill="1" applyBorder="1"/>
    <xf numFmtId="3" fontId="32" fillId="0" borderId="5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Alignment="1">
      <alignment horizontal="right" vertical="top" wrapText="1"/>
    </xf>
    <xf numFmtId="3" fontId="31" fillId="0" borderId="5" xfId="0" applyNumberFormat="1" applyFont="1" applyFill="1" applyBorder="1" applyAlignment="1">
      <alignment vertical="center"/>
    </xf>
    <xf numFmtId="237" fontId="32" fillId="0" borderId="5" xfId="1414" applyNumberFormat="1" applyFont="1" applyFill="1" applyBorder="1"/>
    <xf numFmtId="237" fontId="31" fillId="0" borderId="0" xfId="1414" applyNumberFormat="1" applyFont="1" applyFill="1"/>
    <xf numFmtId="0" fontId="31" fillId="0" borderId="9" xfId="0" applyFont="1" applyFill="1" applyBorder="1" applyAlignment="1">
      <alignment vertical="top"/>
    </xf>
    <xf numFmtId="0" fontId="35" fillId="0" borderId="6" xfId="0" applyFont="1" applyFill="1" applyBorder="1" applyAlignment="1">
      <alignment horizontal="center"/>
    </xf>
    <xf numFmtId="3" fontId="31" fillId="0" borderId="0" xfId="0" applyNumberFormat="1" applyFont="1" applyFill="1"/>
    <xf numFmtId="0" fontId="31" fillId="0" borderId="7" xfId="0" applyFont="1" applyFill="1" applyBorder="1" applyAlignment="1">
      <alignment horizontal="left" vertical="top"/>
    </xf>
    <xf numFmtId="3" fontId="167" fillId="0" borderId="5" xfId="0" applyNumberFormat="1" applyFont="1" applyFill="1" applyBorder="1"/>
    <xf numFmtId="178" fontId="8" fillId="0" borderId="5" xfId="0" applyNumberFormat="1" applyFont="1" applyFill="1" applyBorder="1" applyAlignment="1"/>
    <xf numFmtId="37" fontId="31" fillId="0" borderId="5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31" fillId="0" borderId="6" xfId="0" applyNumberFormat="1" applyFont="1" applyBorder="1" applyAlignment="1">
      <alignment horizontal="left" vertical="top" wrapText="1"/>
    </xf>
    <xf numFmtId="0" fontId="31" fillId="0" borderId="13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2" fillId="0" borderId="0" xfId="0" applyFont="1" applyAlignment="1">
      <alignment horizontal="center" vertical="top"/>
    </xf>
    <xf numFmtId="0" fontId="35" fillId="0" borderId="13" xfId="0" applyFont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3" fontId="31" fillId="0" borderId="7" xfId="0" applyNumberFormat="1" applyFont="1" applyBorder="1" applyAlignment="1">
      <alignment horizontal="left" vertical="top" wrapText="1"/>
    </xf>
    <xf numFmtId="3" fontId="33" fillId="0" borderId="9" xfId="0" applyNumberFormat="1" applyFont="1" applyFill="1" applyBorder="1" applyAlignment="1">
      <alignment horizontal="center" vertical="top"/>
    </xf>
    <xf numFmtId="0" fontId="32" fillId="0" borderId="13" xfId="0" applyFont="1" applyBorder="1" applyAlignment="1">
      <alignment vertical="top"/>
    </xf>
    <xf numFmtId="0" fontId="32" fillId="0" borderId="0" xfId="0" applyFont="1" applyFill="1" applyAlignment="1">
      <alignment horizontal="center" vertical="top"/>
    </xf>
    <xf numFmtId="0" fontId="31" fillId="0" borderId="5" xfId="0" applyFont="1" applyBorder="1" applyAlignment="1">
      <alignment horizontal="center" vertical="center"/>
    </xf>
    <xf numFmtId="0" fontId="31" fillId="0" borderId="15" xfId="0" applyFont="1" applyBorder="1" applyAlignment="1">
      <alignment vertical="top" wrapText="1"/>
    </xf>
    <xf numFmtId="0" fontId="12" fillId="0" borderId="0" xfId="770" applyFont="1" applyFill="1" applyAlignment="1">
      <alignment horizontal="center" vertical="center"/>
    </xf>
    <xf numFmtId="0" fontId="12" fillId="0" borderId="0" xfId="770" applyFont="1" applyFill="1" applyAlignment="1">
      <alignment horizontal="center"/>
    </xf>
    <xf numFmtId="0" fontId="8" fillId="0" borderId="12" xfId="768" applyFont="1" applyFill="1" applyBorder="1" applyAlignment="1">
      <alignment horizontal="center" vertical="center" wrapText="1"/>
    </xf>
    <xf numFmtId="0" fontId="8" fillId="0" borderId="16" xfId="768" applyFont="1" applyFill="1" applyBorder="1" applyAlignment="1">
      <alignment horizontal="center" vertical="center" wrapText="1"/>
    </xf>
    <xf numFmtId="0" fontId="8" fillId="0" borderId="14" xfId="768" applyFont="1" applyFill="1" applyBorder="1" applyAlignment="1">
      <alignment horizontal="center" vertical="center" wrapText="1"/>
    </xf>
    <xf numFmtId="0" fontId="8" fillId="0" borderId="17" xfId="768" applyFont="1" applyFill="1" applyBorder="1" applyAlignment="1">
      <alignment horizontal="center" vertical="center" wrapText="1"/>
    </xf>
    <xf numFmtId="0" fontId="8" fillId="0" borderId="11" xfId="768" applyFont="1" applyFill="1" applyBorder="1" applyAlignment="1">
      <alignment horizontal="center" vertical="center" wrapText="1"/>
    </xf>
    <xf numFmtId="0" fontId="8" fillId="0" borderId="8" xfId="768" applyFont="1" applyFill="1" applyBorder="1" applyAlignment="1">
      <alignment horizontal="center" vertical="center" wrapText="1"/>
    </xf>
    <xf numFmtId="0" fontId="8" fillId="0" borderId="13" xfId="770" applyFont="1" applyFill="1" applyBorder="1" applyAlignment="1">
      <alignment horizontal="center" vertical="center" wrapText="1"/>
    </xf>
    <xf numFmtId="0" fontId="8" fillId="0" borderId="7" xfId="770" applyFont="1" applyFill="1" applyBorder="1" applyAlignment="1">
      <alignment horizontal="center" vertical="center" wrapText="1"/>
    </xf>
    <xf numFmtId="0" fontId="8" fillId="0" borderId="10" xfId="770" applyFont="1" applyFill="1" applyBorder="1" applyAlignment="1">
      <alignment horizontal="center" vertical="center" wrapText="1"/>
    </xf>
    <xf numFmtId="49" fontId="8" fillId="0" borderId="11" xfId="770" applyNumberFormat="1" applyFont="1" applyFill="1" applyBorder="1" applyAlignment="1">
      <alignment horizontal="center" vertical="center" wrapText="1"/>
    </xf>
    <xf numFmtId="49" fontId="8" fillId="0" borderId="8" xfId="770" applyNumberFormat="1" applyFont="1" applyFill="1" applyBorder="1" applyAlignment="1">
      <alignment horizontal="center" vertical="center" wrapText="1"/>
    </xf>
    <xf numFmtId="0" fontId="8" fillId="0" borderId="5" xfId="770" applyFont="1" applyFill="1" applyBorder="1" applyAlignment="1">
      <alignment vertical="top" wrapText="1"/>
    </xf>
    <xf numFmtId="0" fontId="8" fillId="0" borderId="5" xfId="771" applyFont="1" applyFill="1" applyBorder="1" applyAlignment="1">
      <alignment vertical="top" wrapText="1"/>
    </xf>
    <xf numFmtId="0" fontId="8" fillId="0" borderId="5" xfId="745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771" applyFont="1" applyFill="1" applyBorder="1" applyAlignment="1">
      <alignment horizontal="center" vertical="top" wrapText="1"/>
    </xf>
    <xf numFmtId="0" fontId="8" fillId="0" borderId="5" xfId="770" applyFont="1" applyFill="1" applyBorder="1" applyAlignment="1">
      <alignment vertical="top"/>
    </xf>
    <xf numFmtId="0" fontId="8" fillId="0" borderId="5" xfId="773" applyFont="1" applyFill="1" applyBorder="1" applyAlignment="1">
      <alignment vertical="top"/>
    </xf>
    <xf numFmtId="0" fontId="8" fillId="0" borderId="5" xfId="773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773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6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top"/>
    </xf>
    <xf numFmtId="0" fontId="24" fillId="0" borderId="0" xfId="0" applyFont="1" applyAlignment="1">
      <alignment horizontal="left" wrapText="1"/>
    </xf>
    <xf numFmtId="0" fontId="2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9" fillId="0" borderId="0" xfId="0" applyFont="1" applyAlignment="1">
      <alignment horizontal="left" wrapText="1" indent="1"/>
    </xf>
    <xf numFmtId="0" fontId="39" fillId="0" borderId="18" xfId="0" applyFont="1" applyBorder="1" applyAlignment="1">
      <alignment horizontal="left" wrapText="1" indent="1"/>
    </xf>
    <xf numFmtId="0" fontId="44" fillId="0" borderId="0" xfId="0" applyFont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right" wrapText="1"/>
    </xf>
    <xf numFmtId="3" fontId="30" fillId="0" borderId="0" xfId="0" applyNumberFormat="1" applyFont="1" applyAlignment="1">
      <alignment wrapText="1"/>
    </xf>
    <xf numFmtId="0" fontId="38" fillId="0" borderId="3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3" fontId="38" fillId="8" borderId="3" xfId="0" applyNumberFormat="1" applyFont="1" applyFill="1" applyBorder="1" applyAlignment="1">
      <alignment wrapText="1"/>
    </xf>
    <xf numFmtId="3" fontId="38" fillId="8" borderId="0" xfId="0" applyNumberFormat="1" applyFont="1" applyFill="1" applyBorder="1" applyAlignment="1">
      <alignment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0" fontId="44" fillId="0" borderId="18" xfId="0" applyFont="1" applyBorder="1" applyAlignment="1">
      <alignment horizontal="right" vertical="top" wrapText="1"/>
    </xf>
    <xf numFmtId="0" fontId="30" fillId="0" borderId="0" xfId="0" applyFont="1" applyAlignment="1">
      <alignment wrapText="1"/>
    </xf>
    <xf numFmtId="0" fontId="30" fillId="0" borderId="19" xfId="0" applyFont="1" applyBorder="1" applyAlignment="1">
      <alignment wrapText="1"/>
    </xf>
    <xf numFmtId="0" fontId="30" fillId="0" borderId="19" xfId="0" applyFont="1" applyBorder="1" applyAlignment="1">
      <alignment horizontal="center" wrapText="1"/>
    </xf>
    <xf numFmtId="3" fontId="44" fillId="0" borderId="0" xfId="0" applyNumberFormat="1" applyFont="1" applyAlignment="1">
      <alignment vertical="center" wrapText="1"/>
    </xf>
    <xf numFmtId="49" fontId="13" fillId="0" borderId="13" xfId="772" applyNumberFormat="1" applyFont="1" applyFill="1" applyBorder="1" applyAlignment="1">
      <alignment horizontal="center" vertical="top"/>
    </xf>
    <xf numFmtId="49" fontId="13" fillId="0" borderId="7" xfId="772" applyNumberFormat="1" applyFont="1" applyFill="1" applyBorder="1" applyAlignment="1">
      <alignment horizontal="center" vertical="top"/>
    </xf>
    <xf numFmtId="178" fontId="13" fillId="0" borderId="7" xfId="772" applyNumberFormat="1" applyFont="1" applyFill="1" applyBorder="1" applyAlignment="1">
      <alignment vertical="top"/>
    </xf>
    <xf numFmtId="178" fontId="13" fillId="0" borderId="10" xfId="772" applyNumberFormat="1" applyFont="1" applyFill="1" applyBorder="1" applyAlignment="1">
      <alignment vertical="top"/>
    </xf>
    <xf numFmtId="49" fontId="8" fillId="0" borderId="13" xfId="772" applyNumberFormat="1" applyFont="1" applyFill="1" applyBorder="1" applyAlignment="1">
      <alignment horizontal="center" vertical="top"/>
    </xf>
    <xf numFmtId="49" fontId="8" fillId="0" borderId="7" xfId="772" applyNumberFormat="1" applyFont="1" applyFill="1" applyBorder="1" applyAlignment="1">
      <alignment horizontal="center" vertical="top"/>
    </xf>
    <xf numFmtId="178" fontId="8" fillId="0" borderId="7" xfId="772" applyNumberFormat="1" applyFont="1" applyFill="1" applyBorder="1" applyAlignment="1">
      <alignment vertical="top"/>
    </xf>
    <xf numFmtId="178" fontId="8" fillId="0" borderId="10" xfId="772" applyNumberFormat="1" applyFont="1" applyFill="1" applyBorder="1" applyAlignment="1">
      <alignment vertical="top"/>
    </xf>
    <xf numFmtId="49" fontId="8" fillId="0" borderId="10" xfId="772" applyNumberFormat="1" applyFont="1" applyFill="1" applyBorder="1" applyAlignment="1">
      <alignment horizontal="center" vertical="top"/>
    </xf>
    <xf numFmtId="0" fontId="13" fillId="0" borderId="0" xfId="772" applyFont="1" applyFill="1" applyAlignment="1">
      <alignment horizontal="center"/>
    </xf>
    <xf numFmtId="0" fontId="5" fillId="0" borderId="0" xfId="771" applyFont="1" applyFill="1" applyAlignment="1">
      <alignment horizontal="center"/>
    </xf>
    <xf numFmtId="0" fontId="8" fillId="0" borderId="0" xfId="772" applyFont="1" applyFill="1" applyAlignment="1">
      <alignment horizontal="center"/>
    </xf>
    <xf numFmtId="3" fontId="37" fillId="7" borderId="0" xfId="0" applyNumberFormat="1" applyFont="1" applyFill="1" applyAlignment="1">
      <alignment horizontal="right" wrapText="1"/>
    </xf>
    <xf numFmtId="0" fontId="54" fillId="15" borderId="13" xfId="759" applyNumberFormat="1" applyFont="1" applyFill="1" applyBorder="1" applyAlignment="1" applyProtection="1">
      <alignment horizontal="center" vertical="center" wrapText="1"/>
      <protection hidden="1"/>
    </xf>
    <xf numFmtId="0" fontId="54" fillId="15" borderId="7" xfId="759" applyNumberFormat="1" applyFont="1" applyFill="1" applyBorder="1" applyAlignment="1" applyProtection="1">
      <alignment horizontal="center" vertical="center" wrapText="1"/>
      <protection hidden="1"/>
    </xf>
    <xf numFmtId="0" fontId="54" fillId="15" borderId="10" xfId="759" applyNumberFormat="1" applyFont="1" applyFill="1" applyBorder="1" applyAlignment="1" applyProtection="1">
      <alignment horizontal="center" vertical="center" wrapText="1"/>
      <protection hidden="1"/>
    </xf>
    <xf numFmtId="0" fontId="54" fillId="15" borderId="13" xfId="759" applyNumberFormat="1" applyFont="1" applyFill="1" applyBorder="1" applyAlignment="1">
      <alignment horizontal="center" vertical="center" wrapText="1"/>
    </xf>
    <xf numFmtId="0" fontId="54" fillId="15" borderId="7" xfId="759" applyNumberFormat="1" applyFont="1" applyFill="1" applyBorder="1" applyAlignment="1">
      <alignment horizontal="center" vertical="center" wrapText="1"/>
    </xf>
    <xf numFmtId="0" fontId="54" fillId="15" borderId="10" xfId="759" applyNumberFormat="1" applyFont="1" applyFill="1" applyBorder="1" applyAlignment="1">
      <alignment horizontal="center" vertical="center" wrapText="1"/>
    </xf>
    <xf numFmtId="0" fontId="2" fillId="6" borderId="13" xfId="795" applyFill="1" applyBorder="1"/>
    <xf numFmtId="0" fontId="2" fillId="6" borderId="7" xfId="795" applyFill="1" applyBorder="1"/>
    <xf numFmtId="0" fontId="2" fillId="6" borderId="10" xfId="795" applyFill="1" applyBorder="1"/>
    <xf numFmtId="0" fontId="2" fillId="15" borderId="7" xfId="795" applyNumberFormat="1" applyFill="1" applyBorder="1" applyAlignment="1">
      <alignment horizontal="center" vertical="center" wrapText="1"/>
    </xf>
    <xf numFmtId="0" fontId="2" fillId="15" borderId="10" xfId="795" applyNumberFormat="1" applyFill="1" applyBorder="1" applyAlignment="1">
      <alignment horizontal="center" vertical="center" wrapText="1"/>
    </xf>
    <xf numFmtId="0" fontId="169" fillId="50" borderId="0" xfId="0" applyFont="1" applyFill="1" applyAlignment="1">
      <alignment wrapText="1"/>
    </xf>
    <xf numFmtId="186" fontId="8" fillId="0" borderId="5" xfId="0" applyNumberFormat="1" applyFont="1" applyFill="1" applyBorder="1" applyAlignment="1"/>
    <xf numFmtId="3" fontId="170" fillId="0" borderId="0" xfId="0" applyNumberFormat="1" applyFont="1" applyAlignment="1">
      <alignment vertical="top"/>
    </xf>
  </cellXfs>
  <cellStyles count="1415">
    <cellStyle name="_x0013_" xfId="796"/>
    <cellStyle name=" 1" xfId="797"/>
    <cellStyle name="_x000a_bidires=100_x000d_" xfId="798"/>
    <cellStyle name="_x000d__x000a_JournalTemplate=C:\COMFO\CTALK\JOURSTD.TPL_x000d__x000a_LbStateAddress=3 3 0 251 1 89 2 311_x000d__x000a_LbStateJou" xfId="799"/>
    <cellStyle name="_x000d__x000a_JournalTemplate=C:\COMFO\CTALK\JOURSTD.TPL_x000d__x000a_LbStateAddress=3 3 0 251 1 89 2 311_x000d__x000a_LbStateJou 2" xfId="800"/>
    <cellStyle name="$ тыс" xfId="801"/>
    <cellStyle name="$ тыс. (0)" xfId="802"/>
    <cellStyle name="???????" xfId="803"/>
    <cellStyle name="????????" xfId="804"/>
    <cellStyle name="???????? [0]" xfId="805"/>
    <cellStyle name="??????????" xfId="806"/>
    <cellStyle name="?????????? [0]" xfId="807"/>
    <cellStyle name="_13 СлавСПбНП Платежный бюджет_06" xfId="808"/>
    <cellStyle name="_1A15C5E" xfId="809"/>
    <cellStyle name="_FA" xfId="810"/>
    <cellStyle name="_Forms RAS_v3_29122008_PV" xfId="811"/>
    <cellStyle name="_Forms RAS_v4_16.01.2009" xfId="812"/>
    <cellStyle name="_Forms RAS_v7_17.02.2009" xfId="813"/>
    <cellStyle name="_FS forms_RAS_GPN" xfId="814"/>
    <cellStyle name="_FS_FS&amp;Notes RAS_GPN_08.12.08._AE_v2" xfId="815"/>
    <cellStyle name="_Plug" xfId="816"/>
    <cellStyle name="_Plug_ARO_figures_2004" xfId="817"/>
    <cellStyle name="_Plug_Depletion calc 6m 2004" xfId="818"/>
    <cellStyle name="_Plug_PBC 6m 2004 Lenina mine all" xfId="819"/>
    <cellStyle name="_Plug_PBC Lenina mine support for adjs  6m 2004" xfId="820"/>
    <cellStyle name="_Plug_Transformation_Lenina mine_12m2003_NGW adj" xfId="821"/>
    <cellStyle name="_Plug_Transformation_Sibirginskiy mine_6m2004 NGW" xfId="822"/>
    <cellStyle name="_Plug_ГААП 1 полугодие от Том.раз." xfId="823"/>
    <cellStyle name="_Plug_ГААП 6 месяцев 2004г Ленина испр" xfId="824"/>
    <cellStyle name="_Plug_Дополнение к  GAAP 1 полуг 2004 г" xfId="825"/>
    <cellStyle name="_Plug_РВС ГААП 6 мес 03 Ленина" xfId="826"/>
    <cellStyle name="_Plug_РВС_ ш. Ленина_01.03.04 adj" xfId="827"/>
    <cellStyle name="_Plug_Р-з Сибиргинский 6 мес 2004 GAAP" xfId="828"/>
    <cellStyle name="_Plug_Ф3" xfId="829"/>
    <cellStyle name="_Plug_Шахта_Сибиргинская" xfId="830"/>
    <cellStyle name="_PRICE_1C" xfId="831"/>
    <cellStyle name="_PRICE_1C 2" xfId="832"/>
    <cellStyle name="_Registers_for taxes" xfId="833"/>
    <cellStyle name="_БИЗНЕС-ПЛАН 2004 ГОД 2 вариант" xfId="834"/>
    <cellStyle name="_БИЗНЕС-ПЛАН 2004 год 3 вар" xfId="835"/>
    <cellStyle name="_БП_КНП- 2004 по формам Сибнефти от 18.09.2003" xfId="836"/>
    <cellStyle name="_Бюджет 2,3,4,5,7,8,9, налоги, акцизы на 01_2004 от 17-25_12_03 " xfId="837"/>
    <cellStyle name="_ДИТАТ ОС АРЕНДА СВОД 2005 пром  16 06 05 для ННГ" xfId="838"/>
    <cellStyle name="_ДИТАТ ОС АРЕНДА СВОД 2005 пром. 14.06.05 для ННГ" xfId="839"/>
    <cellStyle name="_ИТАТ-2003-10 (вар.2)" xfId="840"/>
    <cellStyle name="_лимит по рабочим" xfId="841"/>
    <cellStyle name="_мебель, оборудование инвентарь1207" xfId="842"/>
    <cellStyle name="_мебель, оборудование инвентарь1207 2" xfId="843"/>
    <cellStyle name="_ОТЧЕТ для ДКФ    06 04 05  (6)" xfId="844"/>
    <cellStyle name="_ОТЧЕТ для ДКФ    06 04 05  (6) 2" xfId="845"/>
    <cellStyle name="_ОТЭ" xfId="846"/>
    <cellStyle name="_План развития ПТС на 2005-2010 (связи станционной части)" xfId="847"/>
    <cellStyle name="_План развития ПТС на 2005-2010 (связи станционной части) 2" xfId="848"/>
    <cellStyle name="_Платежный бюджет БП_2006." xfId="849"/>
    <cellStyle name="_Прилож - ООО  ЗН" xfId="850"/>
    <cellStyle name="_Прилож 1 ОАО Сибнефть - Ноябрьскнефтегаз от 14.06" xfId="851"/>
    <cellStyle name="_Программа на 2005г по направлениям -  от 10 06 05" xfId="852"/>
    <cellStyle name="_произв.цели - приложение к СНР_айгерим_09.11" xfId="853"/>
    <cellStyle name="_произв.цели - приложение к СНР_айгерим_09.11 2" xfId="854"/>
    <cellStyle name="_САС-БП 2004 г (2вариант)" xfId="855"/>
    <cellStyle name="_САС-БП 2004 г (2вариант) ЮКОС" xfId="856"/>
    <cellStyle name="_Утв СД Бюджет расшиф 29 12 05" xfId="857"/>
    <cellStyle name="_Утв СД Бюджет расшиф 29 12 05 2" xfId="858"/>
    <cellStyle name="_Формы БП_ Юкос (послед)" xfId="859"/>
    <cellStyle name="_шаблон к письму нк 03-8777" xfId="860"/>
    <cellStyle name="”ќђќ‘ћ‚›‰" xfId="861"/>
    <cellStyle name="”ќђќ‘ћ‚›‰ 2" xfId="862"/>
    <cellStyle name="”ќђќ‘ћ‚›‰ 3" xfId="863"/>
    <cellStyle name="”љ‘ђћ‚ђќќ›‰" xfId="864"/>
    <cellStyle name="”љ‘ђћ‚ђќќ›‰ 2" xfId="865"/>
    <cellStyle name="”љ‘ђћ‚ђќќ›‰ 3" xfId="866"/>
    <cellStyle name="„…ќ…†ќ›‰" xfId="867"/>
    <cellStyle name="„…ќ…†ќ›‰ 2" xfId="868"/>
    <cellStyle name="„…ќ…†ќ›‰ 3" xfId="869"/>
    <cellStyle name="‡ђѓћ‹ћ‚ћљ1" xfId="870"/>
    <cellStyle name="‡ђѓћ‹ћ‚ћљ1 2" xfId="871"/>
    <cellStyle name="‡ђѓћ‹ћ‚ћљ2" xfId="872"/>
    <cellStyle name="‡ђѓћ‹ћ‚ћљ2 2" xfId="873"/>
    <cellStyle name="’ћѓћ‚›‰" xfId="874"/>
    <cellStyle name="’ћѓћ‚›‰ 2" xfId="875"/>
    <cellStyle name="0,00;0;" xfId="876"/>
    <cellStyle name="0.0" xfId="877"/>
    <cellStyle name="20% - Accent1" xfId="878"/>
    <cellStyle name="20% - Accent1 2" xfId="879"/>
    <cellStyle name="20% - Accent2" xfId="880"/>
    <cellStyle name="20% - Accent2 2" xfId="881"/>
    <cellStyle name="20% - Accent3" xfId="882"/>
    <cellStyle name="20% - Accent3 2" xfId="883"/>
    <cellStyle name="20% - Accent4" xfId="884"/>
    <cellStyle name="20% - Accent4 2" xfId="885"/>
    <cellStyle name="20% - Accent5" xfId="886"/>
    <cellStyle name="20% - Accent5 2" xfId="887"/>
    <cellStyle name="20% - Accent6" xfId="888"/>
    <cellStyle name="20% - Accent6 2" xfId="889"/>
    <cellStyle name="20% - Акцент1 2" xfId="890"/>
    <cellStyle name="20% - Акцент1 2 2" xfId="891"/>
    <cellStyle name="20% - Акцент2 2" xfId="892"/>
    <cellStyle name="20% - Акцент2 2 2" xfId="893"/>
    <cellStyle name="20% - Акцент3 2" xfId="894"/>
    <cellStyle name="20% - Акцент3 2 2" xfId="895"/>
    <cellStyle name="20% - Акцент4 2" xfId="896"/>
    <cellStyle name="20% - Акцент4 2 2" xfId="897"/>
    <cellStyle name="20% - Акцент5 2" xfId="898"/>
    <cellStyle name="20% - Акцент5 2 2" xfId="899"/>
    <cellStyle name="20% - Акцент6 2" xfId="900"/>
    <cellStyle name="20% - Акцент6 2 2" xfId="901"/>
    <cellStyle name="40% - Accent1" xfId="902"/>
    <cellStyle name="40% - Accent1 2" xfId="903"/>
    <cellStyle name="40% - Accent2" xfId="904"/>
    <cellStyle name="40% - Accent2 2" xfId="905"/>
    <cellStyle name="40% - Accent3" xfId="906"/>
    <cellStyle name="40% - Accent3 2" xfId="907"/>
    <cellStyle name="40% - Accent4" xfId="908"/>
    <cellStyle name="40% - Accent4 2" xfId="909"/>
    <cellStyle name="40% - Accent5" xfId="910"/>
    <cellStyle name="40% - Accent5 2" xfId="911"/>
    <cellStyle name="40% - Accent6" xfId="912"/>
    <cellStyle name="40% - Accent6 2" xfId="913"/>
    <cellStyle name="40% - Акцент1 2" xfId="914"/>
    <cellStyle name="40% - Акцент1 2 2" xfId="915"/>
    <cellStyle name="40% - Акцент2 2" xfId="916"/>
    <cellStyle name="40% - Акцент2 2 2" xfId="917"/>
    <cellStyle name="40% - Акцент3 2" xfId="918"/>
    <cellStyle name="40% - Акцент3 2 2" xfId="919"/>
    <cellStyle name="40% - Акцент4 2" xfId="920"/>
    <cellStyle name="40% - Акцент4 2 2" xfId="921"/>
    <cellStyle name="40% - Акцент5 2" xfId="922"/>
    <cellStyle name="40% - Акцент5 2 2" xfId="923"/>
    <cellStyle name="40% - Акцент6 2" xfId="924"/>
    <cellStyle name="40% - Акцент6 2 2" xfId="925"/>
    <cellStyle name="60% - Accent1" xfId="926"/>
    <cellStyle name="60% - Accent1 2" xfId="927"/>
    <cellStyle name="60% - Accent2" xfId="928"/>
    <cellStyle name="60% - Accent2 2" xfId="929"/>
    <cellStyle name="60% - Accent3" xfId="930"/>
    <cellStyle name="60% - Accent3 2" xfId="931"/>
    <cellStyle name="60% - Accent4" xfId="932"/>
    <cellStyle name="60% - Accent4 2" xfId="933"/>
    <cellStyle name="60% - Accent5" xfId="934"/>
    <cellStyle name="60% - Accent5 2" xfId="935"/>
    <cellStyle name="60% - Accent6" xfId="936"/>
    <cellStyle name="60% - Accent6 2" xfId="937"/>
    <cellStyle name="60% - Акцент1 2" xfId="938"/>
    <cellStyle name="60% - Акцент1 2 2" xfId="939"/>
    <cellStyle name="60% - Акцент2 2" xfId="940"/>
    <cellStyle name="60% - Акцент2 2 2" xfId="941"/>
    <cellStyle name="60% - Акцент3 2" xfId="942"/>
    <cellStyle name="60% - Акцент3 2 2" xfId="943"/>
    <cellStyle name="60% - Акцент4 2" xfId="944"/>
    <cellStyle name="60% - Акцент4 2 2" xfId="945"/>
    <cellStyle name="60% - Акцент5 2" xfId="946"/>
    <cellStyle name="60% - Акцент5 2 2" xfId="947"/>
    <cellStyle name="60% - Акцент6 2" xfId="948"/>
    <cellStyle name="60% - Акцент6 2 2" xfId="949"/>
    <cellStyle name="8pt" xfId="950"/>
    <cellStyle name="Äåíåæíûé" xfId="951"/>
    <cellStyle name="Äåíåæíûé [0]" xfId="952"/>
    <cellStyle name="Accent1" xfId="953"/>
    <cellStyle name="Accent1 2" xfId="954"/>
    <cellStyle name="Accent2" xfId="955"/>
    <cellStyle name="Accent2 2" xfId="956"/>
    <cellStyle name="Accent3" xfId="957"/>
    <cellStyle name="Accent3 2" xfId="958"/>
    <cellStyle name="Accent4" xfId="959"/>
    <cellStyle name="Accent4 2" xfId="960"/>
    <cellStyle name="Accent5" xfId="961"/>
    <cellStyle name="Accent5 2" xfId="962"/>
    <cellStyle name="Accent6" xfId="963"/>
    <cellStyle name="Accent6 2" xfId="964"/>
    <cellStyle name="Bad" xfId="965"/>
    <cellStyle name="Bad 2" xfId="966"/>
    <cellStyle name="C01_Page_head" xfId="967"/>
    <cellStyle name="C03_Col head general" xfId="968"/>
    <cellStyle name="C04_Note col head" xfId="969"/>
    <cellStyle name="C06_Previous yr col head" xfId="970"/>
    <cellStyle name="C08_Table text" xfId="971"/>
    <cellStyle name="C11_Note head" xfId="972"/>
    <cellStyle name="C14_Current year figs" xfId="973"/>
    <cellStyle name="C14b_Current Year Figs 3 dec" xfId="974"/>
    <cellStyle name="C15_Previous year figs" xfId="975"/>
    <cellStyle name="Calc Currency (0)" xfId="976"/>
    <cellStyle name="Calc Currency (0) 2" xfId="977"/>
    <cellStyle name="Calc Currency (2)" xfId="978"/>
    <cellStyle name="Calc Percent (0)" xfId="979"/>
    <cellStyle name="Calc Percent (0) 2" xfId="980"/>
    <cellStyle name="Calc Percent (0)_Пакет отчетности_09-02-2012" xfId="981"/>
    <cellStyle name="Calc Percent (1)" xfId="982"/>
    <cellStyle name="Calc Percent (2)" xfId="983"/>
    <cellStyle name="Calc Units (0)" xfId="984"/>
    <cellStyle name="Calc Units (1)" xfId="985"/>
    <cellStyle name="Calc Units (2)" xfId="986"/>
    <cellStyle name="Calculation" xfId="987"/>
    <cellStyle name="Calculation 2" xfId="988"/>
    <cellStyle name="Calculation 2 2" xfId="989"/>
    <cellStyle name="Calculation 2 2 2" xfId="990"/>
    <cellStyle name="Calculation 2 3" xfId="991"/>
    <cellStyle name="Calculation 2 3 2" xfId="992"/>
    <cellStyle name="Calculation 3" xfId="993"/>
    <cellStyle name="Calculation 3 2" xfId="994"/>
    <cellStyle name="Calculation 4" xfId="995"/>
    <cellStyle name="Calculation 4 2" xfId="996"/>
    <cellStyle name="Check" xfId="997"/>
    <cellStyle name="Check 10" xfId="998"/>
    <cellStyle name="Check 2" xfId="999"/>
    <cellStyle name="Check 2 2" xfId="1000"/>
    <cellStyle name="Check 2 3" xfId="1001"/>
    <cellStyle name="Check 2 4" xfId="1002"/>
    <cellStyle name="Check 2 5" xfId="1003"/>
    <cellStyle name="Check 3" xfId="1004"/>
    <cellStyle name="Check 4" xfId="1005"/>
    <cellStyle name="Check 5" xfId="1006"/>
    <cellStyle name="Check 6" xfId="1007"/>
    <cellStyle name="Check 7" xfId="1008"/>
    <cellStyle name="Check 8" xfId="1009"/>
    <cellStyle name="Check 9" xfId="1010"/>
    <cellStyle name="Check Cell" xfId="1011"/>
    <cellStyle name="Check Cell 2" xfId="1012"/>
    <cellStyle name="Comma [0]_#6 Temps &amp; Contractors" xfId="1013"/>
    <cellStyle name="Comma [00]" xfId="1014"/>
    <cellStyle name="Comma [00] 2" xfId="1015"/>
    <cellStyle name="Comma [00] 3" xfId="1016"/>
    <cellStyle name="Comma [000]" xfId="1017"/>
    <cellStyle name="Comma 2" xfId="1018"/>
    <cellStyle name="Comma 2 2" xfId="1019"/>
    <cellStyle name="Comma 2 3" xfId="1020"/>
    <cellStyle name="Comma 3" xfId="1021"/>
    <cellStyle name="Comma 3 2" xfId="1022"/>
    <cellStyle name="Comma 3 3" xfId="1023"/>
    <cellStyle name="Comma 4" xfId="1024"/>
    <cellStyle name="Comma 4 2" xfId="1025"/>
    <cellStyle name="Comma 4 3" xfId="1026"/>
    <cellStyle name="Comma 5" xfId="1027"/>
    <cellStyle name="Comma 5 2" xfId="1028"/>
    <cellStyle name="Comma 5 3" xfId="1029"/>
    <cellStyle name="Comma_#6 Temps &amp; Contractors" xfId="1030"/>
    <cellStyle name="Comma0" xfId="1031"/>
    <cellStyle name="Currency [0]" xfId="1032"/>
    <cellStyle name="Currency [00]" xfId="1033"/>
    <cellStyle name="Currency [00] 2" xfId="1034"/>
    <cellStyle name="Currency [00] 3" xfId="1035"/>
    <cellStyle name="Currency RU" xfId="1036"/>
    <cellStyle name="Currency_#6 Temps &amp; Contractors" xfId="1037"/>
    <cellStyle name="Currency0" xfId="1038"/>
    <cellStyle name="d" xfId="1"/>
    <cellStyle name="d_Декларация по КПН ШГЭС за 2005 г." xfId="2"/>
    <cellStyle name="d_Доп. КПН за  2004 1г." xfId="3"/>
    <cellStyle name="d_Доп. КПН за  2004 1г._Зпл по ноябрь" xfId="4"/>
    <cellStyle name="d_Доп. КПН за  2004 1г._Зпл по ноябрь_Прил. к отчету ВС, 2 этап" xfId="5"/>
    <cellStyle name="d_Доп. КПН за  2004 1г._Зпл по ноябрь_Приложения по зар.плате" xfId="6"/>
    <cellStyle name="d_Доп. КПН за  2004 1г._Нерезиденты 4 кв. 08 г." xfId="7"/>
    <cellStyle name="d_Доп. КПН за  2004 1г._Нерезиденты 4 кв. 08 г._Книга1" xfId="8"/>
    <cellStyle name="d_Доп. КПН за  2004 1г._Нерезиденты 4 кв. 08 г._Невычеты" xfId="9"/>
    <cellStyle name="d_Доп. КПН за  2004 1г._Нерезиденты 4 кв. 08 г._Раб.мат. УК ТЭЦ (Павел), 2 этап" xfId="10"/>
    <cellStyle name="d_Доп. КПН за  2004 1г._Резерв по отпускам на 31.12.06 г. и 07 г. готово" xfId="11"/>
    <cellStyle name="d_Доп. КПН за  2004 1г._Резерв по отпускам на 31.12.06 г. и 07 г. готово_Отсроченный КПН" xfId="12"/>
    <cellStyle name="d_Доп. КПН за  2004 1г._Резерв по отпускам на 31.12.06 г. и 07 г. готово_Прил. к отчету ВС, 2 этап" xfId="13"/>
    <cellStyle name="d_Доп. КПН за  2004 1г._Резерв по отпускам на 31.12.06 г. и 07 г. готово_Прил. к отчету ШЭТ, 2008" xfId="14"/>
    <cellStyle name="d_Доп. КПН за  2004 1г._Резерв по отпускам на 31.12.06 г. и 07 г. готово_Приложения ЖД ВТС, 2006" xfId="15"/>
    <cellStyle name="d_Доп. КПН за  2004 1г._Резерв по отпускам на 31.12.06 г. и 07 г. готово_Приложения по зар.плате" xfId="16"/>
    <cellStyle name="d_Доп. КПН за  2004 1г._Резерв по отпускам на 31.12.06 г. и 07 г. готово_Приложения УК МК, 2 эт. 2008 г" xfId="17"/>
    <cellStyle name="d_Доп. КПН за  2004 1г._Резерв по отпускам на 31.12.06 г. и 07 г. готово_Проект аудирован. ФО УК ТС, 2008" xfId="18"/>
    <cellStyle name="d_Доп. КПН за  2004 1г._Резерв по отпускам на 31.12.06 г. и 07 г. готово_Проект аудирован. ФО УК ТС, 2008_1" xfId="19"/>
    <cellStyle name="d_Доп. КПН за  2004 1г._Резерв по отпускам на 31.12.06 г. и 07 г. готово_Проект аудирован. ФО УК ТС, 2008_1_запасы уктс" xfId="20"/>
    <cellStyle name="d_Доп. КПН за  2004 1г._Резерв по отпускам на 31.12.06 г. и 07 г. готово_Проект аудирован. ФО ШЭТ 2008" xfId="21"/>
    <cellStyle name="d_Доп. КПН за  2004 1г._Резерв по отпускам на 31.12.06 г. и 07 г. готово_Раб.мат. ККБК ВС, 2 пг 2008 г. (Павел)" xfId="22"/>
    <cellStyle name="d_Доп. КПН за  2004 1г._Резерв по отпускам на 31.12.06 г. и 07 г. готово_Раб.мат. ККБК ВС, 2 пг 2008 г. (Павел)_Книга1" xfId="23"/>
    <cellStyle name="d_Доп. КПН за  2004 1г._Резерв по отпускам на 31.12.06 г. и 07 г. готово_Раб.мат. ККБК ВС, 2 пг 2008 г. (Павел)_Невычеты" xfId="24"/>
    <cellStyle name="d_Доп. КПН за  2004 1г._Резерв по отпускам на 31.12.06 г. и 07 г. готово_Раб.мат. ККБК ВС, 2 пг 2008 г. (Павел)_Раб.мат. УК ТЭЦ (Павел), 2 этап" xfId="25"/>
    <cellStyle name="d_Доп. КПН за  2004 1г._Резерв по отпускам на 31.12.06 г. и 07 г. готово_Сверка аналитики по ЗП" xfId="26"/>
    <cellStyle name="d_Доп. КПН за  2004 1г._Резерв по отпускам на 31.12.06 г. и 07 г. готово_сверка с контрагентами ШЭТ 2008" xfId="27"/>
    <cellStyle name="d_Доп. КПН за  2004 1г._Резерв по отпускам на 31.12.06 г. и 07 г. готово_Трансформационная ФО за 2007 г." xfId="28"/>
    <cellStyle name="d_Доп. КПН за  2004 1г._Резерв по отпускам на 31.12.06 г. и 07 г. готово_ФО 08 ВС" xfId="29"/>
    <cellStyle name="d_Доп. КПН за  2004 1г._Резерв по отпускам на 31.12.06 г. и 07 г. готово_ФО ВАП, аудит 08" xfId="30"/>
    <cellStyle name="d_Доп. КПН за  2004 1г._Резерв по отпускам на 31.12.06 г. и 07 г. готово_ФО ВАП, аудит 08 ОВЦ" xfId="31"/>
    <cellStyle name="d_Доп. КПН за  2004 1г._Резерв по отпускам на 31.12.06 г. и 07 г. готово_ФО ВС по МСФО за 2008 г." xfId="32"/>
    <cellStyle name="d_КПН за  2004 г1." xfId="33"/>
    <cellStyle name="d_КПН за  2004 г1._Зпл по ноябрь" xfId="34"/>
    <cellStyle name="d_КПН за  2004 г1._Зпл по ноябрь_Прил. к отчету ВС, 2 этап" xfId="35"/>
    <cellStyle name="d_КПН за  2004 г1._Зпл по ноябрь_Приложения по зар.плате" xfId="36"/>
    <cellStyle name="d_КПН за  2004 г1._Нерезиденты 4 кв. 08 г." xfId="37"/>
    <cellStyle name="d_КПН за  2004 г1._Нерезиденты 4 кв. 08 г._Книга1" xfId="38"/>
    <cellStyle name="d_КПН за  2004 г1._Нерезиденты 4 кв. 08 г._Невычеты" xfId="39"/>
    <cellStyle name="d_КПН за  2004 г1._Нерезиденты 4 кв. 08 г._Раб.мат. УК ТЭЦ (Павел), 2 этап" xfId="40"/>
    <cellStyle name="d_КПН за  2004 г1._Резерв по отпускам на 31.12.06 г. и 07 г. готово" xfId="41"/>
    <cellStyle name="d_КПН за  2004 г1._Резерв по отпускам на 31.12.06 г. и 07 г. готово_Отсроченный КПН" xfId="42"/>
    <cellStyle name="d_КПН за  2004 г1._Резерв по отпускам на 31.12.06 г. и 07 г. готово_Прил. к отчету ВС, 2 этап" xfId="43"/>
    <cellStyle name="d_КПН за  2004 г1._Резерв по отпускам на 31.12.06 г. и 07 г. готово_Прил. к отчету ШЭТ, 2008" xfId="44"/>
    <cellStyle name="d_КПН за  2004 г1._Резерв по отпускам на 31.12.06 г. и 07 г. готово_Приложения ЖД ВТС, 2006" xfId="45"/>
    <cellStyle name="d_КПН за  2004 г1._Резерв по отпускам на 31.12.06 г. и 07 г. готово_Приложения по зар.плате" xfId="46"/>
    <cellStyle name="d_КПН за  2004 г1._Резерв по отпускам на 31.12.06 г. и 07 г. готово_Приложения УК МК, 2 эт. 2008 г" xfId="47"/>
    <cellStyle name="d_КПН за  2004 г1._Резерв по отпускам на 31.12.06 г. и 07 г. готово_Проект аудирован. ФО УК ТС, 2008" xfId="48"/>
    <cellStyle name="d_КПН за  2004 г1._Резерв по отпускам на 31.12.06 г. и 07 г. готово_Проект аудирован. ФО УК ТС, 2008_1" xfId="49"/>
    <cellStyle name="d_КПН за  2004 г1._Резерв по отпускам на 31.12.06 г. и 07 г. готово_Проект аудирован. ФО УК ТС, 2008_1_запасы уктс" xfId="50"/>
    <cellStyle name="d_КПН за  2004 г1._Резерв по отпускам на 31.12.06 г. и 07 г. готово_Проект аудирован. ФО ШЭТ 2008" xfId="51"/>
    <cellStyle name="d_КПН за  2004 г1._Резерв по отпускам на 31.12.06 г. и 07 г. готово_Раб.мат. ККБК ВС, 2 пг 2008 г. (Павел)" xfId="52"/>
    <cellStyle name="d_КПН за  2004 г1._Резерв по отпускам на 31.12.06 г. и 07 г. готово_Раб.мат. ККБК ВС, 2 пг 2008 г. (Павел)_Книга1" xfId="53"/>
    <cellStyle name="d_КПН за  2004 г1._Резерв по отпускам на 31.12.06 г. и 07 г. готово_Раб.мат. ККБК ВС, 2 пг 2008 г. (Павел)_Невычеты" xfId="54"/>
    <cellStyle name="d_КПН за  2004 г1._Резерв по отпускам на 31.12.06 г. и 07 г. готово_Раб.мат. ККБК ВС, 2 пг 2008 г. (Павел)_Раб.мат. УК ТЭЦ (Павел), 2 этап" xfId="55"/>
    <cellStyle name="d_КПН за  2004 г1._Резерв по отпускам на 31.12.06 г. и 07 г. готово_Сверка аналитики по ЗП" xfId="56"/>
    <cellStyle name="d_КПН за  2004 г1._Резерв по отпускам на 31.12.06 г. и 07 г. готово_сверка с контрагентами ШЭТ 2008" xfId="57"/>
    <cellStyle name="d_КПН за  2004 г1._Резерв по отпускам на 31.12.06 г. и 07 г. готово_Трансформационная ФО за 2007 г." xfId="58"/>
    <cellStyle name="d_КПН за  2004 г1._Резерв по отпускам на 31.12.06 г. и 07 г. готово_ФО 08 ВС" xfId="59"/>
    <cellStyle name="d_КПН за  2004 г1._Резерв по отпускам на 31.12.06 г. и 07 г. готово_ФО ВАП, аудит 08" xfId="60"/>
    <cellStyle name="d_КПН за  2004 г1._Резерв по отпускам на 31.12.06 г. и 07 г. готово_ФО ВАП, аудит 08 ОВЦ" xfId="61"/>
    <cellStyle name="d_КПН за  2004 г1._Резерв по отпускам на 31.12.06 г. и 07 г. готово_ФО ВС по МСФО за 2008 г." xfId="62"/>
    <cellStyle name="d_КПН за  2005 гдепозит" xfId="63"/>
    <cellStyle name="d_КПН за  2005 гдепозит_Зпл по ноябрь" xfId="64"/>
    <cellStyle name="d_КПН за  2005 гдепозит_Зпл по ноябрь_Прил. к отчету ВС, 2 этап" xfId="65"/>
    <cellStyle name="d_КПН за  2005 гдепозит_Зпл по ноябрь_Приложения по зар.плате" xfId="66"/>
    <cellStyle name="d_КПН за  2005 гдепозит_Нерезиденты 4 кв. 08 г." xfId="67"/>
    <cellStyle name="d_КПН за  2005 гдепозит_Нерезиденты 4 кв. 08 г._Книга1" xfId="68"/>
    <cellStyle name="d_КПН за  2005 гдепозит_Нерезиденты 4 кв. 08 г._Невычеты" xfId="69"/>
    <cellStyle name="d_КПН за  2005 гдепозит_Нерезиденты 4 кв. 08 г._Раб.мат. УК ТЭЦ (Павел), 2 этап" xfId="70"/>
    <cellStyle name="d_КПН за  2005 гдепозит_Резерв по отпускам на 31.12.06 г. и 07 г. готово" xfId="71"/>
    <cellStyle name="d_КПН за  2005 гдепозит_Резерв по отпускам на 31.12.06 г. и 07 г. готово_Отсроченный КПН" xfId="72"/>
    <cellStyle name="d_КПН за  2005 гдепозит_Резерв по отпускам на 31.12.06 г. и 07 г. готово_Прил. к отчету ВС, 2 этап" xfId="73"/>
    <cellStyle name="d_КПН за  2005 гдепозит_Резерв по отпускам на 31.12.06 г. и 07 г. готово_Прил. к отчету ШЭТ, 2008" xfId="74"/>
    <cellStyle name="d_КПН за  2005 гдепозит_Резерв по отпускам на 31.12.06 г. и 07 г. готово_Приложения ЖД ВТС, 2006" xfId="75"/>
    <cellStyle name="d_КПН за  2005 гдепозит_Резерв по отпускам на 31.12.06 г. и 07 г. готово_Приложения по зар.плате" xfId="76"/>
    <cellStyle name="d_КПН за  2005 гдепозит_Резерв по отпускам на 31.12.06 г. и 07 г. готово_Приложения УК МК, 2 эт. 2008 г" xfId="77"/>
    <cellStyle name="d_КПН за  2005 гдепозит_Резерв по отпускам на 31.12.06 г. и 07 г. готово_Проект аудирован. ФО УК ТС, 2008" xfId="78"/>
    <cellStyle name="d_КПН за  2005 гдепозит_Резерв по отпускам на 31.12.06 г. и 07 г. готово_Проект аудирован. ФО УК ТС, 2008_1" xfId="79"/>
    <cellStyle name="d_КПН за  2005 гдепозит_Резерв по отпускам на 31.12.06 г. и 07 г. готово_Проект аудирован. ФО УК ТС, 2008_1_запасы уктс" xfId="80"/>
    <cellStyle name="d_КПН за  2005 гдепозит_Резерв по отпускам на 31.12.06 г. и 07 г. готово_Проект аудирован. ФО ШЭТ 2008" xfId="81"/>
    <cellStyle name="d_КПН за  2005 гдепозит_Резерв по отпускам на 31.12.06 г. и 07 г. готово_Раб.мат. ККБК ВС, 2 пг 2008 г. (Павел)" xfId="82"/>
    <cellStyle name="d_КПН за  2005 гдепозит_Резерв по отпускам на 31.12.06 г. и 07 г. готово_Раб.мат. ККБК ВС, 2 пг 2008 г. (Павел)_Книга1" xfId="83"/>
    <cellStyle name="d_КПН за  2005 гдепозит_Резерв по отпускам на 31.12.06 г. и 07 г. готово_Раб.мат. ККБК ВС, 2 пг 2008 г. (Павел)_Невычеты" xfId="84"/>
    <cellStyle name="d_КПН за  2005 гдепозит_Резерв по отпускам на 31.12.06 г. и 07 г. готово_Раб.мат. ККБК ВС, 2 пг 2008 г. (Павел)_Раб.мат. УК ТЭЦ (Павел), 2 этап" xfId="85"/>
    <cellStyle name="d_КПН за  2005 гдепозит_Резерв по отпускам на 31.12.06 г. и 07 г. готово_Сверка аналитики по ЗП" xfId="86"/>
    <cellStyle name="d_КПН за  2005 гдепозит_Резерв по отпускам на 31.12.06 г. и 07 г. готово_сверка с контрагентами ШЭТ 2008" xfId="87"/>
    <cellStyle name="d_КПН за  2005 гдепозит_Резерв по отпускам на 31.12.06 г. и 07 г. готово_Трансформационная ФО за 2007 г." xfId="88"/>
    <cellStyle name="d_КПН за  2005 гдепозит_Резерв по отпускам на 31.12.06 г. и 07 г. готово_ФО 08 ВС" xfId="89"/>
    <cellStyle name="d_КПН за  2005 гдепозит_Резерв по отпускам на 31.12.06 г. и 07 г. готово_ФО ВАП, аудит 08" xfId="90"/>
    <cellStyle name="d_КПН за  2005 гдепозит_Резерв по отпускам на 31.12.06 г. и 07 г. готово_ФО ВАП, аудит 08 ОВЦ" xfId="91"/>
    <cellStyle name="d_КПН за  2005 гдепозит_Резерв по отпускам на 31.12.06 г. и 07 г. готово_ФО ВС по МСФО за 2008 г." xfId="92"/>
    <cellStyle name="d_КПН, ф. 100 30.03.051" xfId="93"/>
    <cellStyle name="d_КПН, ф. 100 ИПЛ 2004 г 2 вар" xfId="94"/>
    <cellStyle name="d_КПН, ф. 100 ИПЛ 2004 г." xfId="95"/>
    <cellStyle name="d_КПН, ф. 100 ИПЛ 2004 г._Зпл по ноябрь" xfId="96"/>
    <cellStyle name="d_КПН, ф. 100 ИПЛ 2004 г._Зпл по ноябрь_Прил. к отчету ВС, 2 этап" xfId="97"/>
    <cellStyle name="d_КПН, ф. 100 ИПЛ 2004 г._Зпл по ноябрь_Приложения по зар.плате" xfId="98"/>
    <cellStyle name="d_КПН, ф. 100 ИПЛ 2004 г._Нерезиденты 4 кв. 08 г." xfId="99"/>
    <cellStyle name="d_КПН, ф. 100 ИПЛ 2004 г._Нерезиденты 4 кв. 08 г._Книга1" xfId="100"/>
    <cellStyle name="d_КПН, ф. 100 ИПЛ 2004 г._Нерезиденты 4 кв. 08 г._Невычеты" xfId="101"/>
    <cellStyle name="d_КПН, ф. 100 ИПЛ 2004 г._Нерезиденты 4 кв. 08 г._Раб.мат. УК ТЭЦ (Павел), 2 этап" xfId="102"/>
    <cellStyle name="d_КПН, ф. 100 ИПЛ 2004 г._Резерв по отпускам на 31.12.06 г. и 07 г. готово" xfId="103"/>
    <cellStyle name="d_КПН, ф. 100 ИПЛ 2004 г._Резерв по отпускам на 31.12.06 г. и 07 г. готово_Отсроченный КПН" xfId="104"/>
    <cellStyle name="d_КПН, ф. 100 ИПЛ 2004 г._Резерв по отпускам на 31.12.06 г. и 07 г. готово_Прил. к отчету ВС, 2 этап" xfId="105"/>
    <cellStyle name="d_КПН, ф. 100 ИПЛ 2004 г._Резерв по отпускам на 31.12.06 г. и 07 г. готово_Прил. к отчету ШЭТ, 2008" xfId="106"/>
    <cellStyle name="d_КПН, ф. 100 ИПЛ 2004 г._Резерв по отпускам на 31.12.06 г. и 07 г. готово_Приложения ЖД ВТС, 2006" xfId="107"/>
    <cellStyle name="d_КПН, ф. 100 ИПЛ 2004 г._Резерв по отпускам на 31.12.06 г. и 07 г. готово_Приложения по зар.плате" xfId="108"/>
    <cellStyle name="d_КПН, ф. 100 ИПЛ 2004 г._Резерв по отпускам на 31.12.06 г. и 07 г. готово_Приложения УК МК, 2 эт. 2008 г" xfId="109"/>
    <cellStyle name="d_КПН, ф. 100 ИПЛ 2004 г._Резерв по отпускам на 31.12.06 г. и 07 г. готово_Проект аудирован. ФО УК ТС, 2008" xfId="110"/>
    <cellStyle name="d_КПН, ф. 100 ИПЛ 2004 г._Резерв по отпускам на 31.12.06 г. и 07 г. готово_Проект аудирован. ФО УК ТС, 2008_1" xfId="111"/>
    <cellStyle name="d_КПН, ф. 100 ИПЛ 2004 г._Резерв по отпускам на 31.12.06 г. и 07 г. готово_Проект аудирован. ФО УК ТС, 2008_1_запасы уктс" xfId="112"/>
    <cellStyle name="d_КПН, ф. 100 ИПЛ 2004 г._Резерв по отпускам на 31.12.06 г. и 07 г. готово_Проект аудирован. ФО ШЭТ 2008" xfId="113"/>
    <cellStyle name="d_КПН, ф. 100 ИПЛ 2004 г._Резерв по отпускам на 31.12.06 г. и 07 г. готово_Раб.мат. ККБК ВС, 2 пг 2008 г. (Павел)" xfId="114"/>
    <cellStyle name="d_КПН, ф. 100 ИПЛ 2004 г._Резерв по отпускам на 31.12.06 г. и 07 г. готово_Раб.мат. ККБК ВС, 2 пг 2008 г. (Павел)_Книга1" xfId="115"/>
    <cellStyle name="d_КПН, ф. 100 ИПЛ 2004 г._Резерв по отпускам на 31.12.06 г. и 07 г. готово_Раб.мат. ККБК ВС, 2 пг 2008 г. (Павел)_Невычеты" xfId="116"/>
    <cellStyle name="d_КПН, ф. 100 ИПЛ 2004 г._Резерв по отпускам на 31.12.06 г. и 07 г. готово_Раб.мат. ККБК ВС, 2 пг 2008 г. (Павел)_Раб.мат. УК ТЭЦ (Павел), 2 этап" xfId="117"/>
    <cellStyle name="d_КПН, ф. 100 ИПЛ 2004 г._Резерв по отпускам на 31.12.06 г. и 07 г. готово_Сверка аналитики по ЗП" xfId="118"/>
    <cellStyle name="d_КПН, ф. 100 ИПЛ 2004 г._Резерв по отпускам на 31.12.06 г. и 07 г. готово_сверка с контрагентами ШЭТ 2008" xfId="119"/>
    <cellStyle name="d_КПН, ф. 100 ИПЛ 2004 г._Резерв по отпускам на 31.12.06 г. и 07 г. готово_Трансформационная ФО за 2007 г." xfId="120"/>
    <cellStyle name="d_КПН, ф. 100 ИПЛ 2004 г._Резерв по отпускам на 31.12.06 г. и 07 г. готово_ФО 08 ВС" xfId="121"/>
    <cellStyle name="d_КПН, ф. 100 ИПЛ 2004 г._Резерв по отпускам на 31.12.06 г. и 07 г. готово_ФО ВАП, аудит 08" xfId="122"/>
    <cellStyle name="d_КПН, ф. 100 ИПЛ 2004 г._Резерв по отпускам на 31.12.06 г. и 07 г. готово_ФО ВАП, аудит 08 ОВЦ" xfId="123"/>
    <cellStyle name="d_КПН, ф. 100 ИПЛ 2004 г._Резерв по отпускам на 31.12.06 г. и 07 г. готово_ФО ВС по МСФО за 2008 г." xfId="124"/>
    <cellStyle name="d_Прил. к акту ШГЭС за 2005 г." xfId="125"/>
    <cellStyle name="d_Приложения к акту ИПЛ 1" xfId="126"/>
    <cellStyle name="Date" xfId="1039"/>
    <cellStyle name="Date 2" xfId="1040"/>
    <cellStyle name="Date 3" xfId="1041"/>
    <cellStyle name="Date Short" xfId="1042"/>
    <cellStyle name="Date without year" xfId="1043"/>
    <cellStyle name="Date without year 2" xfId="1044"/>
    <cellStyle name="DELTA" xfId="1045"/>
    <cellStyle name="Dezimal [0]_Closing FX Kurse" xfId="1046"/>
    <cellStyle name="Dezimal_Closing FX Kurse" xfId="1047"/>
    <cellStyle name="E&amp;Y House" xfId="1048"/>
    <cellStyle name="E&amp;Y House 2" xfId="1049"/>
    <cellStyle name="Enter Currency (0)" xfId="1050"/>
    <cellStyle name="Enter Currency (2)" xfId="1051"/>
    <cellStyle name="Enter Units (0)" xfId="1052"/>
    <cellStyle name="Enter Units (1)" xfId="1053"/>
    <cellStyle name="Enter Units (2)" xfId="1054"/>
    <cellStyle name="Euro" xfId="127"/>
    <cellStyle name="Explanatory Text" xfId="1055"/>
    <cellStyle name="Explanatory Text 2" xfId="1056"/>
    <cellStyle name="Fixed" xfId="1057"/>
    <cellStyle name="From" xfId="1058"/>
    <cellStyle name="From 2" xfId="1059"/>
    <cellStyle name="From 3" xfId="1060"/>
    <cellStyle name="g" xfId="128"/>
    <cellStyle name="g_Invoice GI" xfId="129"/>
    <cellStyle name="g_Invoice GI_Декларация по КПН ШГЭС за 2005 г." xfId="130"/>
    <cellStyle name="g_Invoice GI_Декларация по КПН ШГЭС за 2005 г._Зпл по ноябрь" xfId="131"/>
    <cellStyle name="g_Invoice GI_Декларация по КПН ШГЭС за 2005 г._Зпл по ноябрь_Прил. к отчету ВС, 2 этап" xfId="132"/>
    <cellStyle name="g_Invoice GI_Декларация по КПН ШГЭС за 2005 г._Зпл по ноябрь_Приложения по зар.плате" xfId="133"/>
    <cellStyle name="g_Invoice GI_Декларация по КПН ШГЭС за 2005 г._Нерезиденты 4 кв. 08 г." xfId="134"/>
    <cellStyle name="g_Invoice GI_Декларация по КПН ШГЭС за 2005 г._Нерезиденты 4 кв. 08 г._Книга1" xfId="135"/>
    <cellStyle name="g_Invoice GI_Декларация по КПН ШГЭС за 2005 г._Нерезиденты 4 кв. 08 г._Невычеты" xfId="136"/>
    <cellStyle name="g_Invoice GI_Декларация по КПН ШГЭС за 2005 г._Нерезиденты 4 кв. 08 г._Раб.мат. УК ТЭЦ (Павел), 2 этап" xfId="137"/>
    <cellStyle name="g_Invoice GI_Декларация по КПН ШГЭС за 2005 г._Резерв по отпускам на 31.12.06 г. и 07 г. готово" xfId="138"/>
    <cellStyle name="g_Invoice GI_Декларация по КПН ШГЭС за 2005 г._Резерв по отпускам на 31.12.06 г. и 07 г. готово_Отсроченный КПН" xfId="139"/>
    <cellStyle name="g_Invoice GI_Декларация по КПН ШГЭС за 2005 г._Резерв по отпускам на 31.12.06 г. и 07 г. готово_Прил. к отчету ВС, 2 этап" xfId="140"/>
    <cellStyle name="g_Invoice GI_Декларация по КПН ШГЭС за 2005 г._Резерв по отпускам на 31.12.06 г. и 07 г. готово_Прил. к отчету ШЭТ, 2008" xfId="141"/>
    <cellStyle name="g_Invoice GI_Декларация по КПН ШГЭС за 2005 г._Резерв по отпускам на 31.12.06 г. и 07 г. готово_Приложения ЖД ВТС, 2006" xfId="142"/>
    <cellStyle name="g_Invoice GI_Декларация по КПН ШГЭС за 2005 г._Резерв по отпускам на 31.12.06 г. и 07 г. готово_Приложения по зар.плате" xfId="143"/>
    <cellStyle name="g_Invoice GI_Декларация по КПН ШГЭС за 2005 г._Резерв по отпускам на 31.12.06 г. и 07 г. готово_Приложения УК МК, 2 эт. 2008 г" xfId="144"/>
    <cellStyle name="g_Invoice GI_Декларация по КПН ШГЭС за 2005 г._Резерв по отпускам на 31.12.06 г. и 07 г. готово_Проект аудирован. ФО УК ТС, 2008" xfId="145"/>
    <cellStyle name="g_Invoice GI_Декларация по КПН ШГЭС за 2005 г._Резерв по отпускам на 31.12.06 г. и 07 г. готово_Проект аудирован. ФО УК ТС, 2008_1" xfId="146"/>
    <cellStyle name="g_Invoice GI_Декларация по КПН ШГЭС за 2005 г._Резерв по отпускам на 31.12.06 г. и 07 г. готово_Проект аудирован. ФО УК ТС, 2008_1_запасы уктс" xfId="147"/>
    <cellStyle name="g_Invoice GI_Декларация по КПН ШГЭС за 2005 г._Резерв по отпускам на 31.12.06 г. и 07 г. готово_Проект аудирован. ФО ШЭТ 2008" xfId="148"/>
    <cellStyle name="g_Invoice GI_Декларация по КПН ШГЭС за 2005 г._Резерв по отпускам на 31.12.06 г. и 07 г. готово_Раб.мат. ККБК ВС, 2 пг 2008 г. (Павел)" xfId="149"/>
    <cellStyle name="g_Invoice GI_Декларация по КПН ШГЭС за 2005 г._Резерв по отпускам на 31.12.06 г. и 07 г. готово_Раб.мат. ККБК ВС, 2 пг 2008 г. (Павел)_Книга1" xfId="150"/>
    <cellStyle name="g_Invoice GI_Декларация по КПН ШГЭС за 2005 г._Резерв по отпускам на 31.12.06 г. и 07 г. готово_Раб.мат. ККБК ВС, 2 пг 2008 г. (Павел)_Невычеты" xfId="151"/>
    <cellStyle name="g_Invoice GI_Декларация по КПН ШГЭС за 2005 г._Резерв по отпускам на 31.12.06 г. и 07 г. готово_Раб.мат. ККБК ВС, 2 пг 2008 г. (Павел)_Раб.мат. УК ТЭЦ (Павел), 2 этап" xfId="152"/>
    <cellStyle name="g_Invoice GI_Декларация по КПН ШГЭС за 2005 г._Резерв по отпускам на 31.12.06 г. и 07 г. готово_Сверка аналитики по ЗП" xfId="153"/>
    <cellStyle name="g_Invoice GI_Декларация по КПН ШГЭС за 2005 г._Резерв по отпускам на 31.12.06 г. и 07 г. готово_сверка с контрагентами ШЭТ 2008" xfId="154"/>
    <cellStyle name="g_Invoice GI_Декларация по КПН ШГЭС за 2005 г._Резерв по отпускам на 31.12.06 г. и 07 г. готово_Трансформационная ФО за 2007 г." xfId="155"/>
    <cellStyle name="g_Invoice GI_Декларация по КПН ШГЭС за 2005 г._Резерв по отпускам на 31.12.06 г. и 07 г. готово_ФО 08 ВС" xfId="156"/>
    <cellStyle name="g_Invoice GI_Декларация по КПН ШГЭС за 2005 г._Резерв по отпускам на 31.12.06 г. и 07 г. готово_ФО ВАП, аудит 08" xfId="157"/>
    <cellStyle name="g_Invoice GI_Декларация по КПН ШГЭС за 2005 г._Резерв по отпускам на 31.12.06 г. и 07 г. готово_ФО ВАП, аудит 08 ОВЦ" xfId="158"/>
    <cellStyle name="g_Invoice GI_Декларация по КПН ШГЭС за 2005 г._Резерв по отпускам на 31.12.06 г. и 07 г. готово_ФО ВС по МСФО за 2008 г." xfId="159"/>
    <cellStyle name="g_Invoice GI_Доп. КПН за  2004 1г." xfId="160"/>
    <cellStyle name="g_Invoice GI_Доп. КПН за  2004 1г._Зпл по ноябрь" xfId="161"/>
    <cellStyle name="g_Invoice GI_Доп. КПН за  2004 1г._Зпл по ноябрь_Прил. к отчету ВС, 2 этап" xfId="162"/>
    <cellStyle name="g_Invoice GI_Доп. КПН за  2004 1г._Зпл по ноябрь_Приложения по зар.плате" xfId="163"/>
    <cellStyle name="g_Invoice GI_Доп. КПН за  2004 1г._Нерезиденты 4 кв. 08 г." xfId="164"/>
    <cellStyle name="g_Invoice GI_Доп. КПН за  2004 1г._Нерезиденты 4 кв. 08 г._Книга1" xfId="165"/>
    <cellStyle name="g_Invoice GI_Доп. КПН за  2004 1г._Нерезиденты 4 кв. 08 г._Невычеты" xfId="166"/>
    <cellStyle name="g_Invoice GI_Доп. КПН за  2004 1г._Нерезиденты 4 кв. 08 г._Раб.мат. УК ТЭЦ (Павел), 2 этап" xfId="167"/>
    <cellStyle name="g_Invoice GI_Доп. КПН за  2004 1г._Резерв по отпускам на 31.12.06 г. и 07 г. готово" xfId="168"/>
    <cellStyle name="g_Invoice GI_Доп. КПН за  2004 1г._Резерв по отпускам на 31.12.06 г. и 07 г. готово_Отсроченный КПН" xfId="169"/>
    <cellStyle name="g_Invoice GI_Доп. КПН за  2004 1г._Резерв по отпускам на 31.12.06 г. и 07 г. готово_Прил. к отчету ВС, 2 этап" xfId="170"/>
    <cellStyle name="g_Invoice GI_Доп. КПН за  2004 1г._Резерв по отпускам на 31.12.06 г. и 07 г. готово_Прил. к отчету ШЭТ, 2008" xfId="171"/>
    <cellStyle name="g_Invoice GI_Доп. КПН за  2004 1г._Резерв по отпускам на 31.12.06 г. и 07 г. готово_Приложения ЖД ВТС, 2006" xfId="172"/>
    <cellStyle name="g_Invoice GI_Доп. КПН за  2004 1г._Резерв по отпускам на 31.12.06 г. и 07 г. готово_Приложения по зар.плате" xfId="173"/>
    <cellStyle name="g_Invoice GI_Доп. КПН за  2004 1г._Резерв по отпускам на 31.12.06 г. и 07 г. готово_Приложения УК МК, 2 эт. 2008 г" xfId="174"/>
    <cellStyle name="g_Invoice GI_Доп. КПН за  2004 1г._Резерв по отпускам на 31.12.06 г. и 07 г. готово_Проект аудирован. ФО УК ТС, 2008" xfId="175"/>
    <cellStyle name="g_Invoice GI_Доп. КПН за  2004 1г._Резерв по отпускам на 31.12.06 г. и 07 г. готово_Проект аудирован. ФО УК ТС, 2008_1" xfId="176"/>
    <cellStyle name="g_Invoice GI_Доп. КПН за  2004 1г._Резерв по отпускам на 31.12.06 г. и 07 г. готово_Проект аудирован. ФО УК ТС, 2008_1_запасы уктс" xfId="177"/>
    <cellStyle name="g_Invoice GI_Доп. КПН за  2004 1г._Резерв по отпускам на 31.12.06 г. и 07 г. готово_Проект аудирован. ФО ШЭТ 2008" xfId="178"/>
    <cellStyle name="g_Invoice GI_Доп. КПН за  2004 1г._Резерв по отпускам на 31.12.06 г. и 07 г. готово_Раб.мат. ККБК ВС, 2 пг 2008 г. (Павел)" xfId="179"/>
    <cellStyle name="g_Invoice GI_Доп. КПН за  2004 1г._Резерв по отпускам на 31.12.06 г. и 07 г. готово_Раб.мат. ККБК ВС, 2 пг 2008 г. (Павел)_Книга1" xfId="180"/>
    <cellStyle name="g_Invoice GI_Доп. КПН за  2004 1г._Резерв по отпускам на 31.12.06 г. и 07 г. готово_Раб.мат. ККБК ВС, 2 пг 2008 г. (Павел)_Невычеты" xfId="181"/>
    <cellStyle name="g_Invoice GI_Доп. КПН за  2004 1г._Резерв по отпускам на 31.12.06 г. и 07 г. готово_Раб.мат. ККБК ВС, 2 пг 2008 г. (Павел)_Раб.мат. УК ТЭЦ (Павел), 2 этап" xfId="182"/>
    <cellStyle name="g_Invoice GI_Доп. КПН за  2004 1г._Резерв по отпускам на 31.12.06 г. и 07 г. готово_Сверка аналитики по ЗП" xfId="183"/>
    <cellStyle name="g_Invoice GI_Доп. КПН за  2004 1г._Резерв по отпускам на 31.12.06 г. и 07 г. готово_сверка с контрагентами ШЭТ 2008" xfId="184"/>
    <cellStyle name="g_Invoice GI_Доп. КПН за  2004 1г._Резерв по отпускам на 31.12.06 г. и 07 г. готово_Трансформационная ФО за 2007 г." xfId="185"/>
    <cellStyle name="g_Invoice GI_Доп. КПН за  2004 1г._Резерв по отпускам на 31.12.06 г. и 07 г. готово_ФО 08 ВС" xfId="186"/>
    <cellStyle name="g_Invoice GI_Доп. КПН за  2004 1г._Резерв по отпускам на 31.12.06 г. и 07 г. готово_ФО ВАП, аудит 08" xfId="187"/>
    <cellStyle name="g_Invoice GI_Доп. КПН за  2004 1г._Резерв по отпускам на 31.12.06 г. и 07 г. готово_ФО ВАП, аудит 08 ОВЦ" xfId="188"/>
    <cellStyle name="g_Invoice GI_Доп. КПН за  2004 1г._Резерв по отпускам на 31.12.06 г. и 07 г. готово_ФО ВС по МСФО за 2008 г." xfId="189"/>
    <cellStyle name="g_Invoice GI_Зпл по ноябрь" xfId="190"/>
    <cellStyle name="g_Invoice GI_Зпл по ноябрь_Прил. к отчету ВС, 2 этап" xfId="191"/>
    <cellStyle name="g_Invoice GI_Зпл по ноябрь_Приложения по зар.плате" xfId="192"/>
    <cellStyle name="g_Invoice GI_КПН за  2004 г1." xfId="193"/>
    <cellStyle name="g_Invoice GI_КПН за  2004 г1._Зпл по ноябрь" xfId="194"/>
    <cellStyle name="g_Invoice GI_КПН за  2004 г1._Зпл по ноябрь_Прил. к отчету ВС, 2 этап" xfId="195"/>
    <cellStyle name="g_Invoice GI_КПН за  2004 г1._Зпл по ноябрь_Приложения по зар.плате" xfId="196"/>
    <cellStyle name="g_Invoice GI_КПН за  2004 г1._Нерезиденты 4 кв. 08 г." xfId="197"/>
    <cellStyle name="g_Invoice GI_КПН за  2004 г1._Нерезиденты 4 кв. 08 г._Книга1" xfId="198"/>
    <cellStyle name="g_Invoice GI_КПН за  2004 г1._Нерезиденты 4 кв. 08 г._Невычеты" xfId="199"/>
    <cellStyle name="g_Invoice GI_КПН за  2004 г1._Нерезиденты 4 кв. 08 г._Раб.мат. УК ТЭЦ (Павел), 2 этап" xfId="200"/>
    <cellStyle name="g_Invoice GI_КПН за  2004 г1._Резерв по отпускам на 31.12.06 г. и 07 г. готово" xfId="201"/>
    <cellStyle name="g_Invoice GI_КПН за  2004 г1._Резерв по отпускам на 31.12.06 г. и 07 г. готово_Отсроченный КПН" xfId="202"/>
    <cellStyle name="g_Invoice GI_КПН за  2004 г1._Резерв по отпускам на 31.12.06 г. и 07 г. готово_Прил. к отчету ВС, 2 этап" xfId="203"/>
    <cellStyle name="g_Invoice GI_КПН за  2004 г1._Резерв по отпускам на 31.12.06 г. и 07 г. готово_Прил. к отчету ШЭТ, 2008" xfId="204"/>
    <cellStyle name="g_Invoice GI_КПН за  2004 г1._Резерв по отпускам на 31.12.06 г. и 07 г. готово_Приложения ЖД ВТС, 2006" xfId="205"/>
    <cellStyle name="g_Invoice GI_КПН за  2004 г1._Резерв по отпускам на 31.12.06 г. и 07 г. готово_Приложения по зар.плате" xfId="206"/>
    <cellStyle name="g_Invoice GI_КПН за  2004 г1._Резерв по отпускам на 31.12.06 г. и 07 г. готово_Приложения УК МК, 2 эт. 2008 г" xfId="207"/>
    <cellStyle name="g_Invoice GI_КПН за  2004 г1._Резерв по отпускам на 31.12.06 г. и 07 г. готово_Проект аудирован. ФО УК ТС, 2008" xfId="208"/>
    <cellStyle name="g_Invoice GI_КПН за  2004 г1._Резерв по отпускам на 31.12.06 г. и 07 г. готово_Проект аудирован. ФО УК ТС, 2008_1" xfId="209"/>
    <cellStyle name="g_Invoice GI_КПН за  2004 г1._Резерв по отпускам на 31.12.06 г. и 07 г. готово_Проект аудирован. ФО УК ТС, 2008_1_запасы уктс" xfId="210"/>
    <cellStyle name="g_Invoice GI_КПН за  2004 г1._Резерв по отпускам на 31.12.06 г. и 07 г. готово_Проект аудирован. ФО ШЭТ 2008" xfId="211"/>
    <cellStyle name="g_Invoice GI_КПН за  2004 г1._Резерв по отпускам на 31.12.06 г. и 07 г. готово_Раб.мат. ККБК ВС, 2 пг 2008 г. (Павел)" xfId="212"/>
    <cellStyle name="g_Invoice GI_КПН за  2004 г1._Резерв по отпускам на 31.12.06 г. и 07 г. готово_Раб.мат. ККБК ВС, 2 пг 2008 г. (Павел)_Книга1" xfId="213"/>
    <cellStyle name="g_Invoice GI_КПН за  2004 г1._Резерв по отпускам на 31.12.06 г. и 07 г. готово_Раб.мат. ККБК ВС, 2 пг 2008 г. (Павел)_Невычеты" xfId="214"/>
    <cellStyle name="g_Invoice GI_КПН за  2004 г1._Резерв по отпускам на 31.12.06 г. и 07 г. готово_Раб.мат. ККБК ВС, 2 пг 2008 г. (Павел)_Раб.мат. УК ТЭЦ (Павел), 2 этап" xfId="215"/>
    <cellStyle name="g_Invoice GI_КПН за  2004 г1._Резерв по отпускам на 31.12.06 г. и 07 г. готово_Сверка аналитики по ЗП" xfId="216"/>
    <cellStyle name="g_Invoice GI_КПН за  2004 г1._Резерв по отпускам на 31.12.06 г. и 07 г. готово_сверка с контрагентами ШЭТ 2008" xfId="217"/>
    <cellStyle name="g_Invoice GI_КПН за  2004 г1._Резерв по отпускам на 31.12.06 г. и 07 г. готово_Трансформационная ФО за 2007 г." xfId="218"/>
    <cellStyle name="g_Invoice GI_КПН за  2004 г1._Резерв по отпускам на 31.12.06 г. и 07 г. готово_ФО 08 ВС" xfId="219"/>
    <cellStyle name="g_Invoice GI_КПН за  2004 г1._Резерв по отпускам на 31.12.06 г. и 07 г. готово_ФО ВАП, аудит 08" xfId="220"/>
    <cellStyle name="g_Invoice GI_КПН за  2004 г1._Резерв по отпускам на 31.12.06 г. и 07 г. готово_ФО ВАП, аудит 08 ОВЦ" xfId="221"/>
    <cellStyle name="g_Invoice GI_КПН за  2004 г1._Резерв по отпускам на 31.12.06 г. и 07 г. готово_ФО ВС по МСФО за 2008 г." xfId="222"/>
    <cellStyle name="g_Invoice GI_КПН за  2005 гдепозит" xfId="223"/>
    <cellStyle name="g_Invoice GI_КПН за  2005 гдепозит_Зпл по ноябрь" xfId="224"/>
    <cellStyle name="g_Invoice GI_КПН за  2005 гдепозит_Зпл по ноябрь_Прил. к отчету ВС, 2 этап" xfId="225"/>
    <cellStyle name="g_Invoice GI_КПН за  2005 гдепозит_Зпл по ноябрь_Приложения по зар.плате" xfId="226"/>
    <cellStyle name="g_Invoice GI_КПН за  2005 гдепозит_Нерезиденты 4 кв. 08 г." xfId="227"/>
    <cellStyle name="g_Invoice GI_КПН за  2005 гдепозит_Нерезиденты 4 кв. 08 г._Книга1" xfId="228"/>
    <cellStyle name="g_Invoice GI_КПН за  2005 гдепозит_Нерезиденты 4 кв. 08 г._Невычеты" xfId="229"/>
    <cellStyle name="g_Invoice GI_КПН за  2005 гдепозит_Нерезиденты 4 кв. 08 г._Раб.мат. УК ТЭЦ (Павел), 2 этап" xfId="230"/>
    <cellStyle name="g_Invoice GI_КПН за  2005 гдепозит_Резерв по отпускам на 31.12.06 г. и 07 г. готово" xfId="231"/>
    <cellStyle name="g_Invoice GI_КПН за  2005 гдепозит_Резерв по отпускам на 31.12.06 г. и 07 г. готово_Отсроченный КПН" xfId="232"/>
    <cellStyle name="g_Invoice GI_КПН за  2005 гдепозит_Резерв по отпускам на 31.12.06 г. и 07 г. готово_Прил. к отчету ВС, 2 этап" xfId="233"/>
    <cellStyle name="g_Invoice GI_КПН за  2005 гдепозит_Резерв по отпускам на 31.12.06 г. и 07 г. готово_Прил. к отчету ШЭТ, 2008" xfId="234"/>
    <cellStyle name="g_Invoice GI_КПН за  2005 гдепозит_Резерв по отпускам на 31.12.06 г. и 07 г. готово_Приложения ЖД ВТС, 2006" xfId="235"/>
    <cellStyle name="g_Invoice GI_КПН за  2005 гдепозит_Резерв по отпускам на 31.12.06 г. и 07 г. готово_Приложения по зар.плате" xfId="236"/>
    <cellStyle name="g_Invoice GI_КПН за  2005 гдепозит_Резерв по отпускам на 31.12.06 г. и 07 г. готово_Приложения УК МК, 2 эт. 2008 г" xfId="237"/>
    <cellStyle name="g_Invoice GI_КПН за  2005 гдепозит_Резерв по отпускам на 31.12.06 г. и 07 г. готово_Проект аудирован. ФО УК ТС, 2008" xfId="238"/>
    <cellStyle name="g_Invoice GI_КПН за  2005 гдепозит_Резерв по отпускам на 31.12.06 г. и 07 г. готово_Проект аудирован. ФО УК ТС, 2008_1" xfId="239"/>
    <cellStyle name="g_Invoice GI_КПН за  2005 гдепозит_Резерв по отпускам на 31.12.06 г. и 07 г. готово_Проект аудирован. ФО УК ТС, 2008_1_запасы уктс" xfId="240"/>
    <cellStyle name="g_Invoice GI_КПН за  2005 гдепозит_Резерв по отпускам на 31.12.06 г. и 07 г. готово_Проект аудирован. ФО ШЭТ 2008" xfId="241"/>
    <cellStyle name="g_Invoice GI_КПН за  2005 гдепозит_Резерв по отпускам на 31.12.06 г. и 07 г. готово_Раб.мат. ККБК ВС, 2 пг 2008 г. (Павел)" xfId="242"/>
    <cellStyle name="g_Invoice GI_КПН за  2005 гдепозит_Резерв по отпускам на 31.12.06 г. и 07 г. готово_Раб.мат. ККБК ВС, 2 пг 2008 г. (Павел)_Книга1" xfId="243"/>
    <cellStyle name="g_Invoice GI_КПН за  2005 гдепозит_Резерв по отпускам на 31.12.06 г. и 07 г. готово_Раб.мат. ККБК ВС, 2 пг 2008 г. (Павел)_Невычеты" xfId="244"/>
    <cellStyle name="g_Invoice GI_КПН за  2005 гдепозит_Резерв по отпускам на 31.12.06 г. и 07 г. готово_Раб.мат. ККБК ВС, 2 пг 2008 г. (Павел)_Раб.мат. УК ТЭЦ (Павел), 2 этап" xfId="245"/>
    <cellStyle name="g_Invoice GI_КПН за  2005 гдепозит_Резерв по отпускам на 31.12.06 г. и 07 г. готово_Сверка аналитики по ЗП" xfId="246"/>
    <cellStyle name="g_Invoice GI_КПН за  2005 гдепозит_Резерв по отпускам на 31.12.06 г. и 07 г. готово_сверка с контрагентами ШЭТ 2008" xfId="247"/>
    <cellStyle name="g_Invoice GI_КПН за  2005 гдепозит_Резерв по отпускам на 31.12.06 г. и 07 г. готово_Трансформационная ФО за 2007 г." xfId="248"/>
    <cellStyle name="g_Invoice GI_КПН за  2005 гдепозит_Резерв по отпускам на 31.12.06 г. и 07 г. готово_ФО 08 ВС" xfId="249"/>
    <cellStyle name="g_Invoice GI_КПН за  2005 гдепозит_Резерв по отпускам на 31.12.06 г. и 07 г. готово_ФО ВАП, аудит 08" xfId="250"/>
    <cellStyle name="g_Invoice GI_КПН за  2005 гдепозит_Резерв по отпускам на 31.12.06 г. и 07 г. готово_ФО ВАП, аудит 08 ОВЦ" xfId="251"/>
    <cellStyle name="g_Invoice GI_КПН за  2005 гдепозит_Резерв по отпускам на 31.12.06 г. и 07 г. готово_ФО ВС по МСФО за 2008 г." xfId="252"/>
    <cellStyle name="g_Invoice GI_КПН, ф. 100 30.03.051" xfId="253"/>
    <cellStyle name="g_Invoice GI_КПН, ф. 100 30.03.051_Зпл по ноябрь" xfId="254"/>
    <cellStyle name="g_Invoice GI_КПН, ф. 100 30.03.051_Зпл по ноябрь_Прил. к отчету ВС, 2 этап" xfId="255"/>
    <cellStyle name="g_Invoice GI_КПН, ф. 100 30.03.051_Зпл по ноябрь_Приложения по зар.плате" xfId="256"/>
    <cellStyle name="g_Invoice GI_КПН, ф. 100 30.03.051_Нерезиденты 4 кв. 08 г." xfId="257"/>
    <cellStyle name="g_Invoice GI_КПН, ф. 100 30.03.051_Нерезиденты 4 кв. 08 г._Книга1" xfId="258"/>
    <cellStyle name="g_Invoice GI_КПН, ф. 100 30.03.051_Нерезиденты 4 кв. 08 г._Невычеты" xfId="259"/>
    <cellStyle name="g_Invoice GI_КПН, ф. 100 30.03.051_Нерезиденты 4 кв. 08 г._Раб.мат. УК ТЭЦ (Павел), 2 этап" xfId="260"/>
    <cellStyle name="g_Invoice GI_КПН, ф. 100 30.03.051_Резерв по отпускам на 31.12.06 г. и 07 г. готово" xfId="261"/>
    <cellStyle name="g_Invoice GI_КПН, ф. 100 30.03.051_Резерв по отпускам на 31.12.06 г. и 07 г. готово_Отсроченный КПН" xfId="262"/>
    <cellStyle name="g_Invoice GI_КПН, ф. 100 30.03.051_Резерв по отпускам на 31.12.06 г. и 07 г. готово_Прил. к отчету ВС, 2 этап" xfId="263"/>
    <cellStyle name="g_Invoice GI_КПН, ф. 100 30.03.051_Резерв по отпускам на 31.12.06 г. и 07 г. готово_Прил. к отчету ШЭТ, 2008" xfId="264"/>
    <cellStyle name="g_Invoice GI_КПН, ф. 100 30.03.051_Резерв по отпускам на 31.12.06 г. и 07 г. готово_Приложения ЖД ВТС, 2006" xfId="265"/>
    <cellStyle name="g_Invoice GI_КПН, ф. 100 30.03.051_Резерв по отпускам на 31.12.06 г. и 07 г. готово_Приложения по зар.плате" xfId="266"/>
    <cellStyle name="g_Invoice GI_КПН, ф. 100 30.03.051_Резерв по отпускам на 31.12.06 г. и 07 г. готово_Приложения УК МК, 2 эт. 2008 г" xfId="267"/>
    <cellStyle name="g_Invoice GI_КПН, ф. 100 30.03.051_Резерв по отпускам на 31.12.06 г. и 07 г. готово_Проект аудирован. ФО УК ТС, 2008" xfId="268"/>
    <cellStyle name="g_Invoice GI_КПН, ф. 100 30.03.051_Резерв по отпускам на 31.12.06 г. и 07 г. готово_Проект аудирован. ФО УК ТС, 2008_1" xfId="269"/>
    <cellStyle name="g_Invoice GI_КПН, ф. 100 30.03.051_Резерв по отпускам на 31.12.06 г. и 07 г. готово_Проект аудирован. ФО УК ТС, 2008_1_запасы уктс" xfId="270"/>
    <cellStyle name="g_Invoice GI_КПН, ф. 100 30.03.051_Резерв по отпускам на 31.12.06 г. и 07 г. готово_Проект аудирован. ФО ШЭТ 2008" xfId="271"/>
    <cellStyle name="g_Invoice GI_КПН, ф. 100 30.03.051_Резерв по отпускам на 31.12.06 г. и 07 г. готово_Раб.мат. ККБК ВС, 2 пг 2008 г. (Павел)" xfId="272"/>
    <cellStyle name="g_Invoice GI_КПН, ф. 100 30.03.051_Резерв по отпускам на 31.12.06 г. и 07 г. готово_Раб.мат. ККБК ВС, 2 пг 2008 г. (Павел)_Книга1" xfId="273"/>
    <cellStyle name="g_Invoice GI_КПН, ф. 100 30.03.051_Резерв по отпускам на 31.12.06 г. и 07 г. готово_Раб.мат. ККБК ВС, 2 пг 2008 г. (Павел)_Невычеты" xfId="274"/>
    <cellStyle name="g_Invoice GI_КПН, ф. 100 30.03.051_Резерв по отпускам на 31.12.06 г. и 07 г. готово_Раб.мат. ККБК ВС, 2 пг 2008 г. (Павел)_Раб.мат. УК ТЭЦ (Павел), 2 этап" xfId="275"/>
    <cellStyle name="g_Invoice GI_КПН, ф. 100 30.03.051_Резерв по отпускам на 31.12.06 г. и 07 г. готово_Сверка аналитики по ЗП" xfId="276"/>
    <cellStyle name="g_Invoice GI_КПН, ф. 100 30.03.051_Резерв по отпускам на 31.12.06 г. и 07 г. готово_сверка с контрагентами ШЭТ 2008" xfId="277"/>
    <cellStyle name="g_Invoice GI_КПН, ф. 100 30.03.051_Резерв по отпускам на 31.12.06 г. и 07 г. готово_Трансформационная ФО за 2007 г." xfId="278"/>
    <cellStyle name="g_Invoice GI_КПН, ф. 100 30.03.051_Резерв по отпускам на 31.12.06 г. и 07 г. готово_ФО 08 ВС" xfId="279"/>
    <cellStyle name="g_Invoice GI_КПН, ф. 100 30.03.051_Резерв по отпускам на 31.12.06 г. и 07 г. готово_ФО ВАП, аудит 08" xfId="280"/>
    <cellStyle name="g_Invoice GI_КПН, ф. 100 30.03.051_Резерв по отпускам на 31.12.06 г. и 07 г. готово_ФО ВАП, аудит 08 ОВЦ" xfId="281"/>
    <cellStyle name="g_Invoice GI_КПН, ф. 100 30.03.051_Резерв по отпускам на 31.12.06 г. и 07 г. готово_ФО ВС по МСФО за 2008 г." xfId="282"/>
    <cellStyle name="g_Invoice GI_КПН, ф. 100 ИПЛ 2004 г 2 вар" xfId="283"/>
    <cellStyle name="g_Invoice GI_КПН, ф. 100 ИПЛ 2004 г 2 вар_Зпл по ноябрь" xfId="284"/>
    <cellStyle name="g_Invoice GI_КПН, ф. 100 ИПЛ 2004 г 2 вар_Зпл по ноябрь_Прил. к отчету ВС, 2 этап" xfId="285"/>
    <cellStyle name="g_Invoice GI_КПН, ф. 100 ИПЛ 2004 г 2 вар_Зпл по ноябрь_Приложения по зар.плате" xfId="286"/>
    <cellStyle name="g_Invoice GI_КПН, ф. 100 ИПЛ 2004 г 2 вар_Нерезиденты 4 кв. 08 г." xfId="287"/>
    <cellStyle name="g_Invoice GI_КПН, ф. 100 ИПЛ 2004 г 2 вар_Нерезиденты 4 кв. 08 г._Книга1" xfId="288"/>
    <cellStyle name="g_Invoice GI_КПН, ф. 100 ИПЛ 2004 г 2 вар_Нерезиденты 4 кв. 08 г._Невычеты" xfId="289"/>
    <cellStyle name="g_Invoice GI_КПН, ф. 100 ИПЛ 2004 г 2 вар_Нерезиденты 4 кв. 08 г._Раб.мат. УК ТЭЦ (Павел), 2 этап" xfId="290"/>
    <cellStyle name="g_Invoice GI_КПН, ф. 100 ИПЛ 2004 г 2 вар_Резерв по отпускам на 31.12.06 г. и 07 г. готово" xfId="291"/>
    <cellStyle name="g_Invoice GI_КПН, ф. 100 ИПЛ 2004 г 2 вар_Резерв по отпускам на 31.12.06 г. и 07 г. готово_Отсроченный КПН" xfId="292"/>
    <cellStyle name="g_Invoice GI_КПН, ф. 100 ИПЛ 2004 г 2 вар_Резерв по отпускам на 31.12.06 г. и 07 г. готово_Прил. к отчету ВС, 2 этап" xfId="293"/>
    <cellStyle name="g_Invoice GI_КПН, ф. 100 ИПЛ 2004 г 2 вар_Резерв по отпускам на 31.12.06 г. и 07 г. готово_Прил. к отчету ШЭТ, 2008" xfId="294"/>
    <cellStyle name="g_Invoice GI_КПН, ф. 100 ИПЛ 2004 г 2 вар_Резерв по отпускам на 31.12.06 г. и 07 г. готово_Приложения ЖД ВТС, 2006" xfId="295"/>
    <cellStyle name="g_Invoice GI_КПН, ф. 100 ИПЛ 2004 г 2 вар_Резерв по отпускам на 31.12.06 г. и 07 г. готово_Приложения по зар.плате" xfId="296"/>
    <cellStyle name="g_Invoice GI_КПН, ф. 100 ИПЛ 2004 г 2 вар_Резерв по отпускам на 31.12.06 г. и 07 г. готово_Приложения УК МК, 2 эт. 2008 г" xfId="297"/>
    <cellStyle name="g_Invoice GI_КПН, ф. 100 ИПЛ 2004 г 2 вар_Резерв по отпускам на 31.12.06 г. и 07 г. готово_Проект аудирован. ФО УК ТС, 2008" xfId="298"/>
    <cellStyle name="g_Invoice GI_КПН, ф. 100 ИПЛ 2004 г 2 вар_Резерв по отпускам на 31.12.06 г. и 07 г. готово_Проект аудирован. ФО УК ТС, 2008_1" xfId="299"/>
    <cellStyle name="g_Invoice GI_КПН, ф. 100 ИПЛ 2004 г 2 вар_Резерв по отпускам на 31.12.06 г. и 07 г. готово_Проект аудирован. ФО УК ТС, 2008_1_запасы уктс" xfId="300"/>
    <cellStyle name="g_Invoice GI_КПН, ф. 100 ИПЛ 2004 г 2 вар_Резерв по отпускам на 31.12.06 г. и 07 г. готово_Проект аудирован. ФО ШЭТ 2008" xfId="301"/>
    <cellStyle name="g_Invoice GI_КПН, ф. 100 ИПЛ 2004 г 2 вар_Резерв по отпускам на 31.12.06 г. и 07 г. готово_Раб.мат. ККБК ВС, 2 пг 2008 г. (Павел)" xfId="302"/>
    <cellStyle name="g_Invoice GI_КПН, ф. 100 ИПЛ 2004 г 2 вар_Резерв по отпускам на 31.12.06 г. и 07 г. готово_Раб.мат. ККБК ВС, 2 пг 2008 г. (Павел)_Книга1" xfId="303"/>
    <cellStyle name="g_Invoice GI_КПН, ф. 100 ИПЛ 2004 г 2 вар_Резерв по отпускам на 31.12.06 г. и 07 г. готово_Раб.мат. ККБК ВС, 2 пг 2008 г. (Павел)_Невычеты" xfId="304"/>
    <cellStyle name="g_Invoice GI_КПН, ф. 100 ИПЛ 2004 г 2 вар_Резерв по отпускам на 31.12.06 г. и 07 г. готово_Раб.мат. ККБК ВС, 2 пг 2008 г. (Павел)_Раб.мат. УК ТЭЦ (Павел), 2 этап" xfId="305"/>
    <cellStyle name="g_Invoice GI_КПН, ф. 100 ИПЛ 2004 г 2 вар_Резерв по отпускам на 31.12.06 г. и 07 г. готово_Сверка аналитики по ЗП" xfId="306"/>
    <cellStyle name="g_Invoice GI_КПН, ф. 100 ИПЛ 2004 г 2 вар_Резерв по отпускам на 31.12.06 г. и 07 г. готово_сверка с контрагентами ШЭТ 2008" xfId="307"/>
    <cellStyle name="g_Invoice GI_КПН, ф. 100 ИПЛ 2004 г 2 вар_Резерв по отпускам на 31.12.06 г. и 07 г. готово_Трансформационная ФО за 2007 г." xfId="308"/>
    <cellStyle name="g_Invoice GI_КПН, ф. 100 ИПЛ 2004 г 2 вар_Резерв по отпускам на 31.12.06 г. и 07 г. готово_ФО 08 ВС" xfId="309"/>
    <cellStyle name="g_Invoice GI_КПН, ф. 100 ИПЛ 2004 г 2 вар_Резерв по отпускам на 31.12.06 г. и 07 г. готово_ФО ВАП, аудит 08" xfId="310"/>
    <cellStyle name="g_Invoice GI_КПН, ф. 100 ИПЛ 2004 г 2 вар_Резерв по отпускам на 31.12.06 г. и 07 г. готово_ФО ВАП, аудит 08 ОВЦ" xfId="311"/>
    <cellStyle name="g_Invoice GI_КПН, ф. 100 ИПЛ 2004 г 2 вар_Резерв по отпускам на 31.12.06 г. и 07 г. готово_ФО ВС по МСФО за 2008 г." xfId="312"/>
    <cellStyle name="g_Invoice GI_КПН, ф. 100 ИПЛ 2004 г." xfId="313"/>
    <cellStyle name="g_Invoice GI_КПН, ф. 100 ИПЛ 2004 г._Зпл по ноябрь" xfId="314"/>
    <cellStyle name="g_Invoice GI_КПН, ф. 100 ИПЛ 2004 г._Зпл по ноябрь_Прил. к отчету ВС, 2 этап" xfId="315"/>
    <cellStyle name="g_Invoice GI_КПН, ф. 100 ИПЛ 2004 г._Зпл по ноябрь_Приложения по зар.плате" xfId="316"/>
    <cellStyle name="g_Invoice GI_КПН, ф. 100 ИПЛ 2004 г._Нерезиденты 4 кв. 08 г." xfId="317"/>
    <cellStyle name="g_Invoice GI_КПН, ф. 100 ИПЛ 2004 г._Нерезиденты 4 кв. 08 г._Книга1" xfId="318"/>
    <cellStyle name="g_Invoice GI_КПН, ф. 100 ИПЛ 2004 г._Нерезиденты 4 кв. 08 г._Невычеты" xfId="319"/>
    <cellStyle name="g_Invoice GI_КПН, ф. 100 ИПЛ 2004 г._Нерезиденты 4 кв. 08 г._Раб.мат. УК ТЭЦ (Павел), 2 этап" xfId="320"/>
    <cellStyle name="g_Invoice GI_КПН, ф. 100 ИПЛ 2004 г._Резерв по отпускам на 31.12.06 г. и 07 г. готово" xfId="321"/>
    <cellStyle name="g_Invoice GI_КПН, ф. 100 ИПЛ 2004 г._Резерв по отпускам на 31.12.06 г. и 07 г. готово_Отсроченный КПН" xfId="322"/>
    <cellStyle name="g_Invoice GI_КПН, ф. 100 ИПЛ 2004 г._Резерв по отпускам на 31.12.06 г. и 07 г. готово_Прил. к отчету ВС, 2 этап" xfId="323"/>
    <cellStyle name="g_Invoice GI_КПН, ф. 100 ИПЛ 2004 г._Резерв по отпускам на 31.12.06 г. и 07 г. готово_Прил. к отчету ШЭТ, 2008" xfId="324"/>
    <cellStyle name="g_Invoice GI_КПН, ф. 100 ИПЛ 2004 г._Резерв по отпускам на 31.12.06 г. и 07 г. готово_Приложения ЖД ВТС, 2006" xfId="325"/>
    <cellStyle name="g_Invoice GI_КПН, ф. 100 ИПЛ 2004 г._Резерв по отпускам на 31.12.06 г. и 07 г. готово_Приложения по зар.плате" xfId="326"/>
    <cellStyle name="g_Invoice GI_КПН, ф. 100 ИПЛ 2004 г._Резерв по отпускам на 31.12.06 г. и 07 г. готово_Приложения УК МК, 2 эт. 2008 г" xfId="327"/>
    <cellStyle name="g_Invoice GI_КПН, ф. 100 ИПЛ 2004 г._Резерв по отпускам на 31.12.06 г. и 07 г. готово_Проект аудирован. ФО УК ТС, 2008" xfId="328"/>
    <cellStyle name="g_Invoice GI_КПН, ф. 100 ИПЛ 2004 г._Резерв по отпускам на 31.12.06 г. и 07 г. готово_Проект аудирован. ФО УК ТС, 2008_1" xfId="329"/>
    <cellStyle name="g_Invoice GI_КПН, ф. 100 ИПЛ 2004 г._Резерв по отпускам на 31.12.06 г. и 07 г. готово_Проект аудирован. ФО УК ТС, 2008_1_запасы уктс" xfId="330"/>
    <cellStyle name="g_Invoice GI_КПН, ф. 100 ИПЛ 2004 г._Резерв по отпускам на 31.12.06 г. и 07 г. готово_Проект аудирован. ФО ШЭТ 2008" xfId="331"/>
    <cellStyle name="g_Invoice GI_КПН, ф. 100 ИПЛ 2004 г._Резерв по отпускам на 31.12.06 г. и 07 г. готово_Раб.мат. ККБК ВС, 2 пг 2008 г. (Павел)" xfId="332"/>
    <cellStyle name="g_Invoice GI_КПН, ф. 100 ИПЛ 2004 г._Резерв по отпускам на 31.12.06 г. и 07 г. готово_Раб.мат. ККБК ВС, 2 пг 2008 г. (Павел)_Книга1" xfId="333"/>
    <cellStyle name="g_Invoice GI_КПН, ф. 100 ИПЛ 2004 г._Резерв по отпускам на 31.12.06 г. и 07 г. готово_Раб.мат. ККБК ВС, 2 пг 2008 г. (Павел)_Невычеты" xfId="334"/>
    <cellStyle name="g_Invoice GI_КПН, ф. 100 ИПЛ 2004 г._Резерв по отпускам на 31.12.06 г. и 07 г. готово_Раб.мат. ККБК ВС, 2 пг 2008 г. (Павел)_Раб.мат. УК ТЭЦ (Павел), 2 этап" xfId="335"/>
    <cellStyle name="g_Invoice GI_КПН, ф. 100 ИПЛ 2004 г._Резерв по отпускам на 31.12.06 г. и 07 г. готово_Сверка аналитики по ЗП" xfId="336"/>
    <cellStyle name="g_Invoice GI_КПН, ф. 100 ИПЛ 2004 г._Резерв по отпускам на 31.12.06 г. и 07 г. готово_сверка с контрагентами ШЭТ 2008" xfId="337"/>
    <cellStyle name="g_Invoice GI_КПН, ф. 100 ИПЛ 2004 г._Резерв по отпускам на 31.12.06 г. и 07 г. готово_Трансформационная ФО за 2007 г." xfId="338"/>
    <cellStyle name="g_Invoice GI_КПН, ф. 100 ИПЛ 2004 г._Резерв по отпускам на 31.12.06 г. и 07 г. готово_ФО 08 ВС" xfId="339"/>
    <cellStyle name="g_Invoice GI_КПН, ф. 100 ИПЛ 2004 г._Резерв по отпускам на 31.12.06 г. и 07 г. готово_ФО ВАП, аудит 08" xfId="340"/>
    <cellStyle name="g_Invoice GI_КПН, ф. 100 ИПЛ 2004 г._Резерв по отпускам на 31.12.06 г. и 07 г. готово_ФО ВАП, аудит 08 ОВЦ" xfId="341"/>
    <cellStyle name="g_Invoice GI_КПН, ф. 100 ИПЛ 2004 г._Резерв по отпускам на 31.12.06 г. и 07 г. готово_ФО ВС по МСФО за 2008 г." xfId="342"/>
    <cellStyle name="g_Invoice GI_Нерезиденты 4 кв. 08 г." xfId="343"/>
    <cellStyle name="g_Invoice GI_Нерезиденты 4 кв. 08 г._Книга1" xfId="344"/>
    <cellStyle name="g_Invoice GI_Нерезиденты 4 кв. 08 г._Невычеты" xfId="345"/>
    <cellStyle name="g_Invoice GI_Нерезиденты 4 кв. 08 г._Раб.мат. УК ТЭЦ (Павел), 2 этап" xfId="346"/>
    <cellStyle name="g_Invoice GI_Прил. к акту ШГЭС за 2005 г." xfId="347"/>
    <cellStyle name="g_Invoice GI_Прил. к акту ШГЭС за 2005 г._Зпл по ноябрь" xfId="348"/>
    <cellStyle name="g_Invoice GI_Прил. к акту ШГЭС за 2005 г._Зпл по ноябрь_Прил. к отчету ВС, 2 этап" xfId="349"/>
    <cellStyle name="g_Invoice GI_Прил. к акту ШГЭС за 2005 г._Зпл по ноябрь_Приложения по зар.плате" xfId="350"/>
    <cellStyle name="g_Invoice GI_Прил. к акту ШГЭС за 2005 г._Нерезиденты 4 кв. 08 г." xfId="351"/>
    <cellStyle name="g_Invoice GI_Прил. к акту ШГЭС за 2005 г._Нерезиденты 4 кв. 08 г._Книга1" xfId="352"/>
    <cellStyle name="g_Invoice GI_Прил. к акту ШГЭС за 2005 г._Нерезиденты 4 кв. 08 г._Невычеты" xfId="353"/>
    <cellStyle name="g_Invoice GI_Прил. к акту ШГЭС за 2005 г._Нерезиденты 4 кв. 08 г._Раб.мат. УК ТЭЦ (Павел), 2 этап" xfId="354"/>
    <cellStyle name="g_Invoice GI_Прил. к акту ШГЭС за 2005 г._Резерв по отпускам на 31.12.06 г. и 07 г. готово" xfId="355"/>
    <cellStyle name="g_Invoice GI_Прил. к акту ШГЭС за 2005 г._Резерв по отпускам на 31.12.06 г. и 07 г. готово_Отсроченный КПН" xfId="356"/>
    <cellStyle name="g_Invoice GI_Прил. к акту ШГЭС за 2005 г._Резерв по отпускам на 31.12.06 г. и 07 г. готово_Прил. к отчету ВС, 2 этап" xfId="357"/>
    <cellStyle name="g_Invoice GI_Прил. к акту ШГЭС за 2005 г._Резерв по отпускам на 31.12.06 г. и 07 г. готово_Прил. к отчету ШЭТ, 2008" xfId="358"/>
    <cellStyle name="g_Invoice GI_Прил. к акту ШГЭС за 2005 г._Резерв по отпускам на 31.12.06 г. и 07 г. готово_Приложения ЖД ВТС, 2006" xfId="359"/>
    <cellStyle name="g_Invoice GI_Прил. к акту ШГЭС за 2005 г._Резерв по отпускам на 31.12.06 г. и 07 г. готово_Приложения по зар.плате" xfId="360"/>
    <cellStyle name="g_Invoice GI_Прил. к акту ШГЭС за 2005 г._Резерв по отпускам на 31.12.06 г. и 07 г. готово_Приложения УК МК, 2 эт. 2008 г" xfId="361"/>
    <cellStyle name="g_Invoice GI_Прил. к акту ШГЭС за 2005 г._Резерв по отпускам на 31.12.06 г. и 07 г. готово_Проект аудирован. ФО УК ТС, 2008" xfId="362"/>
    <cellStyle name="g_Invoice GI_Прил. к акту ШГЭС за 2005 г._Резерв по отпускам на 31.12.06 г. и 07 г. готово_Проект аудирован. ФО УК ТС, 2008_1" xfId="363"/>
    <cellStyle name="g_Invoice GI_Прил. к акту ШГЭС за 2005 г._Резерв по отпускам на 31.12.06 г. и 07 г. готово_Проект аудирован. ФО УК ТС, 2008_1_запасы уктс" xfId="364"/>
    <cellStyle name="g_Invoice GI_Прил. к акту ШГЭС за 2005 г._Резерв по отпускам на 31.12.06 г. и 07 г. готово_Проект аудирован. ФО ШЭТ 2008" xfId="365"/>
    <cellStyle name="g_Invoice GI_Прил. к акту ШГЭС за 2005 г._Резерв по отпускам на 31.12.06 г. и 07 г. готово_Раб.мат. ККБК ВС, 2 пг 2008 г. (Павел)" xfId="366"/>
    <cellStyle name="g_Invoice GI_Прил. к акту ШГЭС за 2005 г._Резерв по отпускам на 31.12.06 г. и 07 г. готово_Раб.мат. ККБК ВС, 2 пг 2008 г. (Павел)_Книга1" xfId="367"/>
    <cellStyle name="g_Invoice GI_Прил. к акту ШГЭС за 2005 г._Резерв по отпускам на 31.12.06 г. и 07 г. готово_Раб.мат. ККБК ВС, 2 пг 2008 г. (Павел)_Невычеты" xfId="368"/>
    <cellStyle name="g_Invoice GI_Прил. к акту ШГЭС за 2005 г._Резерв по отпускам на 31.12.06 г. и 07 г. готово_Раб.мат. ККБК ВС, 2 пг 2008 г. (Павел)_Раб.мат. УК ТЭЦ (Павел), 2 этап" xfId="369"/>
    <cellStyle name="g_Invoice GI_Прил. к акту ШГЭС за 2005 г._Резерв по отпускам на 31.12.06 г. и 07 г. готово_Сверка аналитики по ЗП" xfId="370"/>
    <cellStyle name="g_Invoice GI_Прил. к акту ШГЭС за 2005 г._Резерв по отпускам на 31.12.06 г. и 07 г. готово_сверка с контрагентами ШЭТ 2008" xfId="371"/>
    <cellStyle name="g_Invoice GI_Прил. к акту ШГЭС за 2005 г._Резерв по отпускам на 31.12.06 г. и 07 г. готово_Трансформационная ФО за 2007 г." xfId="372"/>
    <cellStyle name="g_Invoice GI_Прил. к акту ШГЭС за 2005 г._Резерв по отпускам на 31.12.06 г. и 07 г. готово_ФО 08 ВС" xfId="373"/>
    <cellStyle name="g_Invoice GI_Прил. к акту ШГЭС за 2005 г._Резерв по отпускам на 31.12.06 г. и 07 г. готово_ФО ВАП, аудит 08" xfId="374"/>
    <cellStyle name="g_Invoice GI_Прил. к акту ШГЭС за 2005 г._Резерв по отпускам на 31.12.06 г. и 07 г. готово_ФО ВАП, аудит 08 ОВЦ" xfId="375"/>
    <cellStyle name="g_Invoice GI_Прил. к акту ШГЭС за 2005 г._Резерв по отпускам на 31.12.06 г. и 07 г. готово_ФО ВС по МСФО за 2008 г." xfId="376"/>
    <cellStyle name="g_Invoice GI_Приложения к акту ИПЛ 1" xfId="377"/>
    <cellStyle name="g_Invoice GI_Приложения к акту ИПЛ 1_Зпл по ноябрь" xfId="378"/>
    <cellStyle name="g_Invoice GI_Приложения к акту ИПЛ 1_Зпл по ноябрь_Прил. к отчету ВС, 2 этап" xfId="379"/>
    <cellStyle name="g_Invoice GI_Приложения к акту ИПЛ 1_Зпл по ноябрь_Приложения по зар.плате" xfId="380"/>
    <cellStyle name="g_Invoice GI_Приложения к акту ИПЛ 1_Нерезиденты 4 кв. 08 г." xfId="381"/>
    <cellStyle name="g_Invoice GI_Приложения к акту ИПЛ 1_Нерезиденты 4 кв. 08 г._Книга1" xfId="382"/>
    <cellStyle name="g_Invoice GI_Приложения к акту ИПЛ 1_Нерезиденты 4 кв. 08 г._Невычеты" xfId="383"/>
    <cellStyle name="g_Invoice GI_Приложения к акту ИПЛ 1_Нерезиденты 4 кв. 08 г._Раб.мат. УК ТЭЦ (Павел), 2 этап" xfId="384"/>
    <cellStyle name="g_Invoice GI_Приложения к акту ИПЛ 1_Резерв по отпускам на 31.12.06 г. и 07 г. готово" xfId="385"/>
    <cellStyle name="g_Invoice GI_Приложения к акту ИПЛ 1_Резерв по отпускам на 31.12.06 г. и 07 г. готово_Отсроченный КПН" xfId="386"/>
    <cellStyle name="g_Invoice GI_Приложения к акту ИПЛ 1_Резерв по отпускам на 31.12.06 г. и 07 г. готово_Прил. к отчету ВС, 2 этап" xfId="387"/>
    <cellStyle name="g_Invoice GI_Приложения к акту ИПЛ 1_Резерв по отпускам на 31.12.06 г. и 07 г. готово_Прил. к отчету ШЭТ, 2008" xfId="388"/>
    <cellStyle name="g_Invoice GI_Приложения к акту ИПЛ 1_Резерв по отпускам на 31.12.06 г. и 07 г. готово_Приложения ЖД ВТС, 2006" xfId="389"/>
    <cellStyle name="g_Invoice GI_Приложения к акту ИПЛ 1_Резерв по отпускам на 31.12.06 г. и 07 г. готово_Приложения по зар.плате" xfId="390"/>
    <cellStyle name="g_Invoice GI_Приложения к акту ИПЛ 1_Резерв по отпускам на 31.12.06 г. и 07 г. готово_Приложения УК МК, 2 эт. 2008 г" xfId="391"/>
    <cellStyle name="g_Invoice GI_Приложения к акту ИПЛ 1_Резерв по отпускам на 31.12.06 г. и 07 г. готово_Проект аудирован. ФО УК ТС, 2008" xfId="392"/>
    <cellStyle name="g_Invoice GI_Приложения к акту ИПЛ 1_Резерв по отпускам на 31.12.06 г. и 07 г. готово_Проект аудирован. ФО УК ТС, 2008_1" xfId="393"/>
    <cellStyle name="g_Invoice GI_Приложения к акту ИПЛ 1_Резерв по отпускам на 31.12.06 г. и 07 г. готово_Проект аудирован. ФО УК ТС, 2008_1_запасы уктс" xfId="394"/>
    <cellStyle name="g_Invoice GI_Приложения к акту ИПЛ 1_Резерв по отпускам на 31.12.06 г. и 07 г. готово_Проект аудирован. ФО ШЭТ 2008" xfId="395"/>
    <cellStyle name="g_Invoice GI_Приложения к акту ИПЛ 1_Резерв по отпускам на 31.12.06 г. и 07 г. готово_Раб.мат. ККБК ВС, 2 пг 2008 г. (Павел)" xfId="396"/>
    <cellStyle name="g_Invoice GI_Приложения к акту ИПЛ 1_Резерв по отпускам на 31.12.06 г. и 07 г. готово_Раб.мат. ККБК ВС, 2 пг 2008 г. (Павел)_Книга1" xfId="397"/>
    <cellStyle name="g_Invoice GI_Приложения к акту ИПЛ 1_Резерв по отпускам на 31.12.06 г. и 07 г. готово_Раб.мат. ККБК ВС, 2 пг 2008 г. (Павел)_Невычеты" xfId="398"/>
    <cellStyle name="g_Invoice GI_Приложения к акту ИПЛ 1_Резерв по отпускам на 31.12.06 г. и 07 г. готово_Раб.мат. ККБК ВС, 2 пг 2008 г. (Павел)_Раб.мат. УК ТЭЦ (Павел), 2 этап" xfId="399"/>
    <cellStyle name="g_Invoice GI_Приложения к акту ИПЛ 1_Резерв по отпускам на 31.12.06 г. и 07 г. готово_Сверка аналитики по ЗП" xfId="400"/>
    <cellStyle name="g_Invoice GI_Приложения к акту ИПЛ 1_Резерв по отпускам на 31.12.06 г. и 07 г. готово_сверка с контрагентами ШЭТ 2008" xfId="401"/>
    <cellStyle name="g_Invoice GI_Приложения к акту ИПЛ 1_Резерв по отпускам на 31.12.06 г. и 07 г. готово_Трансформационная ФО за 2007 г." xfId="402"/>
    <cellStyle name="g_Invoice GI_Приложения к акту ИПЛ 1_Резерв по отпускам на 31.12.06 г. и 07 г. готово_ФО 08 ВС" xfId="403"/>
    <cellStyle name="g_Invoice GI_Приложения к акту ИПЛ 1_Резерв по отпускам на 31.12.06 г. и 07 г. готово_ФО ВАП, аудит 08" xfId="404"/>
    <cellStyle name="g_Invoice GI_Приложения к акту ИПЛ 1_Резерв по отпускам на 31.12.06 г. и 07 г. готово_ФО ВАП, аудит 08 ОВЦ" xfId="405"/>
    <cellStyle name="g_Invoice GI_Приложения к акту ИПЛ 1_Резерв по отпускам на 31.12.06 г. и 07 г. готово_ФО ВС по МСФО за 2008 г." xfId="406"/>
    <cellStyle name="g_Invoice GI_Резерв по отпускам на 31.12.06 г. и 07 г. готово" xfId="407"/>
    <cellStyle name="g_Invoice GI_Резерв по отпускам на 31.12.06 г. и 07 г. готово_Отсроченный КПН" xfId="408"/>
    <cellStyle name="g_Invoice GI_Резерв по отпускам на 31.12.06 г. и 07 г. готово_Прил. к отчету ВС, 2 этап" xfId="409"/>
    <cellStyle name="g_Invoice GI_Резерв по отпускам на 31.12.06 г. и 07 г. готово_Прил. к отчету ШЭТ, 2008" xfId="410"/>
    <cellStyle name="g_Invoice GI_Резерв по отпускам на 31.12.06 г. и 07 г. готово_Приложения ЖД ВТС, 2006" xfId="411"/>
    <cellStyle name="g_Invoice GI_Резерв по отпускам на 31.12.06 г. и 07 г. готово_Приложения по зар.плате" xfId="412"/>
    <cellStyle name="g_Invoice GI_Резерв по отпускам на 31.12.06 г. и 07 г. готово_Приложения УК МК, 2 эт. 2008 г" xfId="413"/>
    <cellStyle name="g_Invoice GI_Резерв по отпускам на 31.12.06 г. и 07 г. готово_Проект аудирован. ФО УК ТС, 2008" xfId="414"/>
    <cellStyle name="g_Invoice GI_Резерв по отпускам на 31.12.06 г. и 07 г. готово_Проект аудирован. ФО УК ТС, 2008_1" xfId="415"/>
    <cellStyle name="g_Invoice GI_Резерв по отпускам на 31.12.06 г. и 07 г. готово_Проект аудирован. ФО УК ТС, 2008_1_запасы уктс" xfId="416"/>
    <cellStyle name="g_Invoice GI_Резерв по отпускам на 31.12.06 г. и 07 г. готово_Проект аудирован. ФО ШЭТ 2008" xfId="417"/>
    <cellStyle name="g_Invoice GI_Резерв по отпускам на 31.12.06 г. и 07 г. готово_Раб.мат. ККБК ВС, 2 пг 2008 г. (Павел)" xfId="418"/>
    <cellStyle name="g_Invoice GI_Резерв по отпускам на 31.12.06 г. и 07 г. готово_Раб.мат. ККБК ВС, 2 пг 2008 г. (Павел)_Книга1" xfId="419"/>
    <cellStyle name="g_Invoice GI_Резерв по отпускам на 31.12.06 г. и 07 г. готово_Раб.мат. ККБК ВС, 2 пг 2008 г. (Павел)_Невычеты" xfId="420"/>
    <cellStyle name="g_Invoice GI_Резерв по отпускам на 31.12.06 г. и 07 г. готово_Раб.мат. ККБК ВС, 2 пг 2008 г. (Павел)_Раб.мат. УК ТЭЦ (Павел), 2 этап" xfId="421"/>
    <cellStyle name="g_Invoice GI_Резерв по отпускам на 31.12.06 г. и 07 г. готово_Сверка аналитики по ЗП" xfId="422"/>
    <cellStyle name="g_Invoice GI_Резерв по отпускам на 31.12.06 г. и 07 г. готово_сверка с контрагентами ШЭТ 2008" xfId="423"/>
    <cellStyle name="g_Invoice GI_Резерв по отпускам на 31.12.06 г. и 07 г. готово_Трансформационная ФО за 2007 г." xfId="424"/>
    <cellStyle name="g_Invoice GI_Резерв по отпускам на 31.12.06 г. и 07 г. готово_ФО 08 ВС" xfId="425"/>
    <cellStyle name="g_Invoice GI_Резерв по отпускам на 31.12.06 г. и 07 г. готово_ФО ВАП, аудит 08" xfId="426"/>
    <cellStyle name="g_Invoice GI_Резерв по отпускам на 31.12.06 г. и 07 г. готово_ФО ВАП, аудит 08 ОВЦ" xfId="427"/>
    <cellStyle name="g_Invoice GI_Резерв по отпускам на 31.12.06 г. и 07 г. готово_ФО ВС по МСФО за 2008 г." xfId="428"/>
    <cellStyle name="g_Декларация по КПН ШГЭС за 2005 г." xfId="429"/>
    <cellStyle name="g_Декларация по КПН ШГЭС за 2005 г._Зпл по ноябрь" xfId="430"/>
    <cellStyle name="g_Декларация по КПН ШГЭС за 2005 г._Зпл по ноябрь_Прил. к отчету ВС, 2 этап" xfId="431"/>
    <cellStyle name="g_Декларация по КПН ШГЭС за 2005 г._Зпл по ноябрь_Приложения по зар.плате" xfId="432"/>
    <cellStyle name="g_Декларация по КПН ШГЭС за 2005 г._Нерезиденты 4 кв. 08 г." xfId="433"/>
    <cellStyle name="g_Декларация по КПН ШГЭС за 2005 г._Нерезиденты 4 кв. 08 г._Книга1" xfId="434"/>
    <cellStyle name="g_Декларация по КПН ШГЭС за 2005 г._Нерезиденты 4 кв. 08 г._Невычеты" xfId="435"/>
    <cellStyle name="g_Декларация по КПН ШГЭС за 2005 г._Нерезиденты 4 кв. 08 г._Раб.мат. УК ТЭЦ (Павел), 2 этап" xfId="436"/>
    <cellStyle name="g_Декларация по КПН ШГЭС за 2005 г._Резерв по отпускам на 31.12.06 г. и 07 г. готово" xfId="437"/>
    <cellStyle name="g_Декларация по КПН ШГЭС за 2005 г._Резерв по отпускам на 31.12.06 г. и 07 г. готово_Отсроченный КПН" xfId="438"/>
    <cellStyle name="g_Декларация по КПН ШГЭС за 2005 г._Резерв по отпускам на 31.12.06 г. и 07 г. готово_Прил. к отчету ВС, 2 этап" xfId="439"/>
    <cellStyle name="g_Декларация по КПН ШГЭС за 2005 г._Резерв по отпускам на 31.12.06 г. и 07 г. готово_Прил. к отчету ШЭТ, 2008" xfId="440"/>
    <cellStyle name="g_Декларация по КПН ШГЭС за 2005 г._Резерв по отпускам на 31.12.06 г. и 07 г. готово_Приложения ЖД ВТС, 2006" xfId="441"/>
    <cellStyle name="g_Декларация по КПН ШГЭС за 2005 г._Резерв по отпускам на 31.12.06 г. и 07 г. готово_Приложения по зар.плате" xfId="442"/>
    <cellStyle name="g_Декларация по КПН ШГЭС за 2005 г._Резерв по отпускам на 31.12.06 г. и 07 г. готово_Приложения УК МК, 2 эт. 2008 г" xfId="443"/>
    <cellStyle name="g_Декларация по КПН ШГЭС за 2005 г._Резерв по отпускам на 31.12.06 г. и 07 г. готово_Проект аудирован. ФО УК ТС, 2008" xfId="444"/>
    <cellStyle name="g_Декларация по КПН ШГЭС за 2005 г._Резерв по отпускам на 31.12.06 г. и 07 г. готово_Проект аудирован. ФО УК ТС, 2008_1" xfId="445"/>
    <cellStyle name="g_Декларация по КПН ШГЭС за 2005 г._Резерв по отпускам на 31.12.06 г. и 07 г. готово_Проект аудирован. ФО УК ТС, 2008_1_запасы уктс" xfId="446"/>
    <cellStyle name="g_Декларация по КПН ШГЭС за 2005 г._Резерв по отпускам на 31.12.06 г. и 07 г. готово_Проект аудирован. ФО ШЭТ 2008" xfId="447"/>
    <cellStyle name="g_Декларация по КПН ШГЭС за 2005 г._Резерв по отпускам на 31.12.06 г. и 07 г. готово_Раб.мат. ККБК ВС, 2 пг 2008 г. (Павел)" xfId="448"/>
    <cellStyle name="g_Декларация по КПН ШГЭС за 2005 г._Резерв по отпускам на 31.12.06 г. и 07 г. готово_Раб.мат. ККБК ВС, 2 пг 2008 г. (Павел)_Книга1" xfId="449"/>
    <cellStyle name="g_Декларация по КПН ШГЭС за 2005 г._Резерв по отпускам на 31.12.06 г. и 07 г. готово_Раб.мат. ККБК ВС, 2 пг 2008 г. (Павел)_Невычеты" xfId="450"/>
    <cellStyle name="g_Декларация по КПН ШГЭС за 2005 г._Резерв по отпускам на 31.12.06 г. и 07 г. готово_Раб.мат. ККБК ВС, 2 пг 2008 г. (Павел)_Раб.мат. УК ТЭЦ (Павел), 2 этап" xfId="451"/>
    <cellStyle name="g_Декларация по КПН ШГЭС за 2005 г._Резерв по отпускам на 31.12.06 г. и 07 г. готово_Сверка аналитики по ЗП" xfId="452"/>
    <cellStyle name="g_Декларация по КПН ШГЭС за 2005 г._Резерв по отпускам на 31.12.06 г. и 07 г. готово_сверка с контрагентами ШЭТ 2008" xfId="453"/>
    <cellStyle name="g_Декларация по КПН ШГЭС за 2005 г._Резерв по отпускам на 31.12.06 г. и 07 г. готово_Трансформационная ФО за 2007 г." xfId="454"/>
    <cellStyle name="g_Декларация по КПН ШГЭС за 2005 г._Резерв по отпускам на 31.12.06 г. и 07 г. готово_ФО 08 ВС" xfId="455"/>
    <cellStyle name="g_Декларация по КПН ШГЭС за 2005 г._Резерв по отпускам на 31.12.06 г. и 07 г. готово_ФО ВАП, аудит 08" xfId="456"/>
    <cellStyle name="g_Декларация по КПН ШГЭС за 2005 г._Резерв по отпускам на 31.12.06 г. и 07 г. готово_ФО ВАП, аудит 08 ОВЦ" xfId="457"/>
    <cellStyle name="g_Декларация по КПН ШГЭС за 2005 г._Резерв по отпускам на 31.12.06 г. и 07 г. готово_ФО ВС по МСФО за 2008 г." xfId="458"/>
    <cellStyle name="g_Доп. КПН за  2004 1г." xfId="459"/>
    <cellStyle name="g_Доп. КПН за  2004 1г._Зпл по ноябрь" xfId="460"/>
    <cellStyle name="g_Доп. КПН за  2004 1г._Зпл по ноябрь_Прил. к отчету ВС, 2 этап" xfId="461"/>
    <cellStyle name="g_Доп. КПН за  2004 1г._Зпл по ноябрь_Приложения по зар.плате" xfId="462"/>
    <cellStyle name="g_Доп. КПН за  2004 1г._Нерезиденты 4 кв. 08 г." xfId="463"/>
    <cellStyle name="g_Доп. КПН за  2004 1г._Нерезиденты 4 кв. 08 г._Книга1" xfId="464"/>
    <cellStyle name="g_Доп. КПН за  2004 1г._Нерезиденты 4 кв. 08 г._Невычеты" xfId="465"/>
    <cellStyle name="g_Доп. КПН за  2004 1г._Нерезиденты 4 кв. 08 г._Раб.мат. УК ТЭЦ (Павел), 2 этап" xfId="466"/>
    <cellStyle name="g_Доп. КПН за  2004 1г._Резерв по отпускам на 31.12.06 г. и 07 г. готово" xfId="467"/>
    <cellStyle name="g_Доп. КПН за  2004 1г._Резерв по отпускам на 31.12.06 г. и 07 г. готово_Отсроченный КПН" xfId="468"/>
    <cellStyle name="g_Доп. КПН за  2004 1г._Резерв по отпускам на 31.12.06 г. и 07 г. готово_Прил. к отчету ВС, 2 этап" xfId="469"/>
    <cellStyle name="g_Доп. КПН за  2004 1г._Резерв по отпускам на 31.12.06 г. и 07 г. готово_Прил. к отчету ШЭТ, 2008" xfId="470"/>
    <cellStyle name="g_Доп. КПН за  2004 1г._Резерв по отпускам на 31.12.06 г. и 07 г. готово_Приложения ЖД ВТС, 2006" xfId="471"/>
    <cellStyle name="g_Доп. КПН за  2004 1г._Резерв по отпускам на 31.12.06 г. и 07 г. готово_Приложения по зар.плате" xfId="472"/>
    <cellStyle name="g_Доп. КПН за  2004 1г._Резерв по отпускам на 31.12.06 г. и 07 г. готово_Приложения УК МК, 2 эт. 2008 г" xfId="473"/>
    <cellStyle name="g_Доп. КПН за  2004 1г._Резерв по отпускам на 31.12.06 г. и 07 г. готово_Проект аудирован. ФО УК ТС, 2008" xfId="474"/>
    <cellStyle name="g_Доп. КПН за  2004 1г._Резерв по отпускам на 31.12.06 г. и 07 г. готово_Проект аудирован. ФО УК ТС, 2008_1" xfId="475"/>
    <cellStyle name="g_Доп. КПН за  2004 1г._Резерв по отпускам на 31.12.06 г. и 07 г. готово_Проект аудирован. ФО УК ТС, 2008_1_запасы уктс" xfId="476"/>
    <cellStyle name="g_Доп. КПН за  2004 1г._Резерв по отпускам на 31.12.06 г. и 07 г. готово_Проект аудирован. ФО ШЭТ 2008" xfId="477"/>
    <cellStyle name="g_Доп. КПН за  2004 1г._Резерв по отпускам на 31.12.06 г. и 07 г. готово_Раб.мат. ККБК ВС, 2 пг 2008 г. (Павел)" xfId="478"/>
    <cellStyle name="g_Доп. КПН за  2004 1г._Резерв по отпускам на 31.12.06 г. и 07 г. готово_Раб.мат. ККБК ВС, 2 пг 2008 г. (Павел)_Книга1" xfId="479"/>
    <cellStyle name="g_Доп. КПН за  2004 1г._Резерв по отпускам на 31.12.06 г. и 07 г. готово_Раб.мат. ККБК ВС, 2 пг 2008 г. (Павел)_Невычеты" xfId="480"/>
    <cellStyle name="g_Доп. КПН за  2004 1г._Резерв по отпускам на 31.12.06 г. и 07 г. готово_Раб.мат. ККБК ВС, 2 пг 2008 г. (Павел)_Раб.мат. УК ТЭЦ (Павел), 2 этап" xfId="481"/>
    <cellStyle name="g_Доп. КПН за  2004 1г._Резерв по отпускам на 31.12.06 г. и 07 г. готово_Сверка аналитики по ЗП" xfId="482"/>
    <cellStyle name="g_Доп. КПН за  2004 1г._Резерв по отпускам на 31.12.06 г. и 07 г. готово_сверка с контрагентами ШЭТ 2008" xfId="483"/>
    <cellStyle name="g_Доп. КПН за  2004 1г._Резерв по отпускам на 31.12.06 г. и 07 г. готово_Трансформационная ФО за 2007 г." xfId="484"/>
    <cellStyle name="g_Доп. КПН за  2004 1г._Резерв по отпускам на 31.12.06 г. и 07 г. готово_ФО 08 ВС" xfId="485"/>
    <cellStyle name="g_Доп. КПН за  2004 1г._Резерв по отпускам на 31.12.06 г. и 07 г. готово_ФО ВАП, аудит 08" xfId="486"/>
    <cellStyle name="g_Доп. КПН за  2004 1г._Резерв по отпускам на 31.12.06 г. и 07 г. готово_ФО ВАП, аудит 08 ОВЦ" xfId="487"/>
    <cellStyle name="g_Доп. КПН за  2004 1г._Резерв по отпускам на 31.12.06 г. и 07 г. готово_ФО ВС по МСФО за 2008 г." xfId="488"/>
    <cellStyle name="g_Зпл по ноябрь" xfId="489"/>
    <cellStyle name="g_Зпл по ноябрь_Прил. к отчету ВС, 2 этап" xfId="490"/>
    <cellStyle name="g_Зпл по ноябрь_Приложения по зар.плате" xfId="491"/>
    <cellStyle name="g_КПН за  2004 г1." xfId="492"/>
    <cellStyle name="g_КПН за  2004 г1._Зпл по ноябрь" xfId="493"/>
    <cellStyle name="g_КПН за  2004 г1._Зпл по ноябрь_Прил. к отчету ВС, 2 этап" xfId="494"/>
    <cellStyle name="g_КПН за  2004 г1._Зпл по ноябрь_Приложения по зар.плате" xfId="495"/>
    <cellStyle name="g_КПН за  2004 г1._Нерезиденты 4 кв. 08 г." xfId="496"/>
    <cellStyle name="g_КПН за  2004 г1._Нерезиденты 4 кв. 08 г._Книга1" xfId="497"/>
    <cellStyle name="g_КПН за  2004 г1._Нерезиденты 4 кв. 08 г._Невычеты" xfId="498"/>
    <cellStyle name="g_КПН за  2004 г1._Нерезиденты 4 кв. 08 г._Раб.мат. УК ТЭЦ (Павел), 2 этап" xfId="499"/>
    <cellStyle name="g_КПН за  2004 г1._Резерв по отпускам на 31.12.06 г. и 07 г. готово" xfId="500"/>
    <cellStyle name="g_КПН за  2004 г1._Резерв по отпускам на 31.12.06 г. и 07 г. готово_Отсроченный КПН" xfId="501"/>
    <cellStyle name="g_КПН за  2004 г1._Резерв по отпускам на 31.12.06 г. и 07 г. готово_Прил. к отчету ВС, 2 этап" xfId="502"/>
    <cellStyle name="g_КПН за  2004 г1._Резерв по отпускам на 31.12.06 г. и 07 г. готово_Прил. к отчету ШЭТ, 2008" xfId="503"/>
    <cellStyle name="g_КПН за  2004 г1._Резерв по отпускам на 31.12.06 г. и 07 г. готово_Приложения ЖД ВТС, 2006" xfId="504"/>
    <cellStyle name="g_КПН за  2004 г1._Резерв по отпускам на 31.12.06 г. и 07 г. готово_Приложения по зар.плате" xfId="505"/>
    <cellStyle name="g_КПН за  2004 г1._Резерв по отпускам на 31.12.06 г. и 07 г. готово_Приложения УК МК, 2 эт. 2008 г" xfId="506"/>
    <cellStyle name="g_КПН за  2004 г1._Резерв по отпускам на 31.12.06 г. и 07 г. готово_Проект аудирован. ФО УК ТС, 2008" xfId="507"/>
    <cellStyle name="g_КПН за  2004 г1._Резерв по отпускам на 31.12.06 г. и 07 г. готово_Проект аудирован. ФО УК ТС, 2008_1" xfId="508"/>
    <cellStyle name="g_КПН за  2004 г1._Резерв по отпускам на 31.12.06 г. и 07 г. готово_Проект аудирован. ФО УК ТС, 2008_1_запасы уктс" xfId="509"/>
    <cellStyle name="g_КПН за  2004 г1._Резерв по отпускам на 31.12.06 г. и 07 г. готово_Проект аудирован. ФО ШЭТ 2008" xfId="510"/>
    <cellStyle name="g_КПН за  2004 г1._Резерв по отпускам на 31.12.06 г. и 07 г. готово_Раб.мат. ККБК ВС, 2 пг 2008 г. (Павел)" xfId="511"/>
    <cellStyle name="g_КПН за  2004 г1._Резерв по отпускам на 31.12.06 г. и 07 г. готово_Раб.мат. ККБК ВС, 2 пг 2008 г. (Павел)_Книга1" xfId="512"/>
    <cellStyle name="g_КПН за  2004 г1._Резерв по отпускам на 31.12.06 г. и 07 г. готово_Раб.мат. ККБК ВС, 2 пг 2008 г. (Павел)_Невычеты" xfId="513"/>
    <cellStyle name="g_КПН за  2004 г1._Резерв по отпускам на 31.12.06 г. и 07 г. готово_Раб.мат. ККБК ВС, 2 пг 2008 г. (Павел)_Раб.мат. УК ТЭЦ (Павел), 2 этап" xfId="514"/>
    <cellStyle name="g_КПН за  2004 г1._Резерв по отпускам на 31.12.06 г. и 07 г. готово_Сверка аналитики по ЗП" xfId="515"/>
    <cellStyle name="g_КПН за  2004 г1._Резерв по отпускам на 31.12.06 г. и 07 г. готово_сверка с контрагентами ШЭТ 2008" xfId="516"/>
    <cellStyle name="g_КПН за  2004 г1._Резерв по отпускам на 31.12.06 г. и 07 г. готово_Трансформационная ФО за 2007 г." xfId="517"/>
    <cellStyle name="g_КПН за  2004 г1._Резерв по отпускам на 31.12.06 г. и 07 г. готово_ФО 08 ВС" xfId="518"/>
    <cellStyle name="g_КПН за  2004 г1._Резерв по отпускам на 31.12.06 г. и 07 г. готово_ФО ВАП, аудит 08" xfId="519"/>
    <cellStyle name="g_КПН за  2004 г1._Резерв по отпускам на 31.12.06 г. и 07 г. готово_ФО ВАП, аудит 08 ОВЦ" xfId="520"/>
    <cellStyle name="g_КПН за  2004 г1._Резерв по отпускам на 31.12.06 г. и 07 г. готово_ФО ВС по МСФО за 2008 г." xfId="521"/>
    <cellStyle name="g_КПН за  2005 гдепозит" xfId="522"/>
    <cellStyle name="g_КПН за  2005 гдепозит_Зпл по ноябрь" xfId="523"/>
    <cellStyle name="g_КПН за  2005 гдепозит_Зпл по ноябрь_Прил. к отчету ВС, 2 этап" xfId="524"/>
    <cellStyle name="g_КПН за  2005 гдепозит_Зпл по ноябрь_Приложения по зар.плате" xfId="525"/>
    <cellStyle name="g_КПН за  2005 гдепозит_Нерезиденты 4 кв. 08 г." xfId="526"/>
    <cellStyle name="g_КПН за  2005 гдепозит_Нерезиденты 4 кв. 08 г._Книга1" xfId="527"/>
    <cellStyle name="g_КПН за  2005 гдепозит_Нерезиденты 4 кв. 08 г._Невычеты" xfId="528"/>
    <cellStyle name="g_КПН за  2005 гдепозит_Нерезиденты 4 кв. 08 г._Раб.мат. УК ТЭЦ (Павел), 2 этап" xfId="529"/>
    <cellStyle name="g_КПН за  2005 гдепозит_Резерв по отпускам на 31.12.06 г. и 07 г. готово" xfId="530"/>
    <cellStyle name="g_КПН за  2005 гдепозит_Резерв по отпускам на 31.12.06 г. и 07 г. готово_Отсроченный КПН" xfId="531"/>
    <cellStyle name="g_КПН за  2005 гдепозит_Резерв по отпускам на 31.12.06 г. и 07 г. готово_Прил. к отчету ВС, 2 этап" xfId="532"/>
    <cellStyle name="g_КПН за  2005 гдепозит_Резерв по отпускам на 31.12.06 г. и 07 г. готово_Прил. к отчету ШЭТ, 2008" xfId="533"/>
    <cellStyle name="g_КПН за  2005 гдепозит_Резерв по отпускам на 31.12.06 г. и 07 г. готово_Приложения ЖД ВТС, 2006" xfId="534"/>
    <cellStyle name="g_КПН за  2005 гдепозит_Резерв по отпускам на 31.12.06 г. и 07 г. готово_Приложения по зар.плате" xfId="535"/>
    <cellStyle name="g_КПН за  2005 гдепозит_Резерв по отпускам на 31.12.06 г. и 07 г. готово_Приложения УК МК, 2 эт. 2008 г" xfId="536"/>
    <cellStyle name="g_КПН за  2005 гдепозит_Резерв по отпускам на 31.12.06 г. и 07 г. готово_Проект аудирован. ФО УК ТС, 2008" xfId="537"/>
    <cellStyle name="g_КПН за  2005 гдепозит_Резерв по отпускам на 31.12.06 г. и 07 г. готово_Проект аудирован. ФО УК ТС, 2008_1" xfId="538"/>
    <cellStyle name="g_КПН за  2005 гдепозит_Резерв по отпускам на 31.12.06 г. и 07 г. готово_Проект аудирован. ФО УК ТС, 2008_1_запасы уктс" xfId="539"/>
    <cellStyle name="g_КПН за  2005 гдепозит_Резерв по отпускам на 31.12.06 г. и 07 г. готово_Проект аудирован. ФО ШЭТ 2008" xfId="540"/>
    <cellStyle name="g_КПН за  2005 гдепозит_Резерв по отпускам на 31.12.06 г. и 07 г. готово_Раб.мат. ККБК ВС, 2 пг 2008 г. (Павел)" xfId="541"/>
    <cellStyle name="g_КПН за  2005 гдепозит_Резерв по отпускам на 31.12.06 г. и 07 г. готово_Раб.мат. ККБК ВС, 2 пг 2008 г. (Павел)_Книга1" xfId="542"/>
    <cellStyle name="g_КПН за  2005 гдепозит_Резерв по отпускам на 31.12.06 г. и 07 г. готово_Раб.мат. ККБК ВС, 2 пг 2008 г. (Павел)_Невычеты" xfId="543"/>
    <cellStyle name="g_КПН за  2005 гдепозит_Резерв по отпускам на 31.12.06 г. и 07 г. готово_Раб.мат. ККБК ВС, 2 пг 2008 г. (Павел)_Раб.мат. УК ТЭЦ (Павел), 2 этап" xfId="544"/>
    <cellStyle name="g_КПН за  2005 гдепозит_Резерв по отпускам на 31.12.06 г. и 07 г. готово_Сверка аналитики по ЗП" xfId="545"/>
    <cellStyle name="g_КПН за  2005 гдепозит_Резерв по отпускам на 31.12.06 г. и 07 г. готово_сверка с контрагентами ШЭТ 2008" xfId="546"/>
    <cellStyle name="g_КПН за  2005 гдепозит_Резерв по отпускам на 31.12.06 г. и 07 г. готово_Трансформационная ФО за 2007 г." xfId="547"/>
    <cellStyle name="g_КПН за  2005 гдепозит_Резерв по отпускам на 31.12.06 г. и 07 г. готово_ФО 08 ВС" xfId="548"/>
    <cellStyle name="g_КПН за  2005 гдепозит_Резерв по отпускам на 31.12.06 г. и 07 г. готово_ФО ВАП, аудит 08" xfId="549"/>
    <cellStyle name="g_КПН за  2005 гдепозит_Резерв по отпускам на 31.12.06 г. и 07 г. готово_ФО ВАП, аудит 08 ОВЦ" xfId="550"/>
    <cellStyle name="g_КПН за  2005 гдепозит_Резерв по отпускам на 31.12.06 г. и 07 г. готово_ФО ВС по МСФО за 2008 г." xfId="551"/>
    <cellStyle name="g_КПН, ф. 100 30.03.051" xfId="552"/>
    <cellStyle name="g_КПН, ф. 100 30.03.051_Зпл по ноябрь" xfId="553"/>
    <cellStyle name="g_КПН, ф. 100 30.03.051_Зпл по ноябрь_Прил. к отчету ВС, 2 этап" xfId="554"/>
    <cellStyle name="g_КПН, ф. 100 30.03.051_Зпл по ноябрь_Приложения по зар.плате" xfId="555"/>
    <cellStyle name="g_КПН, ф. 100 30.03.051_Нерезиденты 4 кв. 08 г." xfId="556"/>
    <cellStyle name="g_КПН, ф. 100 30.03.051_Нерезиденты 4 кв. 08 г._Книга1" xfId="557"/>
    <cellStyle name="g_КПН, ф. 100 30.03.051_Нерезиденты 4 кв. 08 г._Невычеты" xfId="558"/>
    <cellStyle name="g_КПН, ф. 100 30.03.051_Нерезиденты 4 кв. 08 г._Раб.мат. УК ТЭЦ (Павел), 2 этап" xfId="559"/>
    <cellStyle name="g_КПН, ф. 100 30.03.051_Резерв по отпускам на 31.12.06 г. и 07 г. готово" xfId="560"/>
    <cellStyle name="g_КПН, ф. 100 30.03.051_Резерв по отпускам на 31.12.06 г. и 07 г. готово_Отсроченный КПН" xfId="561"/>
    <cellStyle name="g_КПН, ф. 100 30.03.051_Резерв по отпускам на 31.12.06 г. и 07 г. готово_Прил. к отчету ВС, 2 этап" xfId="562"/>
    <cellStyle name="g_КПН, ф. 100 30.03.051_Резерв по отпускам на 31.12.06 г. и 07 г. готово_Прил. к отчету ШЭТ, 2008" xfId="563"/>
    <cellStyle name="g_КПН, ф. 100 30.03.051_Резерв по отпускам на 31.12.06 г. и 07 г. готово_Приложения ЖД ВТС, 2006" xfId="564"/>
    <cellStyle name="g_КПН, ф. 100 30.03.051_Резерв по отпускам на 31.12.06 г. и 07 г. готово_Приложения по зар.плате" xfId="565"/>
    <cellStyle name="g_КПН, ф. 100 30.03.051_Резерв по отпускам на 31.12.06 г. и 07 г. готово_Приложения УК МК, 2 эт. 2008 г" xfId="566"/>
    <cellStyle name="g_КПН, ф. 100 30.03.051_Резерв по отпускам на 31.12.06 г. и 07 г. готово_Проект аудирован. ФО УК ТС, 2008" xfId="567"/>
    <cellStyle name="g_КПН, ф. 100 30.03.051_Резерв по отпускам на 31.12.06 г. и 07 г. готово_Проект аудирован. ФО УК ТС, 2008_1" xfId="568"/>
    <cellStyle name="g_КПН, ф. 100 30.03.051_Резерв по отпускам на 31.12.06 г. и 07 г. готово_Проект аудирован. ФО УК ТС, 2008_1_запасы уктс" xfId="569"/>
    <cellStyle name="g_КПН, ф. 100 30.03.051_Резерв по отпускам на 31.12.06 г. и 07 г. готово_Проект аудирован. ФО ШЭТ 2008" xfId="570"/>
    <cellStyle name="g_КПН, ф. 100 30.03.051_Резерв по отпускам на 31.12.06 г. и 07 г. готово_Раб.мат. ККБК ВС, 2 пг 2008 г. (Павел)" xfId="571"/>
    <cellStyle name="g_КПН, ф. 100 30.03.051_Резерв по отпускам на 31.12.06 г. и 07 г. готово_Раб.мат. ККБК ВС, 2 пг 2008 г. (Павел)_Книга1" xfId="572"/>
    <cellStyle name="g_КПН, ф. 100 30.03.051_Резерв по отпускам на 31.12.06 г. и 07 г. готово_Раб.мат. ККБК ВС, 2 пг 2008 г. (Павел)_Невычеты" xfId="573"/>
    <cellStyle name="g_КПН, ф. 100 30.03.051_Резерв по отпускам на 31.12.06 г. и 07 г. готово_Раб.мат. ККБК ВС, 2 пг 2008 г. (Павел)_Раб.мат. УК ТЭЦ (Павел), 2 этап" xfId="574"/>
    <cellStyle name="g_КПН, ф. 100 30.03.051_Резерв по отпускам на 31.12.06 г. и 07 г. готово_Сверка аналитики по ЗП" xfId="575"/>
    <cellStyle name="g_КПН, ф. 100 30.03.051_Резерв по отпускам на 31.12.06 г. и 07 г. готово_сверка с контрагентами ШЭТ 2008" xfId="576"/>
    <cellStyle name="g_КПН, ф. 100 30.03.051_Резерв по отпускам на 31.12.06 г. и 07 г. готово_Трансформационная ФО за 2007 г." xfId="577"/>
    <cellStyle name="g_КПН, ф. 100 30.03.051_Резерв по отпускам на 31.12.06 г. и 07 г. готово_ФО 08 ВС" xfId="578"/>
    <cellStyle name="g_КПН, ф. 100 30.03.051_Резерв по отпускам на 31.12.06 г. и 07 г. готово_ФО ВАП, аудит 08" xfId="579"/>
    <cellStyle name="g_КПН, ф. 100 30.03.051_Резерв по отпускам на 31.12.06 г. и 07 г. готово_ФО ВАП, аудит 08 ОВЦ" xfId="580"/>
    <cellStyle name="g_КПН, ф. 100 30.03.051_Резерв по отпускам на 31.12.06 г. и 07 г. готово_ФО ВС по МСФО за 2008 г." xfId="581"/>
    <cellStyle name="g_КПН, ф. 100 ИПЛ 2004 г 2 вар" xfId="582"/>
    <cellStyle name="g_КПН, ф. 100 ИПЛ 2004 г 2 вар_Зпл по ноябрь" xfId="583"/>
    <cellStyle name="g_КПН, ф. 100 ИПЛ 2004 г 2 вар_Зпл по ноябрь_Прил. к отчету ВС, 2 этап" xfId="584"/>
    <cellStyle name="g_КПН, ф. 100 ИПЛ 2004 г 2 вар_Зпл по ноябрь_Приложения по зар.плате" xfId="585"/>
    <cellStyle name="g_КПН, ф. 100 ИПЛ 2004 г 2 вар_Нерезиденты 4 кв. 08 г." xfId="586"/>
    <cellStyle name="g_КПН, ф. 100 ИПЛ 2004 г 2 вар_Нерезиденты 4 кв. 08 г._Книга1" xfId="587"/>
    <cellStyle name="g_КПН, ф. 100 ИПЛ 2004 г 2 вар_Нерезиденты 4 кв. 08 г._Невычеты" xfId="588"/>
    <cellStyle name="g_КПН, ф. 100 ИПЛ 2004 г 2 вар_Нерезиденты 4 кв. 08 г._Раб.мат. УК ТЭЦ (Павел), 2 этап" xfId="589"/>
    <cellStyle name="g_КПН, ф. 100 ИПЛ 2004 г 2 вар_Резерв по отпускам на 31.12.06 г. и 07 г. готово" xfId="590"/>
    <cellStyle name="g_КПН, ф. 100 ИПЛ 2004 г 2 вар_Резерв по отпускам на 31.12.06 г. и 07 г. готово_Отсроченный КПН" xfId="591"/>
    <cellStyle name="g_КПН, ф. 100 ИПЛ 2004 г 2 вар_Резерв по отпускам на 31.12.06 г. и 07 г. готово_Прил. к отчету ВС, 2 этап" xfId="592"/>
    <cellStyle name="g_КПН, ф. 100 ИПЛ 2004 г 2 вар_Резерв по отпускам на 31.12.06 г. и 07 г. готово_Прил. к отчету ШЭТ, 2008" xfId="593"/>
    <cellStyle name="g_КПН, ф. 100 ИПЛ 2004 г 2 вар_Резерв по отпускам на 31.12.06 г. и 07 г. готово_Приложения ЖД ВТС, 2006" xfId="594"/>
    <cellStyle name="g_КПН, ф. 100 ИПЛ 2004 г 2 вар_Резерв по отпускам на 31.12.06 г. и 07 г. готово_Приложения по зар.плате" xfId="595"/>
    <cellStyle name="g_КПН, ф. 100 ИПЛ 2004 г 2 вар_Резерв по отпускам на 31.12.06 г. и 07 г. готово_Приложения УК МК, 2 эт. 2008 г" xfId="596"/>
    <cellStyle name="g_КПН, ф. 100 ИПЛ 2004 г 2 вар_Резерв по отпускам на 31.12.06 г. и 07 г. готово_Проект аудирован. ФО УК ТС, 2008" xfId="597"/>
    <cellStyle name="g_КПН, ф. 100 ИПЛ 2004 г 2 вар_Резерв по отпускам на 31.12.06 г. и 07 г. готово_Проект аудирован. ФО УК ТС, 2008_1" xfId="598"/>
    <cellStyle name="g_КПН, ф. 100 ИПЛ 2004 г 2 вар_Резерв по отпускам на 31.12.06 г. и 07 г. готово_Проект аудирован. ФО УК ТС, 2008_1_запасы уктс" xfId="599"/>
    <cellStyle name="g_КПН, ф. 100 ИПЛ 2004 г 2 вар_Резерв по отпускам на 31.12.06 г. и 07 г. готово_Проект аудирован. ФО ШЭТ 2008" xfId="600"/>
    <cellStyle name="g_КПН, ф. 100 ИПЛ 2004 г 2 вар_Резерв по отпускам на 31.12.06 г. и 07 г. готово_Раб.мат. ККБК ВС, 2 пг 2008 г. (Павел)" xfId="601"/>
    <cellStyle name="g_КПН, ф. 100 ИПЛ 2004 г 2 вар_Резерв по отпускам на 31.12.06 г. и 07 г. готово_Раб.мат. ККБК ВС, 2 пг 2008 г. (Павел)_Книга1" xfId="602"/>
    <cellStyle name="g_КПН, ф. 100 ИПЛ 2004 г 2 вар_Резерв по отпускам на 31.12.06 г. и 07 г. готово_Раб.мат. ККБК ВС, 2 пг 2008 г. (Павел)_Невычеты" xfId="603"/>
    <cellStyle name="g_КПН, ф. 100 ИПЛ 2004 г 2 вар_Резерв по отпускам на 31.12.06 г. и 07 г. готово_Раб.мат. ККБК ВС, 2 пг 2008 г. (Павел)_Раб.мат. УК ТЭЦ (Павел), 2 этап" xfId="604"/>
    <cellStyle name="g_КПН, ф. 100 ИПЛ 2004 г 2 вар_Резерв по отпускам на 31.12.06 г. и 07 г. готово_Сверка аналитики по ЗП" xfId="605"/>
    <cellStyle name="g_КПН, ф. 100 ИПЛ 2004 г 2 вар_Резерв по отпускам на 31.12.06 г. и 07 г. готово_сверка с контрагентами ШЭТ 2008" xfId="606"/>
    <cellStyle name="g_КПН, ф. 100 ИПЛ 2004 г 2 вар_Резерв по отпускам на 31.12.06 г. и 07 г. готово_Трансформационная ФО за 2007 г." xfId="607"/>
    <cellStyle name="g_КПН, ф. 100 ИПЛ 2004 г 2 вар_Резерв по отпускам на 31.12.06 г. и 07 г. готово_ФО 08 ВС" xfId="608"/>
    <cellStyle name="g_КПН, ф. 100 ИПЛ 2004 г 2 вар_Резерв по отпускам на 31.12.06 г. и 07 г. готово_ФО ВАП, аудит 08" xfId="609"/>
    <cellStyle name="g_КПН, ф. 100 ИПЛ 2004 г 2 вар_Резерв по отпускам на 31.12.06 г. и 07 г. готово_ФО ВАП, аудит 08 ОВЦ" xfId="610"/>
    <cellStyle name="g_КПН, ф. 100 ИПЛ 2004 г 2 вар_Резерв по отпускам на 31.12.06 г. и 07 г. готово_ФО ВС по МСФО за 2008 г." xfId="611"/>
    <cellStyle name="g_КПН, ф. 100 ИПЛ 2004 г." xfId="612"/>
    <cellStyle name="g_КПН, ф. 100 ИПЛ 2004 г._Зпл по ноябрь" xfId="613"/>
    <cellStyle name="g_КПН, ф. 100 ИПЛ 2004 г._Зпл по ноябрь_Прил. к отчету ВС, 2 этап" xfId="614"/>
    <cellStyle name="g_КПН, ф. 100 ИПЛ 2004 г._Зпл по ноябрь_Приложения по зар.плате" xfId="615"/>
    <cellStyle name="g_КПН, ф. 100 ИПЛ 2004 г._Нерезиденты 4 кв. 08 г." xfId="616"/>
    <cellStyle name="g_КПН, ф. 100 ИПЛ 2004 г._Нерезиденты 4 кв. 08 г._Книга1" xfId="617"/>
    <cellStyle name="g_КПН, ф. 100 ИПЛ 2004 г._Нерезиденты 4 кв. 08 г._Невычеты" xfId="618"/>
    <cellStyle name="g_КПН, ф. 100 ИПЛ 2004 г._Нерезиденты 4 кв. 08 г._Раб.мат. УК ТЭЦ (Павел), 2 этап" xfId="619"/>
    <cellStyle name="g_КПН, ф. 100 ИПЛ 2004 г._Резерв по отпускам на 31.12.06 г. и 07 г. готово" xfId="620"/>
    <cellStyle name="g_КПН, ф. 100 ИПЛ 2004 г._Резерв по отпускам на 31.12.06 г. и 07 г. готово_Отсроченный КПН" xfId="621"/>
    <cellStyle name="g_КПН, ф. 100 ИПЛ 2004 г._Резерв по отпускам на 31.12.06 г. и 07 г. готово_Прил. к отчету ВС, 2 этап" xfId="622"/>
    <cellStyle name="g_КПН, ф. 100 ИПЛ 2004 г._Резерв по отпускам на 31.12.06 г. и 07 г. готово_Прил. к отчету ШЭТ, 2008" xfId="623"/>
    <cellStyle name="g_КПН, ф. 100 ИПЛ 2004 г._Резерв по отпускам на 31.12.06 г. и 07 г. готово_Приложения ЖД ВТС, 2006" xfId="624"/>
    <cellStyle name="g_КПН, ф. 100 ИПЛ 2004 г._Резерв по отпускам на 31.12.06 г. и 07 г. готово_Приложения по зар.плате" xfId="625"/>
    <cellStyle name="g_КПН, ф. 100 ИПЛ 2004 г._Резерв по отпускам на 31.12.06 г. и 07 г. готово_Приложения УК МК, 2 эт. 2008 г" xfId="626"/>
    <cellStyle name="g_КПН, ф. 100 ИПЛ 2004 г._Резерв по отпускам на 31.12.06 г. и 07 г. готово_Проект аудирован. ФО УК ТС, 2008" xfId="627"/>
    <cellStyle name="g_КПН, ф. 100 ИПЛ 2004 г._Резерв по отпускам на 31.12.06 г. и 07 г. готово_Проект аудирован. ФО УК ТС, 2008_1" xfId="628"/>
    <cellStyle name="g_КПН, ф. 100 ИПЛ 2004 г._Резерв по отпускам на 31.12.06 г. и 07 г. готово_Проект аудирован. ФО УК ТС, 2008_1_запасы уктс" xfId="629"/>
    <cellStyle name="g_КПН, ф. 100 ИПЛ 2004 г._Резерв по отпускам на 31.12.06 г. и 07 г. готово_Проект аудирован. ФО ШЭТ 2008" xfId="630"/>
    <cellStyle name="g_КПН, ф. 100 ИПЛ 2004 г._Резерв по отпускам на 31.12.06 г. и 07 г. готово_Раб.мат. ККБК ВС, 2 пг 2008 г. (Павел)" xfId="631"/>
    <cellStyle name="g_КПН, ф. 100 ИПЛ 2004 г._Резерв по отпускам на 31.12.06 г. и 07 г. готово_Раб.мат. ККБК ВС, 2 пг 2008 г. (Павел)_Книга1" xfId="632"/>
    <cellStyle name="g_КПН, ф. 100 ИПЛ 2004 г._Резерв по отпускам на 31.12.06 г. и 07 г. готово_Раб.мат. ККБК ВС, 2 пг 2008 г. (Павел)_Невычеты" xfId="633"/>
    <cellStyle name="g_КПН, ф. 100 ИПЛ 2004 г._Резерв по отпускам на 31.12.06 г. и 07 г. готово_Раб.мат. ККБК ВС, 2 пг 2008 г. (Павел)_Раб.мат. УК ТЭЦ (Павел), 2 этап" xfId="634"/>
    <cellStyle name="g_КПН, ф. 100 ИПЛ 2004 г._Резерв по отпускам на 31.12.06 г. и 07 г. готово_Сверка аналитики по ЗП" xfId="635"/>
    <cellStyle name="g_КПН, ф. 100 ИПЛ 2004 г._Резерв по отпускам на 31.12.06 г. и 07 г. готово_сверка с контрагентами ШЭТ 2008" xfId="636"/>
    <cellStyle name="g_КПН, ф. 100 ИПЛ 2004 г._Резерв по отпускам на 31.12.06 г. и 07 г. готово_Трансформационная ФО за 2007 г." xfId="637"/>
    <cellStyle name="g_КПН, ф. 100 ИПЛ 2004 г._Резерв по отпускам на 31.12.06 г. и 07 г. готово_ФО 08 ВС" xfId="638"/>
    <cellStyle name="g_КПН, ф. 100 ИПЛ 2004 г._Резерв по отпускам на 31.12.06 г. и 07 г. готово_ФО ВАП, аудит 08" xfId="639"/>
    <cellStyle name="g_КПН, ф. 100 ИПЛ 2004 г._Резерв по отпускам на 31.12.06 г. и 07 г. готово_ФО ВАП, аудит 08 ОВЦ" xfId="640"/>
    <cellStyle name="g_КПН, ф. 100 ИПЛ 2004 г._Резерв по отпускам на 31.12.06 г. и 07 г. готово_ФО ВС по МСФО за 2008 г." xfId="641"/>
    <cellStyle name="g_Нерезиденты 4 кв. 08 г." xfId="642"/>
    <cellStyle name="g_Нерезиденты 4 кв. 08 г._Книга1" xfId="643"/>
    <cellStyle name="g_Нерезиденты 4 кв. 08 г._Невычеты" xfId="644"/>
    <cellStyle name="g_Нерезиденты 4 кв. 08 г._Раб.мат. УК ТЭЦ (Павел), 2 этап" xfId="645"/>
    <cellStyle name="g_Прил. к акту ШГЭС за 2005 г." xfId="646"/>
    <cellStyle name="g_Прил. к акту ШГЭС за 2005 г._Зпл по ноябрь" xfId="647"/>
    <cellStyle name="g_Прил. к акту ШГЭС за 2005 г._Зпл по ноябрь_Прил. к отчету ВС, 2 этап" xfId="648"/>
    <cellStyle name="g_Прил. к акту ШГЭС за 2005 г._Зпл по ноябрь_Приложения по зар.плате" xfId="649"/>
    <cellStyle name="g_Прил. к акту ШГЭС за 2005 г._Нерезиденты 4 кв. 08 г." xfId="650"/>
    <cellStyle name="g_Прил. к акту ШГЭС за 2005 г._Нерезиденты 4 кв. 08 г._Книга1" xfId="651"/>
    <cellStyle name="g_Прил. к акту ШГЭС за 2005 г._Нерезиденты 4 кв. 08 г._Невычеты" xfId="652"/>
    <cellStyle name="g_Прил. к акту ШГЭС за 2005 г._Нерезиденты 4 кв. 08 г._Раб.мат. УК ТЭЦ (Павел), 2 этап" xfId="653"/>
    <cellStyle name="g_Прил. к акту ШГЭС за 2005 г._Резерв по отпускам на 31.12.06 г. и 07 г. готово" xfId="654"/>
    <cellStyle name="g_Прил. к акту ШГЭС за 2005 г._Резерв по отпускам на 31.12.06 г. и 07 г. готово_Отсроченный КПН" xfId="655"/>
    <cellStyle name="g_Прил. к акту ШГЭС за 2005 г._Резерв по отпускам на 31.12.06 г. и 07 г. готово_Прил. к отчету ВС, 2 этап" xfId="656"/>
    <cellStyle name="g_Прил. к акту ШГЭС за 2005 г._Резерв по отпускам на 31.12.06 г. и 07 г. готово_Прил. к отчету ШЭТ, 2008" xfId="657"/>
    <cellStyle name="g_Прил. к акту ШГЭС за 2005 г._Резерв по отпускам на 31.12.06 г. и 07 г. готово_Приложения ЖД ВТС, 2006" xfId="658"/>
    <cellStyle name="g_Прил. к акту ШГЭС за 2005 г._Резерв по отпускам на 31.12.06 г. и 07 г. готово_Приложения по зар.плате" xfId="659"/>
    <cellStyle name="g_Прил. к акту ШГЭС за 2005 г._Резерв по отпускам на 31.12.06 г. и 07 г. готово_Приложения УК МК, 2 эт. 2008 г" xfId="660"/>
    <cellStyle name="g_Прил. к акту ШГЭС за 2005 г._Резерв по отпускам на 31.12.06 г. и 07 г. готово_Проект аудирован. ФО УК ТС, 2008" xfId="661"/>
    <cellStyle name="g_Прил. к акту ШГЭС за 2005 г._Резерв по отпускам на 31.12.06 г. и 07 г. готово_Проект аудирован. ФО УК ТС, 2008_1" xfId="662"/>
    <cellStyle name="g_Прил. к акту ШГЭС за 2005 г._Резерв по отпускам на 31.12.06 г. и 07 г. готово_Проект аудирован. ФО УК ТС, 2008_1_запасы уктс" xfId="663"/>
    <cellStyle name="g_Прил. к акту ШГЭС за 2005 г._Резерв по отпускам на 31.12.06 г. и 07 г. готово_Проект аудирован. ФО ШЭТ 2008" xfId="664"/>
    <cellStyle name="g_Прил. к акту ШГЭС за 2005 г._Резерв по отпускам на 31.12.06 г. и 07 г. готово_Раб.мат. ККБК ВС, 2 пг 2008 г. (Павел)" xfId="665"/>
    <cellStyle name="g_Прил. к акту ШГЭС за 2005 г._Резерв по отпускам на 31.12.06 г. и 07 г. готово_Раб.мат. ККБК ВС, 2 пг 2008 г. (Павел)_Книга1" xfId="666"/>
    <cellStyle name="g_Прил. к акту ШГЭС за 2005 г._Резерв по отпускам на 31.12.06 г. и 07 г. готово_Раб.мат. ККБК ВС, 2 пг 2008 г. (Павел)_Невычеты" xfId="667"/>
    <cellStyle name="g_Прил. к акту ШГЭС за 2005 г._Резерв по отпускам на 31.12.06 г. и 07 г. готово_Раб.мат. ККБК ВС, 2 пг 2008 г. (Павел)_Раб.мат. УК ТЭЦ (Павел), 2 этап" xfId="668"/>
    <cellStyle name="g_Прил. к акту ШГЭС за 2005 г._Резерв по отпускам на 31.12.06 г. и 07 г. готово_Сверка аналитики по ЗП" xfId="669"/>
    <cellStyle name="g_Прил. к акту ШГЭС за 2005 г._Резерв по отпускам на 31.12.06 г. и 07 г. готово_сверка с контрагентами ШЭТ 2008" xfId="670"/>
    <cellStyle name="g_Прил. к акту ШГЭС за 2005 г._Резерв по отпускам на 31.12.06 г. и 07 г. готово_Трансформационная ФО за 2007 г." xfId="671"/>
    <cellStyle name="g_Прил. к акту ШГЭС за 2005 г._Резерв по отпускам на 31.12.06 г. и 07 г. готово_ФО 08 ВС" xfId="672"/>
    <cellStyle name="g_Прил. к акту ШГЭС за 2005 г._Резерв по отпускам на 31.12.06 г. и 07 г. готово_ФО ВАП, аудит 08" xfId="673"/>
    <cellStyle name="g_Прил. к акту ШГЭС за 2005 г._Резерв по отпускам на 31.12.06 г. и 07 г. готово_ФО ВАП, аудит 08 ОВЦ" xfId="674"/>
    <cellStyle name="g_Прил. к акту ШГЭС за 2005 г._Резерв по отпускам на 31.12.06 г. и 07 г. готово_ФО ВС по МСФО за 2008 г." xfId="675"/>
    <cellStyle name="g_Приложения к акту ИПЛ 1" xfId="676"/>
    <cellStyle name="g_Приложения к акту ИПЛ 1_Зпл по ноябрь" xfId="677"/>
    <cellStyle name="g_Приложения к акту ИПЛ 1_Зпл по ноябрь_Прил. к отчету ВС, 2 этап" xfId="678"/>
    <cellStyle name="g_Приложения к акту ИПЛ 1_Зпл по ноябрь_Приложения по зар.плате" xfId="679"/>
    <cellStyle name="g_Приложения к акту ИПЛ 1_Нерезиденты 4 кв. 08 г." xfId="680"/>
    <cellStyle name="g_Приложения к акту ИПЛ 1_Нерезиденты 4 кв. 08 г._Книга1" xfId="681"/>
    <cellStyle name="g_Приложения к акту ИПЛ 1_Нерезиденты 4 кв. 08 г._Невычеты" xfId="682"/>
    <cellStyle name="g_Приложения к акту ИПЛ 1_Нерезиденты 4 кв. 08 г._Раб.мат. УК ТЭЦ (Павел), 2 этап" xfId="683"/>
    <cellStyle name="g_Приложения к акту ИПЛ 1_Резерв по отпускам на 31.12.06 г. и 07 г. готово" xfId="684"/>
    <cellStyle name="g_Приложения к акту ИПЛ 1_Резерв по отпускам на 31.12.06 г. и 07 г. готово_Отсроченный КПН" xfId="685"/>
    <cellStyle name="g_Приложения к акту ИПЛ 1_Резерв по отпускам на 31.12.06 г. и 07 г. готово_Прил. к отчету ВС, 2 этап" xfId="686"/>
    <cellStyle name="g_Приложения к акту ИПЛ 1_Резерв по отпускам на 31.12.06 г. и 07 г. готово_Прил. к отчету ШЭТ, 2008" xfId="687"/>
    <cellStyle name="g_Приложения к акту ИПЛ 1_Резерв по отпускам на 31.12.06 г. и 07 г. готово_Приложения ЖД ВТС, 2006" xfId="688"/>
    <cellStyle name="g_Приложения к акту ИПЛ 1_Резерв по отпускам на 31.12.06 г. и 07 г. готово_Приложения по зар.плате" xfId="689"/>
    <cellStyle name="g_Приложения к акту ИПЛ 1_Резерв по отпускам на 31.12.06 г. и 07 г. готово_Приложения УК МК, 2 эт. 2008 г" xfId="690"/>
    <cellStyle name="g_Приложения к акту ИПЛ 1_Резерв по отпускам на 31.12.06 г. и 07 г. готово_Проект аудирован. ФО УК ТС, 2008" xfId="691"/>
    <cellStyle name="g_Приложения к акту ИПЛ 1_Резерв по отпускам на 31.12.06 г. и 07 г. готово_Проект аудирован. ФО УК ТС, 2008_1" xfId="692"/>
    <cellStyle name="g_Приложения к акту ИПЛ 1_Резерв по отпускам на 31.12.06 г. и 07 г. готово_Проект аудирован. ФО УК ТС, 2008_1_запасы уктс" xfId="693"/>
    <cellStyle name="g_Приложения к акту ИПЛ 1_Резерв по отпускам на 31.12.06 г. и 07 г. готово_Проект аудирован. ФО ШЭТ 2008" xfId="694"/>
    <cellStyle name="g_Приложения к акту ИПЛ 1_Резерв по отпускам на 31.12.06 г. и 07 г. готово_Раб.мат. ККБК ВС, 2 пг 2008 г. (Павел)" xfId="695"/>
    <cellStyle name="g_Приложения к акту ИПЛ 1_Резерв по отпускам на 31.12.06 г. и 07 г. готово_Раб.мат. ККБК ВС, 2 пг 2008 г. (Павел)_Книга1" xfId="696"/>
    <cellStyle name="g_Приложения к акту ИПЛ 1_Резерв по отпускам на 31.12.06 г. и 07 г. готово_Раб.мат. ККБК ВС, 2 пг 2008 г. (Павел)_Невычеты" xfId="697"/>
    <cellStyle name="g_Приложения к акту ИПЛ 1_Резерв по отпускам на 31.12.06 г. и 07 г. готово_Раб.мат. ККБК ВС, 2 пг 2008 г. (Павел)_Раб.мат. УК ТЭЦ (Павел), 2 этап" xfId="698"/>
    <cellStyle name="g_Приложения к акту ИПЛ 1_Резерв по отпускам на 31.12.06 г. и 07 г. готово_Сверка аналитики по ЗП" xfId="699"/>
    <cellStyle name="g_Приложения к акту ИПЛ 1_Резерв по отпускам на 31.12.06 г. и 07 г. готово_сверка с контрагентами ШЭТ 2008" xfId="700"/>
    <cellStyle name="g_Приложения к акту ИПЛ 1_Резерв по отпускам на 31.12.06 г. и 07 г. готово_Трансформационная ФО за 2007 г." xfId="701"/>
    <cellStyle name="g_Приложения к акту ИПЛ 1_Резерв по отпускам на 31.12.06 г. и 07 г. готово_ФО 08 ВС" xfId="702"/>
    <cellStyle name="g_Приложения к акту ИПЛ 1_Резерв по отпускам на 31.12.06 г. и 07 г. готово_ФО ВАП, аудит 08" xfId="703"/>
    <cellStyle name="g_Приложения к акту ИПЛ 1_Резерв по отпускам на 31.12.06 г. и 07 г. готово_ФО ВАП, аудит 08 ОВЦ" xfId="704"/>
    <cellStyle name="g_Приложения к акту ИПЛ 1_Резерв по отпускам на 31.12.06 г. и 07 г. готово_ФО ВС по МСФО за 2008 г." xfId="705"/>
    <cellStyle name="g_Резерв по отпускам на 31.12.06 г. и 07 г. готово" xfId="706"/>
    <cellStyle name="g_Резерв по отпускам на 31.12.06 г. и 07 г. готово_Отсроченный КПН" xfId="707"/>
    <cellStyle name="g_Резерв по отпускам на 31.12.06 г. и 07 г. готово_Прил. к отчету ВС, 2 этап" xfId="708"/>
    <cellStyle name="g_Резерв по отпускам на 31.12.06 г. и 07 г. готово_Прил. к отчету ШЭТ, 2008" xfId="709"/>
    <cellStyle name="g_Резерв по отпускам на 31.12.06 г. и 07 г. готово_Приложения ЖД ВТС, 2006" xfId="710"/>
    <cellStyle name="g_Резерв по отпускам на 31.12.06 г. и 07 г. готово_Приложения по зар.плате" xfId="711"/>
    <cellStyle name="g_Резерв по отпускам на 31.12.06 г. и 07 г. готово_Приложения УК МК, 2 эт. 2008 г" xfId="712"/>
    <cellStyle name="g_Резерв по отпускам на 31.12.06 г. и 07 г. готово_Проект аудирован. ФО УК ТС, 2008" xfId="713"/>
    <cellStyle name="g_Резерв по отпускам на 31.12.06 г. и 07 г. готово_Проект аудирован. ФО УК ТС, 2008_1" xfId="714"/>
    <cellStyle name="g_Резерв по отпускам на 31.12.06 г. и 07 г. готово_Проект аудирован. ФО УК ТС, 2008_1_запасы уктс" xfId="715"/>
    <cellStyle name="g_Резерв по отпускам на 31.12.06 г. и 07 г. готово_Проект аудирован. ФО ШЭТ 2008" xfId="716"/>
    <cellStyle name="g_Резерв по отпускам на 31.12.06 г. и 07 г. готово_Раб.мат. ККБК ВС, 2 пг 2008 г. (Павел)" xfId="717"/>
    <cellStyle name="g_Резерв по отпускам на 31.12.06 г. и 07 г. готово_Раб.мат. ККБК ВС, 2 пг 2008 г. (Павел)_Книга1" xfId="718"/>
    <cellStyle name="g_Резерв по отпускам на 31.12.06 г. и 07 г. готово_Раб.мат. ККБК ВС, 2 пг 2008 г. (Павел)_Невычеты" xfId="719"/>
    <cellStyle name="g_Резерв по отпускам на 31.12.06 г. и 07 г. готово_Раб.мат. ККБК ВС, 2 пг 2008 г. (Павел)_Раб.мат. УК ТЭЦ (Павел), 2 этап" xfId="720"/>
    <cellStyle name="g_Резерв по отпускам на 31.12.06 г. и 07 г. готово_Сверка аналитики по ЗП" xfId="721"/>
    <cellStyle name="g_Резерв по отпускам на 31.12.06 г. и 07 г. готово_сверка с контрагентами ШЭТ 2008" xfId="722"/>
    <cellStyle name="g_Резерв по отпускам на 31.12.06 г. и 07 г. готово_Трансформационная ФО за 2007 г." xfId="723"/>
    <cellStyle name="g_Резерв по отпускам на 31.12.06 г. и 07 г. готово_ФО 08 ВС" xfId="724"/>
    <cellStyle name="g_Резерв по отпускам на 31.12.06 г. и 07 г. готово_ФО ВАП, аудит 08" xfId="725"/>
    <cellStyle name="g_Резерв по отпускам на 31.12.06 г. и 07 г. готово_ФО ВАП, аудит 08 ОВЦ" xfId="726"/>
    <cellStyle name="g_Резерв по отпускам на 31.12.06 г. и 07 г. готово_ФО ВС по МСФО за 2008 г." xfId="727"/>
    <cellStyle name="G03_Text" xfId="1061"/>
    <cellStyle name="Good" xfId="1062"/>
    <cellStyle name="Good 2" xfId="1063"/>
    <cellStyle name="Grey" xfId="728"/>
    <cellStyle name="Header1" xfId="1064"/>
    <cellStyle name="Header1 2" xfId="1065"/>
    <cellStyle name="Header2" xfId="1066"/>
    <cellStyle name="Header2 2" xfId="1067"/>
    <cellStyle name="Header2 2 2" xfId="1068"/>
    <cellStyle name="Header2 2 2 2" xfId="1069"/>
    <cellStyle name="Header2 2 3" xfId="1070"/>
    <cellStyle name="Header2 3" xfId="1071"/>
    <cellStyle name="Header2 3 2" xfId="1072"/>
    <cellStyle name="Header2 4" xfId="1073"/>
    <cellStyle name="Header2 4 2" xfId="1074"/>
    <cellStyle name="Heading" xfId="1075"/>
    <cellStyle name="Heading 1" xfId="1076"/>
    <cellStyle name="Heading 1 2" xfId="1077"/>
    <cellStyle name="Heading 2" xfId="1078"/>
    <cellStyle name="Heading 2 2" xfId="1079"/>
    <cellStyle name="Heading 3" xfId="1080"/>
    <cellStyle name="Heading 3 2" xfId="1081"/>
    <cellStyle name="Heading 4" xfId="1082"/>
    <cellStyle name="Heading 4 2" xfId="1083"/>
    <cellStyle name="Hyperlink_RESULTS" xfId="1084"/>
    <cellStyle name="Iau?iue_NotesFA" xfId="1085"/>
    <cellStyle name="Îáû÷íûé" xfId="1086"/>
    <cellStyle name="Ïðîöåíòíûé" xfId="1087"/>
    <cellStyle name="Input" xfId="1088"/>
    <cellStyle name="Input [yellow]" xfId="729"/>
    <cellStyle name="Input [yellow] 2" xfId="1089"/>
    <cellStyle name="Input [yellow] 3" xfId="1090"/>
    <cellStyle name="Input 2" xfId="1091"/>
    <cellStyle name="Input 3" xfId="1092"/>
    <cellStyle name="Input_Cell" xfId="1093"/>
    <cellStyle name="Link Currency (0)" xfId="1094"/>
    <cellStyle name="Link Currency (2)" xfId="1095"/>
    <cellStyle name="Link Units (0)" xfId="1096"/>
    <cellStyle name="Link Units (1)" xfId="1097"/>
    <cellStyle name="Link Units (2)" xfId="1098"/>
    <cellStyle name="Linked Cell" xfId="1099"/>
    <cellStyle name="Linked Cell 2" xfId="1100"/>
    <cellStyle name="Millares [0]_FINAL-10" xfId="1101"/>
    <cellStyle name="Millares_FINAL-10" xfId="1102"/>
    <cellStyle name="Milliers [0]_B.S.96" xfId="1103"/>
    <cellStyle name="Milliers_B.S.96" xfId="1104"/>
    <cellStyle name="Moneda [0]_FINAL-10" xfId="1105"/>
    <cellStyle name="Moneda_FINAL-10" xfId="1106"/>
    <cellStyle name="Monйtaire [0]_B.S.96" xfId="1107"/>
    <cellStyle name="Monйtaire_B.S.96" xfId="1108"/>
    <cellStyle name="Neutral" xfId="1109"/>
    <cellStyle name="Neutral 2" xfId="1110"/>
    <cellStyle name="Normal - Style1" xfId="730"/>
    <cellStyle name="Normal - Style1 2" xfId="1111"/>
    <cellStyle name="Normal - Style1 2 2" xfId="1112"/>
    <cellStyle name="Normal - Style1 2_Пакет отчетности_09-02-2012" xfId="1113"/>
    <cellStyle name="Normal - Style1 3" xfId="1114"/>
    <cellStyle name="Normal 10" xfId="1115"/>
    <cellStyle name="Normal 11" xfId="1116"/>
    <cellStyle name="Normal 2" xfId="1117"/>
    <cellStyle name="Normal 2 2" xfId="1118"/>
    <cellStyle name="Normal 3" xfId="1119"/>
    <cellStyle name="Normal 3 2" xfId="1120"/>
    <cellStyle name="Normal 3 3" xfId="1121"/>
    <cellStyle name="Normal 4" xfId="1122"/>
    <cellStyle name="Normal 4 2" xfId="1123"/>
    <cellStyle name="Normal 4 3" xfId="1124"/>
    <cellStyle name="Normal 5" xfId="1125"/>
    <cellStyle name="Normal 6" xfId="1126"/>
    <cellStyle name="Normal 7" xfId="1127"/>
    <cellStyle name="Normal 8" xfId="1128"/>
    <cellStyle name="Normal 9" xfId="1129"/>
    <cellStyle name="Normal_# 41-Market &amp;Trends" xfId="1130"/>
    <cellStyle name="Normal1" xfId="1131"/>
    <cellStyle name="Normal1 2" xfId="1132"/>
    <cellStyle name="normбlnм_laroux" xfId="1133"/>
    <cellStyle name="Note" xfId="1134"/>
    <cellStyle name="Note 2" xfId="1135"/>
    <cellStyle name="Note 2 2" xfId="1136"/>
    <cellStyle name="Note 2 2 2" xfId="1137"/>
    <cellStyle name="Note 2 3" xfId="1138"/>
    <cellStyle name="Note 3" xfId="1139"/>
    <cellStyle name="Note 3 2" xfId="1140"/>
    <cellStyle name="Note 4" xfId="1141"/>
    <cellStyle name="numbers" xfId="1142"/>
    <cellStyle name="numbers 2" xfId="1143"/>
    <cellStyle name="numbers_Пакет отчетности_09-02-2012" xfId="1144"/>
    <cellStyle name="Ôèíàíñîâûé" xfId="1145"/>
    <cellStyle name="Ôèíàíñîâûé [0]" xfId="1146"/>
    <cellStyle name="Oeiainiaue [0]_NotesFA" xfId="1147"/>
    <cellStyle name="Oeiainiaue_NotesFA" xfId="1148"/>
    <cellStyle name="Ouny?e [0]_Oi?a IAIE" xfId="1149"/>
    <cellStyle name="Ouny?e_Oi?a IAIE" xfId="1150"/>
    <cellStyle name="Output" xfId="1151"/>
    <cellStyle name="Output 2" xfId="1152"/>
    <cellStyle name="Output 2 2" xfId="1153"/>
    <cellStyle name="Output 2 2 2" xfId="1154"/>
    <cellStyle name="Output 2 3" xfId="1155"/>
    <cellStyle name="Output 3" xfId="1156"/>
    <cellStyle name="Output 3 2" xfId="1157"/>
    <cellStyle name="Output 4" xfId="1158"/>
    <cellStyle name="paint" xfId="1159"/>
    <cellStyle name="paint 2" xfId="1160"/>
    <cellStyle name="Percent (0)" xfId="1161"/>
    <cellStyle name="Percent (0) 2" xfId="1162"/>
    <cellStyle name="Percent [0]" xfId="1163"/>
    <cellStyle name="Percent [00]" xfId="1164"/>
    <cellStyle name="Percent [2]" xfId="731"/>
    <cellStyle name="Percent [2] 2" xfId="1165"/>
    <cellStyle name="Percent 0%" xfId="1166"/>
    <cellStyle name="Percent 0.00%" xfId="1167"/>
    <cellStyle name="Percent 2" xfId="1168"/>
    <cellStyle name="Percent 3" xfId="1169"/>
    <cellStyle name="Percent_#6 Temps &amp; Contractors" xfId="1170"/>
    <cellStyle name="Piug" xfId="1171"/>
    <cellStyle name="piw#" xfId="1172"/>
    <cellStyle name="piw%" xfId="1173"/>
    <cellStyle name="Plug" xfId="1174"/>
    <cellStyle name="Pourcentage_Profit &amp; Loss" xfId="1175"/>
    <cellStyle name="PrePop Currency (0)" xfId="1176"/>
    <cellStyle name="PrePop Currency (2)" xfId="1177"/>
    <cellStyle name="PrePop Units (0)" xfId="1178"/>
    <cellStyle name="PrePop Units (1)" xfId="1179"/>
    <cellStyle name="PrePop Units (2)" xfId="1180"/>
    <cellStyle name="Price_Body" xfId="1181"/>
    <cellStyle name="prochrek" xfId="1182"/>
    <cellStyle name="Rubles" xfId="1183"/>
    <cellStyle name="SAPLocked" xfId="1184"/>
    <cellStyle name="SAPUnLocked" xfId="1185"/>
    <cellStyle name="small" xfId="1186"/>
    <cellStyle name="stand_bord" xfId="1187"/>
    <cellStyle name="Standard_20020617_Modell_PUFA_neu_v9" xfId="1188"/>
    <cellStyle name="Style 1" xfId="1189"/>
    <cellStyle name="Style 1 2" xfId="1190"/>
    <cellStyle name="Style 1 3" xfId="1191"/>
    <cellStyle name="Style 2" xfId="1192"/>
    <cellStyle name="Style 2 2" xfId="1193"/>
    <cellStyle name="Style 2 3" xfId="1194"/>
    <cellStyle name="Style 2 4" xfId="1195"/>
    <cellStyle name="Style 3" xfId="1196"/>
    <cellStyle name="Text Indent A" xfId="1197"/>
    <cellStyle name="Text Indent B" xfId="1198"/>
    <cellStyle name="Text Indent C" xfId="1199"/>
    <cellStyle name="Tickmark" xfId="1200"/>
    <cellStyle name="Tickmark 2" xfId="1201"/>
    <cellStyle name="Title" xfId="1202"/>
    <cellStyle name="Title 2" xfId="1203"/>
    <cellStyle name="Total" xfId="1204"/>
    <cellStyle name="Total 2" xfId="1205"/>
    <cellStyle name="Total 2 2" xfId="1206"/>
    <cellStyle name="Total 2 2 2" xfId="1207"/>
    <cellStyle name="Total 2 3" xfId="1208"/>
    <cellStyle name="Total 3" xfId="1209"/>
    <cellStyle name="Total 3 2" xfId="1210"/>
    <cellStyle name="Total 4" xfId="1211"/>
    <cellStyle name="Virgulă_30-06-2003 lei-USDru" xfId="1212"/>
    <cellStyle name="Währung [0]_Closing FX Kurse" xfId="1213"/>
    <cellStyle name="Währung_Closing FX Kurse" xfId="1214"/>
    <cellStyle name="Warning Text" xfId="1215"/>
    <cellStyle name="Warning Text 2" xfId="1216"/>
    <cellStyle name="Акцент1 2" xfId="1217"/>
    <cellStyle name="Акцент1 2 2" xfId="1218"/>
    <cellStyle name="Акцент2 2" xfId="1219"/>
    <cellStyle name="Акцент2 2 2" xfId="1220"/>
    <cellStyle name="Акцент3 2" xfId="1221"/>
    <cellStyle name="Акцент3 2 2" xfId="1222"/>
    <cellStyle name="Акцент4 2" xfId="1223"/>
    <cellStyle name="Акцент4 2 2" xfId="1224"/>
    <cellStyle name="Акцент5 2" xfId="1225"/>
    <cellStyle name="Акцент5 2 2" xfId="1226"/>
    <cellStyle name="Акцент6 2" xfId="1227"/>
    <cellStyle name="Акцент6 2 2" xfId="1228"/>
    <cellStyle name="Беззащитный" xfId="1229"/>
    <cellStyle name="Ввод  2" xfId="1230"/>
    <cellStyle name="Ввод  2 2" xfId="1231"/>
    <cellStyle name="Ввод  3" xfId="1232"/>
    <cellStyle name="Верт. заголовок" xfId="1233"/>
    <cellStyle name="Вес_продукта" xfId="1234"/>
    <cellStyle name="Вывод 2" xfId="1235"/>
    <cellStyle name="Вывод 2 2" xfId="1236"/>
    <cellStyle name="Вывод 3" xfId="1237"/>
    <cellStyle name="Вычисление 2" xfId="1238"/>
    <cellStyle name="Вычисление 2 2" xfId="1239"/>
    <cellStyle name="Вычисление 3" xfId="1240"/>
    <cellStyle name="Гиперссылка" xfId="732" builtinId="8"/>
    <cellStyle name="Гиперссылка 2" xfId="733"/>
    <cellStyle name="Гиперссылка 2 2" xfId="734"/>
    <cellStyle name="Гиперссылка 2_Книга1" xfId="735"/>
    <cellStyle name="Гиперссылка 3" xfId="1241"/>
    <cellStyle name="Гиперссылка 3 2" xfId="1242"/>
    <cellStyle name="Гиперссылка 4" xfId="1243"/>
    <cellStyle name="Группа" xfId="1244"/>
    <cellStyle name="Группа 0" xfId="1245"/>
    <cellStyle name="Группа 1" xfId="1246"/>
    <cellStyle name="Группа 2" xfId="1247"/>
    <cellStyle name="Группа 2 2" xfId="1248"/>
    <cellStyle name="Группа 3" xfId="1249"/>
    <cellStyle name="Группа 4" xfId="1250"/>
    <cellStyle name="Группа 5" xfId="1251"/>
    <cellStyle name="Группа 6" xfId="1252"/>
    <cellStyle name="Группа_Бюллетень декабрь 2003 2" xfId="1253"/>
    <cellStyle name="Дата" xfId="1254"/>
    <cellStyle name="Дата 2" xfId="1255"/>
    <cellStyle name="Дата 3" xfId="1256"/>
    <cellStyle name="Денежный 2" xfId="736"/>
    <cellStyle name="Заголовок" xfId="1257"/>
    <cellStyle name="Заголовок 1 2" xfId="1258"/>
    <cellStyle name="Заголовок 1 2 2" xfId="1259"/>
    <cellStyle name="Заголовок 2 2" xfId="1260"/>
    <cellStyle name="Заголовок 2 2 2" xfId="1261"/>
    <cellStyle name="Заголовок 3 2" xfId="1262"/>
    <cellStyle name="Заголовок 3 2 2" xfId="1263"/>
    <cellStyle name="Заголовок 4 2" xfId="1264"/>
    <cellStyle name="Заголовок 4 2 2" xfId="1265"/>
    <cellStyle name="Защитный" xfId="1266"/>
    <cellStyle name="Звезды" xfId="1267"/>
    <cellStyle name="Звезды 2" xfId="1268"/>
    <cellStyle name="Звезды 3" xfId="1269"/>
    <cellStyle name="Итог 2" xfId="1270"/>
    <cellStyle name="Итог 2 2" xfId="1271"/>
    <cellStyle name="Итог 3" xfId="1272"/>
    <cellStyle name="Итого" xfId="1273"/>
    <cellStyle name="КАНДАГАЧ тел3-33-96" xfId="1274"/>
    <cellStyle name="КАНДАГАЧ тел3-33-96 2" xfId="1275"/>
    <cellStyle name="КАНДАГАЧ тел3-33-96_Пакет отчетности_09-02-2012" xfId="1276"/>
    <cellStyle name="Контрольная ячейка 2" xfId="1277"/>
    <cellStyle name="Контрольная ячейка 2 2" xfId="1278"/>
    <cellStyle name="Название 2" xfId="1279"/>
    <cellStyle name="Название 2 2" xfId="1280"/>
    <cellStyle name="Название 3" xfId="1281"/>
    <cellStyle name="Невидимый" xfId="1282"/>
    <cellStyle name="Невидимый 2" xfId="1283"/>
    <cellStyle name="Невидимый 3" xfId="1284"/>
    <cellStyle name="Нейтральный 2" xfId="1285"/>
    <cellStyle name="Нейтральный 2 2" xfId="1286"/>
    <cellStyle name="Низ1" xfId="1287"/>
    <cellStyle name="Низ2" xfId="1288"/>
    <cellStyle name="Обычный" xfId="0" builtinId="0"/>
    <cellStyle name="Обычный 10" xfId="737"/>
    <cellStyle name="Обычный 10 2" xfId="1289"/>
    <cellStyle name="Обычный 11" xfId="738"/>
    <cellStyle name="Обычный 11 2" xfId="1290"/>
    <cellStyle name="Обычный 12" xfId="739"/>
    <cellStyle name="Обычный 12 2" xfId="1291"/>
    <cellStyle name="Обычный 13" xfId="740"/>
    <cellStyle name="Обычный 13 2" xfId="1292"/>
    <cellStyle name="Обычный 14" xfId="741"/>
    <cellStyle name="Обычный 14 2" xfId="742"/>
    <cellStyle name="Обычный 15" xfId="743"/>
    <cellStyle name="Обычный 15 2" xfId="1293"/>
    <cellStyle name="Обычный 16" xfId="744"/>
    <cellStyle name="Обычный 16 2" xfId="1294"/>
    <cellStyle name="Обычный 17" xfId="745"/>
    <cellStyle name="Обычный 18" xfId="746"/>
    <cellStyle name="Обычный 19" xfId="795"/>
    <cellStyle name="Обычный 2" xfId="747"/>
    <cellStyle name="Обычный 2 10" xfId="1295"/>
    <cellStyle name="Обычный 2 10 2" xfId="1296"/>
    <cellStyle name="Обычный 2 11" xfId="1297"/>
    <cellStyle name="Обычный 2 11 2" xfId="1298"/>
    <cellStyle name="Обычный 2 12" xfId="1299"/>
    <cellStyle name="Обычный 2 12 2" xfId="1300"/>
    <cellStyle name="Обычный 2 13" xfId="1301"/>
    <cellStyle name="Обычный 2 13 2" xfId="1302"/>
    <cellStyle name="Обычный 2 14" xfId="1303"/>
    <cellStyle name="Обычный 2 15" xfId="1304"/>
    <cellStyle name="Обычный 2 2" xfId="748"/>
    <cellStyle name="Обычный 2 2 2" xfId="1305"/>
    <cellStyle name="Обычный 2 3" xfId="749"/>
    <cellStyle name="Обычный 2 3 2" xfId="1306"/>
    <cellStyle name="Обычный 2 4" xfId="750"/>
    <cellStyle name="Обычный 2 4 2" xfId="1307"/>
    <cellStyle name="Обычный 2 5" xfId="751"/>
    <cellStyle name="Обычный 2 5 2" xfId="1308"/>
    <cellStyle name="Обычный 2 6" xfId="1309"/>
    <cellStyle name="Обычный 2 6 2" xfId="1310"/>
    <cellStyle name="Обычный 2 7" xfId="1311"/>
    <cellStyle name="Обычный 2 7 2" xfId="1312"/>
    <cellStyle name="Обычный 2 8" xfId="1313"/>
    <cellStyle name="Обычный 2 8 2" xfId="1314"/>
    <cellStyle name="Обычный 2 9" xfId="1315"/>
    <cellStyle name="Обычный 2 9 2" xfId="1316"/>
    <cellStyle name="Обычный 2_9Имущество Хендай" xfId="752"/>
    <cellStyle name="Обычный 20" xfId="1317"/>
    <cellStyle name="Обычный 21" xfId="1318"/>
    <cellStyle name="Обычный 22" xfId="1319"/>
    <cellStyle name="Обычный 23" xfId="1320"/>
    <cellStyle name="Обычный 24" xfId="1413"/>
    <cellStyle name="Обычный 3" xfId="753"/>
    <cellStyle name="Обычный 3 2" xfId="754"/>
    <cellStyle name="Обычный 3 3" xfId="1321"/>
    <cellStyle name="Обычный 3_100.00.030 VII" xfId="755"/>
    <cellStyle name="Обычный 4" xfId="756"/>
    <cellStyle name="Обычный 4 2" xfId="757"/>
    <cellStyle name="Обычный 4 2 2" xfId="1322"/>
    <cellStyle name="Обычный 4 3" xfId="1323"/>
    <cellStyle name="Обычный 4_9Имущество Хендай" xfId="758"/>
    <cellStyle name="Обычный 5" xfId="759"/>
    <cellStyle name="Обычный 5 2" xfId="760"/>
    <cellStyle name="Обычный 5 2 2" xfId="1324"/>
    <cellStyle name="Обычный 5 3" xfId="1325"/>
    <cellStyle name="Обычный 5_Прил. отлож. КПН" xfId="761"/>
    <cellStyle name="Обычный 6" xfId="762"/>
    <cellStyle name="Обычный 6 2" xfId="1326"/>
    <cellStyle name="Обычный 7" xfId="763"/>
    <cellStyle name="Обычный 7 2" xfId="1327"/>
    <cellStyle name="Обычный 7 3" xfId="1328"/>
    <cellStyle name="Обычный 8" xfId="764"/>
    <cellStyle name="Обычный 8 2" xfId="1329"/>
    <cellStyle name="Обычный 9" xfId="765"/>
    <cellStyle name="Обычный 9 2" xfId="1330"/>
    <cellStyle name="Обычный_Ведомость испр. пр., фин, отчетность" xfId="766"/>
    <cellStyle name="Обычный_Годовая Декларация о СГД" xfId="767"/>
    <cellStyle name="Обычный_Годовая Декларация о СГД 2" xfId="768"/>
    <cellStyle name="Обычный_Лист1" xfId="769"/>
    <cellStyle name="Обычный_Лист1 2" xfId="770"/>
    <cellStyle name="Обычный_Лист1 2 2" xfId="771"/>
    <cellStyle name="Обычный_Лист1_ФО по МСФО КМД (прямой)" xfId="772"/>
    <cellStyle name="Обычный_Отчет об изменении в собственном капитале" xfId="773"/>
    <cellStyle name="Обычный_Приложения" xfId="774"/>
    <cellStyle name="Обычный_Трансформация" xfId="775"/>
    <cellStyle name="Обычный_Трансформация 3" xfId="776"/>
    <cellStyle name="Обычный_Финотчётность 2003 г." xfId="777"/>
    <cellStyle name="Обычный_ФО по МСФО КМД (прямой) 2" xfId="778"/>
    <cellStyle name="Обычный_ФО по МСФО УКАЗ (косв.)" xfId="779"/>
    <cellStyle name="Обычный_ФО УКГЭС 2007 МСФО 2" xfId="780"/>
    <cellStyle name="Плохой 2" xfId="1331"/>
    <cellStyle name="Плохой 2 2" xfId="1332"/>
    <cellStyle name="Подгруппа" xfId="1333"/>
    <cellStyle name="Пояснение 2" xfId="1334"/>
    <cellStyle name="Пояснение 2 2" xfId="1335"/>
    <cellStyle name="Примечание 2" xfId="1336"/>
    <cellStyle name="Примечание 2 2" xfId="1337"/>
    <cellStyle name="Примечание 3" xfId="1338"/>
    <cellStyle name="Продукт" xfId="1339"/>
    <cellStyle name="Процентный 2" xfId="781"/>
    <cellStyle name="Процентный 2 10" xfId="1340"/>
    <cellStyle name="Процентный 2 11" xfId="1341"/>
    <cellStyle name="Процентный 2 12" xfId="1342"/>
    <cellStyle name="Процентный 2 13" xfId="1343"/>
    <cellStyle name="Процентный 2 2" xfId="1344"/>
    <cellStyle name="Процентный 2 2 2" xfId="1345"/>
    <cellStyle name="Процентный 2 3" xfId="1346"/>
    <cellStyle name="Процентный 2 4" xfId="1347"/>
    <cellStyle name="Процентный 2 5" xfId="1348"/>
    <cellStyle name="Процентный 2 6" xfId="1349"/>
    <cellStyle name="Процентный 2 7" xfId="1350"/>
    <cellStyle name="Процентный 2 8" xfId="1351"/>
    <cellStyle name="Процентный 2 9" xfId="1352"/>
    <cellStyle name="Процентный 3" xfId="782"/>
    <cellStyle name="Процентный 3 2" xfId="1353"/>
    <cellStyle name="Процентный 4" xfId="783"/>
    <cellStyle name="Процентный 5" xfId="1354"/>
    <cellStyle name="Процентный 6" xfId="1355"/>
    <cellStyle name="Разница" xfId="1356"/>
    <cellStyle name="руб. (0)" xfId="1357"/>
    <cellStyle name="руб. (0) 2" xfId="1358"/>
    <cellStyle name="руб. (0) 3" xfId="1359"/>
    <cellStyle name="Связанная ячейка 2" xfId="1360"/>
    <cellStyle name="Связанная ячейка 2 2" xfId="1361"/>
    <cellStyle name="Стиль 1" xfId="1362"/>
    <cellStyle name="Стиль 1 2" xfId="1363"/>
    <cellStyle name="Стиль 1 3" xfId="1364"/>
    <cellStyle name="Стиль 2" xfId="1365"/>
    <cellStyle name="Стиль 2 2" xfId="1366"/>
    <cellStyle name="Стиль 3" xfId="1367"/>
    <cellStyle name="Стиль 3 2" xfId="1368"/>
    <cellStyle name="Стиль_названий" xfId="1369"/>
    <cellStyle name="Субсчет" xfId="1370"/>
    <cellStyle name="Счет" xfId="1371"/>
    <cellStyle name="Текст предупреждения 2" xfId="1372"/>
    <cellStyle name="Текст предупреждения 2 2" xfId="1373"/>
    <cellStyle name="тонн (0)" xfId="1374"/>
    <cellStyle name="Тыс $ (0)" xfId="1375"/>
    <cellStyle name="Тыс (0)" xfId="1376"/>
    <cellStyle name="тыс. тонн (0)" xfId="1377"/>
    <cellStyle name="Тысячи [0]" xfId="1378"/>
    <cellStyle name="Тысячи [0] 2" xfId="1379"/>
    <cellStyle name="Тысячи [0]_Inv_GI (2)" xfId="784"/>
    <cellStyle name="Тысячи_010SN05" xfId="1380"/>
    <cellStyle name="Финансовый" xfId="1414" builtinId="3"/>
    <cellStyle name="Финансовый 2" xfId="785"/>
    <cellStyle name="Финансовый 2 10" xfId="1381"/>
    <cellStyle name="Финансовый 2 11" xfId="1382"/>
    <cellStyle name="Финансовый 2 12" xfId="1383"/>
    <cellStyle name="Финансовый 2 13" xfId="1384"/>
    <cellStyle name="Финансовый 2 14" xfId="1385"/>
    <cellStyle name="Финансовый 2 2" xfId="1386"/>
    <cellStyle name="Финансовый 2 2 2" xfId="1387"/>
    <cellStyle name="Финансовый 2 3" xfId="1388"/>
    <cellStyle name="Финансовый 2 4" xfId="1389"/>
    <cellStyle name="Финансовый 2 5" xfId="1390"/>
    <cellStyle name="Финансовый 2 6" xfId="1391"/>
    <cellStyle name="Финансовый 2 7" xfId="1392"/>
    <cellStyle name="Финансовый 2 8" xfId="1393"/>
    <cellStyle name="Финансовый 2 9" xfId="1394"/>
    <cellStyle name="Финансовый 3" xfId="786"/>
    <cellStyle name="Финансовый 3 2" xfId="1395"/>
    <cellStyle name="Финансовый 3 3" xfId="1396"/>
    <cellStyle name="Финансовый 37" xfId="1397"/>
    <cellStyle name="Финансовый 37 2" xfId="1398"/>
    <cellStyle name="Финансовый 4" xfId="787"/>
    <cellStyle name="Финансовый 4 2" xfId="1399"/>
    <cellStyle name="Финансовый 4 3" xfId="1400"/>
    <cellStyle name="Финансовый 5" xfId="788"/>
    <cellStyle name="Финансовый 5 2" xfId="1401"/>
    <cellStyle name="Финансовый 6" xfId="789"/>
    <cellStyle name="Финансовый 6 2" xfId="1402"/>
    <cellStyle name="Финансовый 7" xfId="790"/>
    <cellStyle name="Финансовый 8" xfId="791"/>
    <cellStyle name="Финансовый 8 2" xfId="792"/>
    <cellStyle name="Финансовый 9" xfId="793"/>
    <cellStyle name="Финансовый 9 2" xfId="794"/>
    <cellStyle name="Хороший 2" xfId="1403"/>
    <cellStyle name="Хороший 2 2" xfId="1404"/>
    <cellStyle name="Цена" xfId="1405"/>
    <cellStyle name="Цена 2" xfId="1406"/>
    <cellStyle name="Цена 3" xfId="1407"/>
    <cellStyle name="Џђћ–…ќ’ќ›‰" xfId="1408"/>
    <cellStyle name="Џђћ–…ќ’ќ›‰ 2" xfId="1409"/>
    <cellStyle name="Џђћ–…ќ’ќ›‰ 3" xfId="1410"/>
    <cellStyle name="Шапка" xfId="1411"/>
    <cellStyle name="ШАУ" xfId="1412"/>
  </cellStyles>
  <dxfs count="68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72;&#1082;&#1077;&#1090;_&#1086;&#1090;&#1095;&#1077;&#1090;&#1085;&#1086;&#1089;&#1090;&#1080;V001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%20&#1075;&#1086;&#1076;/&#1057;&#1069;/&#1060;&#1054;%204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1.%20&#1050;&#1060;&#1054;/422/&#1057;&#1069;_&#1050;&#1060;&#1054;_2014&#1043;_&#1092;&#1086;&#1088;&#1084;&#1072;_4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102;&#1085;&#1100;%202015/&#1050;&#1060;&#1054;/&#1055;&#1072;&#1082;&#1077;&#1090;_&#1086;&#1090;&#1095;&#1077;&#1090;&#1085;&#1086;&#1089;&#1090;&#1080;%20&#1076;&#1083;&#1103;%20&#1088;&#1072;&#1089;&#1087;&#1077;&#1095;&#1072;&#1090;&#1082;&#1080;/&#1055;&#1072;&#1082;&#1077;&#1090;_&#1086;&#1090;&#1095;&#1077;&#1090;&#1085;&#1086;&#1089;&#1090;&#1080;%20&#1076;&#1083;&#1103;%20&#1088;&#1072;&#1089;&#1087;&#1077;&#1095;&#1072;&#1090;&#1082;&#1080;_1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FINANCE\Ministry\&#1055;&#1088;&#1086;&#1074;&#1077;&#1088;&#1082;&#1072;%20&#1086;&#1082;&#1090;%202002\Collections%20analysis%2020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\&#1043;&#1088;&#1072;&#1092;&#108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&#1076;&#1077;&#1083;&#1072;_&#1092;&#1080;&#1088;&#1084;&#1099;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d\D\2006%20&#1075;\&#1044;&#1077;&#1083;&#1072;%20&#1082;&#1086;&#1084;&#1087;&#1072;&#1085;&#1080;&#1080;\AES\&#1048;&#1055;&#1051;\&#1044;&#1086;&#1075;.%20&#8470;%204%20,%20&#1074;&#1086;&#1089;&#1089;&#1090;&#1072;&#1085;&#1086;&#1074;&#1083;&#1077;&#1085;&#1080;&#1077;\&#1042;&#1080;&#1090;&#1072;&#1083;&#1080;&#1081;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20\d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40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d\D\2006%20&#1075;\&#1044;&#1077;&#1083;&#1072;%20&#1082;&#1086;&#1084;&#1087;&#1072;&#1085;&#1080;&#1080;\AES\&#1048;&#1055;&#1051;\&#1044;&#1086;&#1075;.%20&#8470;%204%20,%20&#1074;&#1086;&#1089;&#1089;&#1090;&#1072;&#1085;&#1086;&#1074;&#1083;&#1077;&#1085;&#1080;&#1077;\&#1041;&#1072;&#1079;&#1072;\&#1076;&#1077;&#1083;&#1072;_&#1092;&#1080;&#1088;&#1084;&#1099;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Status"/>
      <sheetName val="Ф1"/>
      <sheetName val="Ф2"/>
      <sheetName val="Ф3"/>
      <sheetName val="Ф4"/>
      <sheetName val="1"/>
      <sheetName val="3"/>
      <sheetName val="4"/>
      <sheetName val="5"/>
      <sheetName val="6"/>
      <sheetName val="7"/>
      <sheetName val="8"/>
      <sheetName val="9"/>
      <sheetName val="10"/>
      <sheetName val="10_1"/>
      <sheetName val="11"/>
      <sheetName val="12"/>
      <sheetName val="12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7"/>
      <sheetName val="50"/>
      <sheetName val="55"/>
      <sheetName val="58"/>
      <sheetName val="Взаимозачет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CGE001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Таблица 1</v>
          </cell>
        </row>
        <row r="26">
          <cell r="L26">
            <v>26</v>
          </cell>
        </row>
        <row r="56">
          <cell r="L56">
            <v>56</v>
          </cell>
        </row>
        <row r="75">
          <cell r="L75">
            <v>75</v>
          </cell>
        </row>
        <row r="113">
          <cell r="B113" t="str">
            <v>Таблица 2</v>
          </cell>
        </row>
        <row r="167">
          <cell r="B167" t="str">
            <v>Таблица 3</v>
          </cell>
        </row>
      </sheetData>
      <sheetData sheetId="21"/>
      <sheetData sheetId="22"/>
      <sheetData sheetId="23"/>
      <sheetData sheetId="24">
        <row r="1">
          <cell r="B1" t="str">
            <v>Таблица 1</v>
          </cell>
        </row>
        <row r="28">
          <cell r="L28">
            <v>30</v>
          </cell>
        </row>
        <row r="75">
          <cell r="L75">
            <v>79</v>
          </cell>
        </row>
        <row r="116">
          <cell r="B116" t="str">
            <v>Таблица 2</v>
          </cell>
        </row>
        <row r="140">
          <cell r="L140">
            <v>141</v>
          </cell>
        </row>
        <row r="171">
          <cell r="L171">
            <v>172</v>
          </cell>
        </row>
        <row r="182">
          <cell r="L182">
            <v>185</v>
          </cell>
        </row>
        <row r="214">
          <cell r="B214" t="str">
            <v>Таблица 3</v>
          </cell>
        </row>
        <row r="261">
          <cell r="B261" t="str">
            <v>Таблица 4</v>
          </cell>
        </row>
        <row r="285">
          <cell r="B285" t="str">
            <v>Таблица 5</v>
          </cell>
        </row>
      </sheetData>
      <sheetData sheetId="25"/>
      <sheetData sheetId="26"/>
      <sheetData sheetId="27"/>
      <sheetData sheetId="28"/>
      <sheetData sheetId="29">
        <row r="168">
          <cell r="M168">
            <v>168</v>
          </cell>
        </row>
      </sheetData>
      <sheetData sheetId="30"/>
      <sheetData sheetId="31"/>
      <sheetData sheetId="32">
        <row r="1">
          <cell r="B1" t="str">
            <v>Таблица 1</v>
          </cell>
        </row>
        <row r="28">
          <cell r="K28">
            <v>30</v>
          </cell>
        </row>
        <row r="59">
          <cell r="K59">
            <v>61</v>
          </cell>
        </row>
        <row r="81">
          <cell r="B81" t="str">
            <v>Таблица 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ИК"/>
      <sheetName val="ОДД (прямой метод)"/>
      <sheetName val="ОДД (косвен.метод)"/>
    </sheetNames>
    <sheetDataSet>
      <sheetData sheetId="0"/>
      <sheetData sheetId="1">
        <row r="8">
          <cell r="B8" t="str">
            <v>Акционерное общество "Самрук-Энерго"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ИК"/>
      <sheetName val="ОДД (косвен.метод)"/>
      <sheetName val="ОДД (прямой метод)"/>
      <sheetName val="Лист1"/>
    </sheetNames>
    <sheetDataSet>
      <sheetData sheetId="0"/>
      <sheetData sheetId="1">
        <row r="58">
          <cell r="C58" t="str">
            <v>Максутов К.Б.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LCK##"/>
      <sheetName val="EV_##PARKEDPROPS##"/>
      <sheetName val="Status"/>
      <sheetName val="Ф1"/>
      <sheetName val="Ф2"/>
      <sheetName val="Ф3"/>
      <sheetName val="Ф4"/>
      <sheetName val="1"/>
      <sheetName val="3"/>
      <sheetName val="4"/>
      <sheetName val="5"/>
      <sheetName val="6"/>
      <sheetName val="7"/>
      <sheetName val="8"/>
      <sheetName val="9"/>
      <sheetName val="10"/>
      <sheetName val="10_1"/>
      <sheetName val="11"/>
      <sheetName val="12"/>
      <sheetName val="12(1)"/>
      <sheetName val="13"/>
      <sheetName val="14"/>
      <sheetName val="15"/>
      <sheetName val="16"/>
      <sheetName val="17"/>
      <sheetName val="18"/>
      <sheetName val="18 (1)"/>
      <sheetName val="19"/>
      <sheetName val="21"/>
      <sheetName val="20"/>
      <sheetName val="22"/>
      <sheetName val="23"/>
      <sheetName val="24"/>
      <sheetName val="25"/>
      <sheetName val="26"/>
      <sheetName val="27"/>
      <sheetName val="28 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7"/>
      <sheetName val="50"/>
      <sheetName val="55"/>
      <sheetName val="58"/>
      <sheetName val="Взаимоза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66">
          <cell r="M166" t="str">
            <v>167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"/>
      <sheetName val="ИТОГО Динамика"/>
      <sheetName val="Groups of customers"/>
      <sheetName val="2001"/>
      <sheetName val="Y 2000"/>
      <sheetName val="Y 1999"/>
      <sheetName val="Город"/>
      <sheetName val="Бескарагай"/>
      <sheetName val="Бородулихa"/>
      <sheetName val="Н.Шульбa"/>
      <sheetName val="Пригород"/>
      <sheetName val="Чарск"/>
      <sheetName val="Жармa"/>
      <sheetName val="Кокпекты"/>
      <sheetName val="Прииртышский"/>
      <sheetName val="Абай"/>
      <sheetName val="10.Аягуз"/>
      <sheetName val="Аягуз"/>
      <sheetName val="Урджар"/>
      <sheetName val="Маканчи"/>
      <sheetName val="Аксуат"/>
      <sheetName val="091.Абралинский"/>
    </sheetNames>
    <sheetDataSet>
      <sheetData sheetId="0"/>
      <sheetData sheetId="1" refreshError="1">
        <row r="64">
          <cell r="B64">
            <v>2.82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омн.треб общие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мн_треб общие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Сомн_треб общ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мн_треб общие"/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мн_треб общи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820085.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0820085.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0820085.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30820085.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l:30820085.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l:30820085.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31" zoomScaleNormal="100" workbookViewId="0">
      <selection activeCell="C51" sqref="C51"/>
    </sheetView>
  </sheetViews>
  <sheetFormatPr defaultColWidth="8.85546875" defaultRowHeight="15"/>
  <cols>
    <col min="1" max="1" width="56.42578125" style="1" customWidth="1"/>
    <col min="2" max="2" width="7.140625" style="1" customWidth="1"/>
    <col min="3" max="4" width="29" style="99" customWidth="1"/>
    <col min="5" max="5" width="12.5703125" style="1" bestFit="1" customWidth="1"/>
    <col min="6" max="6" width="12.85546875" style="1" bestFit="1" customWidth="1"/>
    <col min="7" max="7" width="8.85546875" style="1"/>
    <col min="8" max="8" width="13.42578125" style="1" bestFit="1" customWidth="1"/>
    <col min="9" max="16384" width="8.85546875" style="1"/>
  </cols>
  <sheetData>
    <row r="1" spans="1:8">
      <c r="D1" s="164" t="s">
        <v>318</v>
      </c>
    </row>
    <row r="2" spans="1:8">
      <c r="D2" s="165" t="s">
        <v>315</v>
      </c>
    </row>
    <row r="3" spans="1:8">
      <c r="D3" s="164" t="s">
        <v>316</v>
      </c>
    </row>
    <row r="4" spans="1:8" s="2" customFormat="1">
      <c r="C4" s="56"/>
      <c r="D4" s="164" t="s">
        <v>1291</v>
      </c>
      <c r="E4" s="623"/>
      <c r="F4" s="623"/>
    </row>
    <row r="5" spans="1:8">
      <c r="A5" s="529" t="s">
        <v>370</v>
      </c>
      <c r="B5" s="529"/>
      <c r="C5" s="529"/>
    </row>
    <row r="6" spans="1:8">
      <c r="A6" s="530" t="s">
        <v>1290</v>
      </c>
      <c r="B6" s="530"/>
      <c r="C6" s="530"/>
    </row>
    <row r="8" spans="1:8">
      <c r="A8" s="1" t="s">
        <v>0</v>
      </c>
      <c r="B8" s="4" t="str">
        <f>ББ!B8</f>
        <v>Акционерное общество "Самрук-Энерго"</v>
      </c>
      <c r="C8" s="95"/>
      <c r="D8" s="95"/>
      <c r="F8" s="510"/>
    </row>
    <row r="9" spans="1:8">
      <c r="D9" s="108" t="s">
        <v>189</v>
      </c>
    </row>
    <row r="10" spans="1:8" ht="30">
      <c r="A10" s="5" t="s">
        <v>50</v>
      </c>
      <c r="B10" s="6" t="s">
        <v>116</v>
      </c>
      <c r="C10" s="7" t="s">
        <v>51</v>
      </c>
      <c r="D10" s="7" t="s">
        <v>52</v>
      </c>
    </row>
    <row r="11" spans="1:8">
      <c r="A11" s="8" t="s">
        <v>312</v>
      </c>
      <c r="B11" s="38" t="s">
        <v>9</v>
      </c>
      <c r="C11" s="514">
        <v>192107267</v>
      </c>
      <c r="D11" s="514">
        <v>157254689</v>
      </c>
    </row>
    <row r="12" spans="1:8">
      <c r="A12" s="8" t="s">
        <v>275</v>
      </c>
      <c r="B12" s="38" t="s">
        <v>10</v>
      </c>
      <c r="C12" s="514">
        <v>-134347609</v>
      </c>
      <c r="D12" s="514">
        <v>-114145977</v>
      </c>
    </row>
    <row r="13" spans="1:8">
      <c r="A13" s="126" t="s">
        <v>276</v>
      </c>
      <c r="B13" s="127" t="s">
        <v>11</v>
      </c>
      <c r="C13" s="526">
        <f>C11+C12</f>
        <v>57759658</v>
      </c>
      <c r="D13" s="526">
        <f>D11+D12</f>
        <v>43108712</v>
      </c>
    </row>
    <row r="14" spans="1:8">
      <c r="A14" s="8" t="s">
        <v>53</v>
      </c>
      <c r="B14" s="38" t="s">
        <v>13</v>
      </c>
      <c r="C14" s="154">
        <v>-11392790</v>
      </c>
      <c r="D14" s="514">
        <v>-10759605</v>
      </c>
    </row>
    <row r="15" spans="1:8">
      <c r="A15" s="8" t="s">
        <v>54</v>
      </c>
      <c r="B15" s="38" t="s">
        <v>14</v>
      </c>
      <c r="C15" s="514">
        <v>-9638494</v>
      </c>
      <c r="D15" s="514">
        <v>-10102898</v>
      </c>
    </row>
    <row r="16" spans="1:8">
      <c r="A16" s="8" t="s">
        <v>277</v>
      </c>
      <c r="B16" s="38" t="s">
        <v>15</v>
      </c>
      <c r="C16" s="514">
        <v>0</v>
      </c>
      <c r="D16" s="514">
        <v>-15441</v>
      </c>
      <c r="H16" s="505"/>
    </row>
    <row r="17" spans="1:8">
      <c r="A17" s="8" t="s">
        <v>278</v>
      </c>
      <c r="B17" s="38" t="s">
        <v>17</v>
      </c>
      <c r="C17" s="514">
        <v>114582</v>
      </c>
      <c r="D17" s="514"/>
      <c r="H17" s="506"/>
    </row>
    <row r="18" spans="1:8" ht="30">
      <c r="A18" s="8" t="s">
        <v>279</v>
      </c>
      <c r="B18" s="38" t="s">
        <v>19</v>
      </c>
      <c r="C18" s="526">
        <f>SUM(C13:C17)</f>
        <v>36842956</v>
      </c>
      <c r="D18" s="526">
        <f>SUM(D13:D17)</f>
        <v>22230768</v>
      </c>
      <c r="H18" s="506"/>
    </row>
    <row r="19" spans="1:8">
      <c r="A19" s="8" t="s">
        <v>280</v>
      </c>
      <c r="B19" s="38" t="s">
        <v>20</v>
      </c>
      <c r="C19" s="514">
        <v>1674540</v>
      </c>
      <c r="D19" s="514">
        <v>1975420</v>
      </c>
      <c r="G19" s="511"/>
      <c r="H19" s="506"/>
    </row>
    <row r="20" spans="1:8">
      <c r="A20" s="8" t="s">
        <v>281</v>
      </c>
      <c r="B20" s="38" t="s">
        <v>21</v>
      </c>
      <c r="C20" s="514">
        <v>-30206325</v>
      </c>
      <c r="D20" s="514">
        <v>-22076305</v>
      </c>
      <c r="H20" s="505"/>
    </row>
    <row r="21" spans="1:8" s="9" customFormat="1" ht="45">
      <c r="A21" s="8" t="s">
        <v>282</v>
      </c>
      <c r="B21" s="38" t="s">
        <v>22</v>
      </c>
      <c r="C21" s="154">
        <v>7685848</v>
      </c>
      <c r="D21" s="154">
        <v>-2059269</v>
      </c>
      <c r="H21" s="507"/>
    </row>
    <row r="22" spans="1:8">
      <c r="A22" s="8" t="s">
        <v>283</v>
      </c>
      <c r="B22" s="38" t="s">
        <v>24</v>
      </c>
      <c r="C22" s="514">
        <v>1004018</v>
      </c>
      <c r="D22" s="514">
        <v>1104021</v>
      </c>
    </row>
    <row r="23" spans="1:8">
      <c r="A23" s="8" t="s">
        <v>284</v>
      </c>
      <c r="B23" s="38" t="s">
        <v>26</v>
      </c>
      <c r="C23" s="514"/>
      <c r="D23" s="514"/>
    </row>
    <row r="24" spans="1:8" ht="30">
      <c r="A24" s="8" t="s">
        <v>285</v>
      </c>
      <c r="B24" s="43">
        <v>100</v>
      </c>
      <c r="C24" s="514">
        <f>SUM(C18:C23)</f>
        <v>17001037</v>
      </c>
      <c r="D24" s="514">
        <f>SUM(D18:D23)</f>
        <v>1174635</v>
      </c>
      <c r="F24" s="508"/>
    </row>
    <row r="25" spans="1:8">
      <c r="A25" s="8" t="s">
        <v>286</v>
      </c>
      <c r="B25" s="43">
        <v>101</v>
      </c>
      <c r="C25" s="519">
        <v>-6648283</v>
      </c>
      <c r="D25" s="514">
        <v>-3032699</v>
      </c>
    </row>
    <row r="26" spans="1:8" ht="30">
      <c r="A26" s="8" t="s">
        <v>287</v>
      </c>
      <c r="B26" s="43">
        <v>200</v>
      </c>
      <c r="C26" s="526">
        <f>C24+C25</f>
        <v>10352754</v>
      </c>
      <c r="D26" s="526">
        <f>D24+D25</f>
        <v>-1858064</v>
      </c>
    </row>
    <row r="27" spans="1:8" s="10" customFormat="1" ht="30">
      <c r="A27" s="8" t="s">
        <v>288</v>
      </c>
      <c r="B27" s="43">
        <v>201</v>
      </c>
      <c r="C27" s="514">
        <v>-132932</v>
      </c>
      <c r="D27" s="514">
        <v>3625583</v>
      </c>
    </row>
    <row r="28" spans="1:8">
      <c r="A28" s="8" t="s">
        <v>289</v>
      </c>
      <c r="B28" s="43">
        <v>300</v>
      </c>
      <c r="C28" s="526">
        <f>C26+C27</f>
        <v>10219822</v>
      </c>
      <c r="D28" s="526">
        <f>D26+D27</f>
        <v>1767519</v>
      </c>
      <c r="E28" s="502"/>
      <c r="F28" s="503"/>
    </row>
    <row r="29" spans="1:8">
      <c r="A29" s="8" t="s">
        <v>290</v>
      </c>
      <c r="B29" s="43"/>
      <c r="C29" s="514">
        <v>10044714</v>
      </c>
      <c r="D29" s="528">
        <v>1311524</v>
      </c>
    </row>
    <row r="30" spans="1:8">
      <c r="A30" s="8" t="s">
        <v>291</v>
      </c>
      <c r="B30" s="43"/>
      <c r="C30" s="514">
        <v>175108</v>
      </c>
      <c r="D30" s="528">
        <v>455995</v>
      </c>
    </row>
    <row r="31" spans="1:8" ht="30">
      <c r="A31" s="8" t="s">
        <v>292</v>
      </c>
      <c r="B31" s="43">
        <v>400</v>
      </c>
      <c r="C31" s="514">
        <v>-140390</v>
      </c>
      <c r="D31" s="514">
        <v>34241</v>
      </c>
    </row>
    <row r="32" spans="1:8">
      <c r="A32" s="8" t="s">
        <v>55</v>
      </c>
      <c r="B32" s="43"/>
      <c r="C32" s="514"/>
      <c r="D32" s="514"/>
    </row>
    <row r="33" spans="1:5">
      <c r="A33" s="8" t="s">
        <v>293</v>
      </c>
      <c r="B33" s="43">
        <v>410</v>
      </c>
      <c r="C33" s="514"/>
      <c r="D33" s="514"/>
    </row>
    <row r="34" spans="1:5" ht="30">
      <c r="A34" s="8" t="s">
        <v>294</v>
      </c>
      <c r="B34" s="43">
        <v>411</v>
      </c>
      <c r="C34" s="514"/>
      <c r="D34" s="514"/>
    </row>
    <row r="35" spans="1:5" ht="45">
      <c r="A35" s="8" t="s">
        <v>211</v>
      </c>
      <c r="B35" s="43">
        <v>412</v>
      </c>
      <c r="C35" s="514"/>
      <c r="D35" s="514"/>
    </row>
    <row r="36" spans="1:5" ht="30">
      <c r="A36" s="8" t="s">
        <v>212</v>
      </c>
      <c r="B36" s="43">
        <v>413</v>
      </c>
      <c r="C36" s="514">
        <f>C31</f>
        <v>-140390</v>
      </c>
      <c r="D36" s="514">
        <f>D31</f>
        <v>34241</v>
      </c>
    </row>
    <row r="37" spans="1:5" ht="30">
      <c r="A37" s="8" t="s">
        <v>213</v>
      </c>
      <c r="B37" s="43">
        <v>414</v>
      </c>
      <c r="C37" s="514"/>
      <c r="D37" s="514"/>
    </row>
    <row r="38" spans="1:5">
      <c r="A38" s="3" t="s">
        <v>295</v>
      </c>
      <c r="B38" s="43">
        <v>415</v>
      </c>
      <c r="C38" s="514"/>
      <c r="D38" s="514"/>
    </row>
    <row r="39" spans="1:5">
      <c r="A39" s="3" t="s">
        <v>215</v>
      </c>
      <c r="B39" s="43">
        <v>416</v>
      </c>
      <c r="C39" s="514"/>
      <c r="D39" s="514"/>
    </row>
    <row r="40" spans="1:5">
      <c r="A40" s="3" t="s">
        <v>216</v>
      </c>
      <c r="B40" s="43">
        <v>417</v>
      </c>
      <c r="C40" s="514"/>
      <c r="D40" s="514"/>
    </row>
    <row r="41" spans="1:5" ht="15.75">
      <c r="A41" s="37" t="s">
        <v>296</v>
      </c>
      <c r="B41" s="43">
        <v>418</v>
      </c>
      <c r="C41" s="514"/>
      <c r="D41" s="514"/>
    </row>
    <row r="42" spans="1:5" ht="31.5">
      <c r="A42" s="39" t="s">
        <v>297</v>
      </c>
      <c r="B42" s="43">
        <v>419</v>
      </c>
      <c r="C42" s="514"/>
      <c r="D42" s="514"/>
    </row>
    <row r="43" spans="1:5" ht="31.5">
      <c r="A43" s="39" t="s">
        <v>298</v>
      </c>
      <c r="B43" s="43">
        <v>420</v>
      </c>
      <c r="C43" s="514"/>
      <c r="D43" s="514"/>
    </row>
    <row r="44" spans="1:5" ht="15.75">
      <c r="A44" s="40" t="s">
        <v>299</v>
      </c>
      <c r="B44" s="43">
        <v>500</v>
      </c>
      <c r="C44" s="514">
        <f>C28+C31</f>
        <v>10079432</v>
      </c>
      <c r="D44" s="514">
        <f>D28+D31</f>
        <v>1801760</v>
      </c>
      <c r="E44" s="53"/>
    </row>
    <row r="45" spans="1:5" ht="15.75">
      <c r="A45" s="40" t="s">
        <v>56</v>
      </c>
      <c r="B45" s="43"/>
      <c r="C45" s="514"/>
      <c r="D45" s="514"/>
      <c r="E45" s="53"/>
    </row>
    <row r="46" spans="1:5" ht="15.75">
      <c r="A46" s="40" t="s">
        <v>290</v>
      </c>
      <c r="B46" s="43"/>
      <c r="C46" s="514">
        <f>C29+C36</f>
        <v>9904324</v>
      </c>
      <c r="D46" s="514">
        <f>D29+D36</f>
        <v>1345765</v>
      </c>
      <c r="E46" s="53"/>
    </row>
    <row r="47" spans="1:5">
      <c r="A47" s="3" t="s">
        <v>300</v>
      </c>
      <c r="B47" s="43"/>
      <c r="C47" s="514">
        <f>C30</f>
        <v>175108</v>
      </c>
      <c r="D47" s="514">
        <f>D30</f>
        <v>455995</v>
      </c>
      <c r="E47" s="53"/>
    </row>
    <row r="48" spans="1:5">
      <c r="A48" s="3" t="s">
        <v>301</v>
      </c>
      <c r="B48" s="43">
        <v>600</v>
      </c>
      <c r="C48" s="527"/>
      <c r="D48" s="527"/>
    </row>
    <row r="49" spans="1:7">
      <c r="A49" s="3" t="s">
        <v>55</v>
      </c>
      <c r="B49" s="3"/>
      <c r="C49" s="527"/>
      <c r="D49" s="527"/>
    </row>
    <row r="50" spans="1:7">
      <c r="A50" s="3" t="s">
        <v>302</v>
      </c>
      <c r="B50" s="3"/>
      <c r="C50" s="527"/>
      <c r="D50" s="527"/>
    </row>
    <row r="51" spans="1:7">
      <c r="A51" s="3" t="s">
        <v>303</v>
      </c>
      <c r="B51" s="3"/>
      <c r="C51" s="624">
        <f>C44/G51</f>
        <v>1.7993565152783437</v>
      </c>
      <c r="D51" s="624">
        <f>D44/G51</f>
        <v>0.32164596129701639</v>
      </c>
      <c r="G51" s="625">
        <v>5601687</v>
      </c>
    </row>
    <row r="52" spans="1:7">
      <c r="A52" s="3" t="s">
        <v>304</v>
      </c>
      <c r="B52" s="3"/>
      <c r="C52" s="624">
        <f>C27/G51</f>
        <v>-2.3730708266991713E-2</v>
      </c>
      <c r="D52" s="624">
        <f>D27/G51</f>
        <v>0.64723055750883618</v>
      </c>
    </row>
    <row r="53" spans="1:7">
      <c r="A53" s="3" t="s">
        <v>305</v>
      </c>
      <c r="B53" s="3"/>
      <c r="C53" s="527"/>
      <c r="D53" s="527"/>
    </row>
    <row r="54" spans="1:7">
      <c r="A54" s="3" t="s">
        <v>303</v>
      </c>
      <c r="B54" s="3"/>
      <c r="C54" s="527"/>
      <c r="D54" s="527"/>
    </row>
    <row r="55" spans="1:7">
      <c r="A55" s="3" t="s">
        <v>304</v>
      </c>
      <c r="B55" s="3"/>
      <c r="C55" s="527"/>
      <c r="D55" s="527"/>
    </row>
    <row r="56" spans="1:7">
      <c r="A56" s="41"/>
      <c r="B56" s="41"/>
      <c r="C56" s="106"/>
      <c r="D56" s="106"/>
    </row>
    <row r="57" spans="1:7">
      <c r="A57" s="41"/>
      <c r="B57" s="41"/>
      <c r="C57" s="106"/>
      <c r="D57" s="106"/>
    </row>
    <row r="58" spans="1:7">
      <c r="A58" s="170" t="str">
        <f>ББ!A80</f>
        <v>И.О. Управляющего директора по экономике и финансам</v>
      </c>
      <c r="C58" s="523" t="s">
        <v>1287</v>
      </c>
      <c r="D58" s="161"/>
    </row>
    <row r="59" spans="1:7">
      <c r="A59" s="162"/>
      <c r="C59" s="512" t="s">
        <v>371</v>
      </c>
      <c r="D59" s="171" t="s">
        <v>311</v>
      </c>
    </row>
    <row r="60" spans="1:7" ht="30">
      <c r="A60" s="170" t="str">
        <f>ББ!A82</f>
        <v xml:space="preserve">Директор Департамента "Бухгалтерский и налоговый учет" - главный бухгалтер </v>
      </c>
      <c r="C60" s="523" t="s">
        <v>372</v>
      </c>
      <c r="D60" s="161"/>
    </row>
    <row r="61" spans="1:7">
      <c r="A61" s="167"/>
      <c r="C61" s="512" t="s">
        <v>371</v>
      </c>
      <c r="D61" s="171" t="s">
        <v>311</v>
      </c>
    </row>
    <row r="62" spans="1:7">
      <c r="A62" s="42"/>
    </row>
  </sheetData>
  <mergeCells count="2">
    <mergeCell ref="A5:C5"/>
    <mergeCell ref="A6:C6"/>
  </mergeCells>
  <phoneticPr fontId="23" type="noConversion"/>
  <hyperlinks>
    <hyperlink ref="D2" r:id="rId1" display="jl:30820085.0 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2" orientation="portrait" horizontalDpi="4294967292" verticalDpi="300" r:id="rId2"/>
  <headerFooter alignWithMargins="0"/>
  <customProperties>
    <customPr name="EpmWorksheetKeyString_GUID" r:id="rId3"/>
  </customProperties>
  <ignoredErrors>
    <ignoredError sqref="B11:B21 B24 B27 B22 B23 B26:D26 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8"/>
  <sheetViews>
    <sheetView topLeftCell="R30" workbookViewId="0">
      <selection activeCell="V54" sqref="V54"/>
    </sheetView>
  </sheetViews>
  <sheetFormatPr defaultRowHeight="12.75" outlineLevelCol="1"/>
  <cols>
    <col min="1" max="1" width="55.7109375" style="311" hidden="1" customWidth="1" outlineLevel="1"/>
    <col min="2" max="2" width="73.140625" style="311" hidden="1" customWidth="1" outlineLevel="1"/>
    <col min="3" max="3" width="12.85546875" style="311" hidden="1" customWidth="1" outlineLevel="1"/>
    <col min="4" max="4" width="25.7109375" style="311" hidden="1" customWidth="1" outlineLevel="1"/>
    <col min="5" max="5" width="24" style="311" hidden="1" customWidth="1" outlineLevel="1"/>
    <col min="6" max="6" width="9.42578125" style="311" hidden="1" customWidth="1" outlineLevel="1"/>
    <col min="7" max="7" width="31.5703125" hidden="1" customWidth="1" outlineLevel="1"/>
    <col min="8" max="8" width="31.28515625" hidden="1" customWidth="1" outlineLevel="1"/>
    <col min="9" max="14" width="9.140625" hidden="1" customWidth="1" outlineLevel="1"/>
    <col min="15" max="15" width="21.7109375" hidden="1" customWidth="1" outlineLevel="1"/>
    <col min="16" max="16" width="10.7109375" hidden="1" customWidth="1" outlineLevel="1"/>
    <col min="17" max="17" width="15.85546875" hidden="1" customWidth="1" collapsed="1"/>
    <col min="18" max="18" width="69.28515625" style="310" customWidth="1"/>
    <col min="19" max="19" width="7.5703125" style="309" customWidth="1"/>
    <col min="20" max="22" width="21.7109375" style="310" customWidth="1"/>
    <col min="23" max="16384" width="9.140625" style="310"/>
  </cols>
  <sheetData>
    <row r="1" spans="1:22" ht="15">
      <c r="A1" s="303" t="e">
        <f>_xll.EVDRE($D$1,A4:B11,A15:F21)</f>
        <v>#VALUE!</v>
      </c>
      <c r="B1" s="304" t="s">
        <v>597</v>
      </c>
      <c r="C1" s="305" t="s">
        <v>598</v>
      </c>
      <c r="D1" s="306" t="s">
        <v>599</v>
      </c>
      <c r="E1" s="305" t="s">
        <v>600</v>
      </c>
      <c r="F1" s="307" t="e">
        <f ca="1">EV_CVW($D$1,E1)</f>
        <v>#NAME?</v>
      </c>
      <c r="R1" s="308" t="e">
        <f ca="1">EV_DES($D$4,$D$1)</f>
        <v>#NAME?</v>
      </c>
    </row>
    <row r="2" spans="1:22" ht="15">
      <c r="C2" s="305" t="s">
        <v>601</v>
      </c>
      <c r="D2" s="307" t="e">
        <f ca="1">EV_CVW($D$1,C2)</f>
        <v>#NAME?</v>
      </c>
      <c r="R2" s="308" t="e">
        <f ca="1">"Период, за который составляется отчетность (с нарастающим итогом):  "&amp;EV_DES($D$11,$D$1)</f>
        <v>#NAME?</v>
      </c>
    </row>
    <row r="3" spans="1:22" ht="15">
      <c r="A3" s="313" t="s">
        <v>602</v>
      </c>
      <c r="B3" s="314" t="s">
        <v>603</v>
      </c>
      <c r="C3" s="305" t="s">
        <v>604</v>
      </c>
      <c r="D3" s="307" t="e">
        <f ca="1">EV_CVW($D$1,C3)</f>
        <v>#NAME?</v>
      </c>
      <c r="R3" s="377" t="e">
        <f ca="1">IF(OR(currentStatus="Checking",currentStatus="Approved",currentStatus="LOCKED"),"Текущий рабочий статус : " &amp;currentStatus,"")</f>
        <v>#NAME?</v>
      </c>
    </row>
    <row r="4" spans="1:22" ht="15">
      <c r="A4" s="316" t="s">
        <v>605</v>
      </c>
      <c r="B4" s="317" t="str">
        <f>_xll.EVRNG(D2:D11)</f>
        <v>'Ф2'!$D$2:$D$11</v>
      </c>
      <c r="C4" s="305" t="s">
        <v>606</v>
      </c>
      <c r="D4" s="307" t="e">
        <f ca="1">EV_CVW($D$1,C4)</f>
        <v>#NAME?</v>
      </c>
      <c r="E4" s="311" t="e">
        <f ca="1">D4</f>
        <v>#NAME?</v>
      </c>
      <c r="L4" s="310"/>
      <c r="M4" s="310"/>
      <c r="P4" s="310"/>
      <c r="Q4" s="310"/>
      <c r="R4" s="318" t="s">
        <v>835</v>
      </c>
    </row>
    <row r="5" spans="1:22" ht="15">
      <c r="A5" s="316" t="s">
        <v>608</v>
      </c>
      <c r="B5" s="317" t="str">
        <f>_xll.EVRNG(T7:V9)</f>
        <v>'Ф2'!$T$7:$V$9</v>
      </c>
      <c r="C5" s="305" t="s">
        <v>609</v>
      </c>
      <c r="D5" s="319" t="s">
        <v>610</v>
      </c>
      <c r="L5" s="310"/>
      <c r="M5" s="310"/>
      <c r="P5" s="310"/>
      <c r="Q5" s="310"/>
      <c r="R5" s="320" t="s">
        <v>597</v>
      </c>
    </row>
    <row r="6" spans="1:22" ht="15">
      <c r="A6" s="316" t="s">
        <v>611</v>
      </c>
      <c r="B6" s="317" t="str">
        <f>_xll.EVRNG(P12:Q13,P15:Q16,P18:Q23,P25:Q32,P34:Q35,P37:Q38,P40:Q41)</f>
        <v>'Ф2'!$P$12:$Q$13,'Ф2'!$P$15:$Q$16,'Ф2'!$P$18:$Q$23,'Ф2'!$P$25:$Q$32,'Ф2'!$P$34:$Q$35,'Ф2'!$P$37:$Q$38,'Ф2'!$P$40:$Q$41</v>
      </c>
      <c r="C6" s="305" t="s">
        <v>612</v>
      </c>
      <c r="D6" s="319" t="s">
        <v>613</v>
      </c>
      <c r="Q6" s="378"/>
      <c r="R6" s="318" t="s">
        <v>836</v>
      </c>
      <c r="V6" s="322"/>
    </row>
    <row r="7" spans="1:22" ht="15" hidden="1">
      <c r="A7" s="316" t="s">
        <v>615</v>
      </c>
      <c r="B7" s="317"/>
      <c r="C7" s="305" t="s">
        <v>616</v>
      </c>
      <c r="D7" s="319" t="s">
        <v>617</v>
      </c>
      <c r="Q7" t="s">
        <v>618</v>
      </c>
      <c r="R7"/>
      <c r="S7" s="323"/>
      <c r="T7" s="324" t="s">
        <v>619</v>
      </c>
      <c r="U7" s="324" t="s">
        <v>620</v>
      </c>
      <c r="V7" s="324" t="s">
        <v>621</v>
      </c>
    </row>
    <row r="8" spans="1:22" ht="15" hidden="1">
      <c r="A8" s="316" t="s">
        <v>622</v>
      </c>
      <c r="B8" s="317"/>
      <c r="C8" s="305" t="s">
        <v>623</v>
      </c>
      <c r="D8" s="319" t="s">
        <v>624</v>
      </c>
      <c r="R8"/>
      <c r="S8" s="323"/>
      <c r="T8" s="324" t="s">
        <v>837</v>
      </c>
      <c r="U8" s="324" t="s">
        <v>837</v>
      </c>
      <c r="V8" s="324" t="s">
        <v>837</v>
      </c>
    </row>
    <row r="9" spans="1:22" ht="15" hidden="1">
      <c r="A9" s="316" t="s">
        <v>626</v>
      </c>
      <c r="B9" s="317" t="str">
        <f>_xll.EVRNG($A$86:$F$116)</f>
        <v>'Ф2'!$A$86:$F$116</v>
      </c>
      <c r="C9" s="305" t="s">
        <v>627</v>
      </c>
      <c r="D9" s="319" t="s">
        <v>628</v>
      </c>
      <c r="Q9" s="345"/>
      <c r="R9"/>
      <c r="S9" s="323" t="s">
        <v>634</v>
      </c>
      <c r="T9" s="324" t="s">
        <v>629</v>
      </c>
      <c r="U9" s="324" t="s">
        <v>629</v>
      </c>
      <c r="V9" s="324" t="s">
        <v>629</v>
      </c>
    </row>
    <row r="10" spans="1:22" ht="15" customHeight="1">
      <c r="A10" s="316" t="s">
        <v>630</v>
      </c>
      <c r="B10" s="317" t="str">
        <f>_xll.EVRNG($A$25:$B$41)</f>
        <v>'Ф2'!$A$25:$B$41</v>
      </c>
      <c r="C10" s="305" t="s">
        <v>631</v>
      </c>
      <c r="D10" s="319" t="s">
        <v>632</v>
      </c>
      <c r="Q10" s="345" t="s">
        <v>637</v>
      </c>
      <c r="R10" s="326"/>
      <c r="S10" s="327"/>
      <c r="T10" s="615" t="s">
        <v>838</v>
      </c>
      <c r="U10" s="616"/>
      <c r="V10" s="617"/>
    </row>
    <row r="11" spans="1:22" ht="45">
      <c r="A11" s="316" t="s">
        <v>635</v>
      </c>
      <c r="B11" s="317"/>
      <c r="C11" s="305" t="s">
        <v>636</v>
      </c>
      <c r="D11" s="307" t="e">
        <f ca="1">EV_CVW($D$1,C11)</f>
        <v>#NAME?</v>
      </c>
      <c r="E11" s="311" t="e">
        <f ca="1">EV_TIM(D1,D11,-1,"Year")</f>
        <v>#NAME?</v>
      </c>
      <c r="R11" s="328"/>
      <c r="S11" s="329" t="s">
        <v>839</v>
      </c>
      <c r="T11" s="379" t="e">
        <f ca="1">IF(EV_DES(T7,$D$1)="#NODATA","",EV_DES(T7,$D$1))</f>
        <v>#NAME?</v>
      </c>
      <c r="U11" s="379" t="e">
        <f ca="1">IF(EV_DES(U7,$D$1)="#NODATA","",EV_DES(U7,$D$1))</f>
        <v>#NAME?</v>
      </c>
      <c r="V11" s="379" t="e">
        <f ca="1">IF(EV_DES(V7,$D$1)="#NODATA","",EV_DES(V7,$D$1))</f>
        <v>#NAME?</v>
      </c>
    </row>
    <row r="12" spans="1:22" ht="15">
      <c r="E12"/>
      <c r="O12" t="e">
        <f ca="1">EV_PRO("LEGAL",Q12,"FORMULA")</f>
        <v>#NAME?</v>
      </c>
      <c r="P12" s="331">
        <v>601000000</v>
      </c>
      <c r="Q12" s="331" t="s">
        <v>653</v>
      </c>
      <c r="R12" s="380" t="s">
        <v>840</v>
      </c>
      <c r="S12" s="381" t="e">
        <f t="shared" ref="S12:S48" ca="1" si="0">IF(EV_PRO("LEGAL",P12,"FORM")="Ф2","",IF(EV_PRO("LEGAL",P12,"FORM")="#NODATA","",EV_PRO("LEGAL",P12,"FORM")))</f>
        <v>#NAME?</v>
      </c>
      <c r="T12" s="350">
        <v>-5034863</v>
      </c>
      <c r="U12" s="350">
        <v>-86170991</v>
      </c>
      <c r="V12" s="350">
        <v>-91205854</v>
      </c>
    </row>
    <row r="13" spans="1:22" ht="15">
      <c r="A13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B13" s="311" t="s">
        <v>841</v>
      </c>
      <c r="E13" t="s">
        <v>842</v>
      </c>
      <c r="F13" t="s">
        <v>843</v>
      </c>
      <c r="O13" t="e">
        <f ca="1">EV_PRO("LEGAL",Q13,"FORMULA")</f>
        <v>#NAME?</v>
      </c>
      <c r="P13" s="331">
        <v>602000000</v>
      </c>
      <c r="Q13" s="331" t="s">
        <v>653</v>
      </c>
      <c r="R13" s="380" t="s">
        <v>844</v>
      </c>
      <c r="S13" s="381" t="e">
        <f t="shared" ca="1" si="0"/>
        <v>#NAME?</v>
      </c>
      <c r="T13" s="350"/>
      <c r="U13" s="350"/>
      <c r="V13" s="350"/>
    </row>
    <row r="14" spans="1:22" ht="15">
      <c r="A14" s="313" t="s">
        <v>638</v>
      </c>
      <c r="B14" s="335" t="s">
        <v>639</v>
      </c>
      <c r="C14" s="314" t="s">
        <v>640</v>
      </c>
      <c r="D14" s="314" t="s">
        <v>640</v>
      </c>
      <c r="E14" s="314" t="s">
        <v>641</v>
      </c>
      <c r="F14" s="314" t="s">
        <v>641</v>
      </c>
      <c r="O14" t="e">
        <f ca="1">EV_PRO("LEGAL",Q15,"FORMULA")</f>
        <v>#NAME?</v>
      </c>
      <c r="Q14" s="323" t="s">
        <v>645</v>
      </c>
      <c r="R14" s="380" t="s">
        <v>845</v>
      </c>
      <c r="S14" s="381" t="e">
        <f t="shared" ca="1" si="0"/>
        <v>#NAME?</v>
      </c>
      <c r="T14" s="350">
        <f>IF(SUM(T12:T13)=0,"",SUM(T12:T13))</f>
        <v>-5034863</v>
      </c>
      <c r="U14" s="350">
        <f t="shared" ref="U14:V14" si="1">IF(SUM(U12:U13)=0,"",SUM(U12:U13))</f>
        <v>-86170991</v>
      </c>
      <c r="V14" s="350">
        <f t="shared" si="1"/>
        <v>-91205854</v>
      </c>
    </row>
    <row r="15" spans="1:22" ht="15">
      <c r="A15" s="336" t="s">
        <v>642</v>
      </c>
      <c r="B15" s="337" t="s">
        <v>643</v>
      </c>
      <c r="C15" s="337" t="s">
        <v>643</v>
      </c>
      <c r="D15" s="337" t="s">
        <v>643</v>
      </c>
      <c r="E15" s="337" t="s">
        <v>644</v>
      </c>
      <c r="F15" s="337" t="s">
        <v>644</v>
      </c>
      <c r="O15" t="e">
        <f ca="1">EV_PRO("LEGAL",Q18,"FORMULA")</f>
        <v>#NAME?</v>
      </c>
      <c r="P15" s="331">
        <v>701000000</v>
      </c>
      <c r="Q15" s="331" t="s">
        <v>653</v>
      </c>
      <c r="R15" s="380" t="s">
        <v>846</v>
      </c>
      <c r="S15" s="381" t="e">
        <f t="shared" ca="1" si="0"/>
        <v>#NAME?</v>
      </c>
      <c r="T15" s="350">
        <v>7907337</v>
      </c>
      <c r="U15" s="350">
        <v>55114791</v>
      </c>
      <c r="V15" s="350">
        <v>63022128</v>
      </c>
    </row>
    <row r="16" spans="1:22" ht="15" hidden="1">
      <c r="A16" s="336" t="s">
        <v>647</v>
      </c>
      <c r="B16" s="330" t="s">
        <v>648</v>
      </c>
      <c r="C16" s="337" t="s">
        <v>616</v>
      </c>
      <c r="D16" s="337" t="s">
        <v>636</v>
      </c>
      <c r="E16" s="337" t="s">
        <v>649</v>
      </c>
      <c r="F16" s="337" t="s">
        <v>609</v>
      </c>
      <c r="O16" t="e">
        <f ca="1">EV_PRO("LEGAL",Q23,"FORMULA")</f>
        <v>#NAME?</v>
      </c>
      <c r="P16" s="331"/>
      <c r="Q16" s="331"/>
      <c r="R16" s="382">
        <v>0</v>
      </c>
      <c r="S16" s="339" t="e">
        <f t="shared" ca="1" si="0"/>
        <v>#NAME?</v>
      </c>
      <c r="T16" s="334"/>
      <c r="U16" s="334"/>
      <c r="V16" s="334"/>
    </row>
    <row r="17" spans="1:22" ht="15">
      <c r="A17" s="336" t="s">
        <v>651</v>
      </c>
      <c r="B17" s="330" t="str">
        <f>"I_19,I_Internal,I_T"</f>
        <v>I_19,I_Internal,I_T</v>
      </c>
      <c r="C17" s="337" t="s">
        <v>837</v>
      </c>
      <c r="D17" s="330" t="e">
        <f ca="1">EV_CVW($D$1,$C$11)</f>
        <v>#NAME?</v>
      </c>
      <c r="E17" s="330" t="str">
        <f>E13</f>
        <v>601000000,602000000|701000000|702000000,703000000,604000000,704000000,605000000,705000000|801000000,802000000,803000000,804000000,805000000,806000000,807000000,808000000|809000000|810000000|</v>
      </c>
      <c r="F17" s="330" t="str">
        <f>F13</f>
        <v>M3_TOTAL|M3_TOTAL|M3_TOTAL|M3_TOTAL|M3_TOTAL|M3_TOTAL|</v>
      </c>
      <c r="O17" t="e">
        <f ca="1">EV_PRO("LEGAL",#REF!,"FORMULA")</f>
        <v>#NAME?</v>
      </c>
      <c r="Q17" s="323" t="s">
        <v>645</v>
      </c>
      <c r="R17" s="380" t="s">
        <v>847</v>
      </c>
      <c r="S17" s="381" t="e">
        <f t="shared" ca="1" si="0"/>
        <v>#NAME?</v>
      </c>
      <c r="T17" s="350">
        <f>IF(SUM(T14:T16)=0,"",SUM(T14:T16))</f>
        <v>2872474</v>
      </c>
      <c r="U17" s="350">
        <f t="shared" ref="U17:V17" si="2">IF(SUM(U14:U16)=0,"",SUM(U14:U16))</f>
        <v>-31056200</v>
      </c>
      <c r="V17" s="350">
        <f t="shared" si="2"/>
        <v>-28183726</v>
      </c>
    </row>
    <row r="18" spans="1:22" ht="15">
      <c r="A18" s="336" t="s">
        <v>654</v>
      </c>
      <c r="B18" s="337"/>
      <c r="C18" s="337"/>
      <c r="D18" s="337"/>
      <c r="E18" s="337"/>
      <c r="F18" s="337"/>
      <c r="O18" t="e">
        <f ca="1">EV_PRO("LEGAL",#REF!,"FORMULA")</f>
        <v>#NAME?</v>
      </c>
      <c r="P18" s="331">
        <v>702000000</v>
      </c>
      <c r="Q18" s="331" t="s">
        <v>653</v>
      </c>
      <c r="R18" s="380" t="s">
        <v>498</v>
      </c>
      <c r="S18" s="381" t="e">
        <f t="shared" ca="1" si="0"/>
        <v>#NAME?</v>
      </c>
      <c r="T18" s="350">
        <v>202111</v>
      </c>
      <c r="U18" s="350">
        <v>5864103</v>
      </c>
      <c r="V18" s="350">
        <v>6066214</v>
      </c>
    </row>
    <row r="19" spans="1:22" ht="15">
      <c r="A19" s="336" t="s">
        <v>655</v>
      </c>
      <c r="B19" s="337"/>
      <c r="C19" s="337"/>
      <c r="D19" s="337"/>
      <c r="E19" s="337"/>
      <c r="F19" s="337"/>
      <c r="O19" t="e">
        <f ca="1">EV_PRO("LEGAL",#REF!,"FORMULA")</f>
        <v>#NAME?</v>
      </c>
      <c r="P19" s="331">
        <v>703000000</v>
      </c>
      <c r="Q19" s="331" t="s">
        <v>653</v>
      </c>
      <c r="R19" s="380" t="s">
        <v>848</v>
      </c>
      <c r="S19" s="381" t="e">
        <f t="shared" ca="1" si="0"/>
        <v>#NAME?</v>
      </c>
      <c r="T19" s="350">
        <v>1492430</v>
      </c>
      <c r="U19" s="350">
        <v>26341</v>
      </c>
      <c r="V19" s="350">
        <v>1518771</v>
      </c>
    </row>
    <row r="20" spans="1:22" ht="15">
      <c r="A20" s="336" t="s">
        <v>656</v>
      </c>
      <c r="B20" s="337"/>
      <c r="C20" s="337"/>
      <c r="D20" s="337"/>
      <c r="E20" s="337"/>
      <c r="F20" s="337"/>
      <c r="O20" t="e">
        <f ca="1">EV_PRO("LEGAL",#REF!,"FORMULA")</f>
        <v>#NAME?</v>
      </c>
      <c r="P20" s="331">
        <v>604000000</v>
      </c>
      <c r="Q20" s="331" t="s">
        <v>653</v>
      </c>
      <c r="R20" s="380" t="s">
        <v>849</v>
      </c>
      <c r="S20" s="381" t="e">
        <f t="shared" ca="1" si="0"/>
        <v>#NAME?</v>
      </c>
      <c r="T20" s="350"/>
      <c r="U20" s="350"/>
      <c r="V20" s="350"/>
    </row>
    <row r="21" spans="1:22" ht="15">
      <c r="A21" s="336" t="s">
        <v>657</v>
      </c>
      <c r="B21" s="337"/>
      <c r="C21" s="337"/>
      <c r="D21" s="337"/>
      <c r="E21" s="337"/>
      <c r="F21" s="337"/>
      <c r="P21" s="331">
        <v>704000000</v>
      </c>
      <c r="Q21" s="331" t="s">
        <v>653</v>
      </c>
      <c r="R21" s="380" t="s">
        <v>850</v>
      </c>
      <c r="S21" s="381" t="e">
        <f t="shared" ca="1" si="0"/>
        <v>#NAME?</v>
      </c>
      <c r="T21" s="350"/>
      <c r="U21" s="350"/>
      <c r="V21" s="350"/>
    </row>
    <row r="22" spans="1:22" ht="15">
      <c r="A22" s="311" t="s">
        <v>658</v>
      </c>
      <c r="P22" s="331">
        <v>605000000</v>
      </c>
      <c r="Q22" s="331" t="s">
        <v>653</v>
      </c>
      <c r="R22" s="380" t="s">
        <v>851</v>
      </c>
      <c r="S22" s="381" t="e">
        <f t="shared" ca="1" si="0"/>
        <v>#NAME?</v>
      </c>
      <c r="T22" s="350"/>
      <c r="U22" s="350">
        <v>-200518</v>
      </c>
      <c r="V22" s="350">
        <v>-200518</v>
      </c>
    </row>
    <row r="23" spans="1:22" ht="15">
      <c r="A23" s="311" t="e">
        <f ca="1">EV_LCK(EV_APP(),0,EV_CVW(EV_APP(),"TIME"),EV_CVW(EV_APP(),"C_ENTITY"),"ACTUAL",EV_CVW(EV_APP(),"C_DATATS"))</f>
        <v>#NAME?</v>
      </c>
      <c r="P23" s="331">
        <v>705000000</v>
      </c>
      <c r="Q23" s="331" t="s">
        <v>653</v>
      </c>
      <c r="R23" s="380" t="s">
        <v>852</v>
      </c>
      <c r="S23" s="381" t="e">
        <f t="shared" ca="1" si="0"/>
        <v>#NAME?</v>
      </c>
      <c r="T23" s="350"/>
      <c r="U23" s="350">
        <v>214560</v>
      </c>
      <c r="V23" s="350">
        <v>214560</v>
      </c>
    </row>
    <row r="24" spans="1:22" ht="15">
      <c r="A24" s="313" t="s">
        <v>659</v>
      </c>
      <c r="B24" s="314" t="s">
        <v>660</v>
      </c>
      <c r="Q24" s="323" t="s">
        <v>645</v>
      </c>
      <c r="R24" s="380" t="s">
        <v>853</v>
      </c>
      <c r="S24" s="381" t="e">
        <f t="shared" ca="1" si="0"/>
        <v>#NAME?</v>
      </c>
      <c r="T24" s="350">
        <f>IF(SUM(T17:T23)=0,"",SUM(T17:T23))</f>
        <v>4567015</v>
      </c>
      <c r="U24" s="350">
        <f t="shared" ref="U24:V24" si="3">IF(SUM(U17:U23)=0,"",SUM(U17:U23))</f>
        <v>-25151714</v>
      </c>
      <c r="V24" s="350">
        <f t="shared" si="3"/>
        <v>-20584699</v>
      </c>
    </row>
    <row r="25" spans="1:22" ht="15">
      <c r="A25" s="316" t="s">
        <v>664</v>
      </c>
      <c r="B25" s="317"/>
      <c r="P25" s="331">
        <v>801000000</v>
      </c>
      <c r="Q25" s="331" t="s">
        <v>653</v>
      </c>
      <c r="R25" s="380" t="s">
        <v>283</v>
      </c>
      <c r="S25" s="381" t="e">
        <f t="shared" ca="1" si="0"/>
        <v>#NAME?</v>
      </c>
      <c r="T25" s="350">
        <v>-6177</v>
      </c>
      <c r="U25" s="350">
        <v>-654789</v>
      </c>
      <c r="V25" s="350">
        <v>-660966</v>
      </c>
    </row>
    <row r="26" spans="1:22" ht="15">
      <c r="A26" s="316" t="s">
        <v>666</v>
      </c>
      <c r="B26" s="317"/>
      <c r="P26" s="331">
        <v>802000000</v>
      </c>
      <c r="Q26" s="331" t="s">
        <v>653</v>
      </c>
      <c r="R26" s="380" t="s">
        <v>284</v>
      </c>
      <c r="S26" s="381" t="e">
        <f t="shared" ca="1" si="0"/>
        <v>#NAME?</v>
      </c>
      <c r="T26" s="350">
        <v>97661</v>
      </c>
      <c r="U26" s="350">
        <v>257093</v>
      </c>
      <c r="V26" s="350">
        <v>354754</v>
      </c>
    </row>
    <row r="27" spans="1:22" ht="15">
      <c r="A27" s="316" t="s">
        <v>667</v>
      </c>
      <c r="B27" s="317"/>
      <c r="P27" s="331">
        <v>803000000</v>
      </c>
      <c r="Q27" s="331" t="s">
        <v>653</v>
      </c>
      <c r="R27" s="380" t="s">
        <v>854</v>
      </c>
      <c r="S27" s="381" t="e">
        <f t="shared" ca="1" si="0"/>
        <v>#NAME?</v>
      </c>
      <c r="T27" s="350">
        <v>-90889</v>
      </c>
      <c r="U27" s="350">
        <v>-1371873</v>
      </c>
      <c r="V27" s="350">
        <v>-1462762</v>
      </c>
    </row>
    <row r="28" spans="1:22" ht="15">
      <c r="A28" s="316" t="s">
        <v>668</v>
      </c>
      <c r="B28" s="317"/>
      <c r="F28" s="345"/>
      <c r="P28" s="331">
        <v>804000000</v>
      </c>
      <c r="Q28" s="331" t="s">
        <v>653</v>
      </c>
      <c r="R28" s="380" t="s">
        <v>855</v>
      </c>
      <c r="S28" s="381" t="e">
        <f t="shared" ca="1" si="0"/>
        <v>#NAME?</v>
      </c>
      <c r="T28" s="350">
        <v>5564020</v>
      </c>
      <c r="U28" s="350">
        <v>4554631</v>
      </c>
      <c r="V28" s="350">
        <v>10118651</v>
      </c>
    </row>
    <row r="29" spans="1:22" ht="15">
      <c r="A29" s="316" t="s">
        <v>669</v>
      </c>
      <c r="B29" s="317" t="s">
        <v>670</v>
      </c>
      <c r="F29" s="345"/>
      <c r="P29" s="331">
        <v>805000000</v>
      </c>
      <c r="Q29" s="331" t="s">
        <v>653</v>
      </c>
      <c r="R29" s="380" t="s">
        <v>856</v>
      </c>
      <c r="S29" s="381" t="e">
        <f t="shared" ca="1" si="0"/>
        <v>#NAME?</v>
      </c>
      <c r="T29" s="350">
        <v>-77482</v>
      </c>
      <c r="U29" s="350">
        <v>2068631</v>
      </c>
      <c r="V29" s="350">
        <v>1991149</v>
      </c>
    </row>
    <row r="30" spans="1:22" ht="15">
      <c r="A30" s="316" t="s">
        <v>671</v>
      </c>
      <c r="B30" s="317" t="s">
        <v>670</v>
      </c>
      <c r="F30" s="345"/>
      <c r="P30" s="331">
        <v>806000000</v>
      </c>
      <c r="Q30" s="331" t="s">
        <v>653</v>
      </c>
      <c r="R30" s="380" t="s">
        <v>857</v>
      </c>
      <c r="S30" s="381" t="e">
        <f t="shared" ca="1" si="0"/>
        <v>#NAME?</v>
      </c>
      <c r="T30" s="350"/>
      <c r="U30" s="350"/>
      <c r="V30" s="350">
        <v>48687</v>
      </c>
    </row>
    <row r="31" spans="1:22" ht="15">
      <c r="A31" s="316" t="s">
        <v>672</v>
      </c>
      <c r="B31" s="317"/>
      <c r="F31" s="345"/>
      <c r="P31" s="331">
        <v>807000000</v>
      </c>
      <c r="Q31" s="331" t="s">
        <v>653</v>
      </c>
      <c r="R31" s="380" t="s">
        <v>858</v>
      </c>
      <c r="S31" s="381" t="e">
        <f t="shared" ca="1" si="0"/>
        <v>#NAME?</v>
      </c>
      <c r="T31" s="350"/>
      <c r="U31" s="350"/>
      <c r="V31" s="350">
        <v>-2903550</v>
      </c>
    </row>
    <row r="32" spans="1:22" ht="15">
      <c r="A32" s="316" t="s">
        <v>673</v>
      </c>
      <c r="B32" s="317"/>
      <c r="F32" s="345"/>
      <c r="P32" s="331">
        <v>808000000</v>
      </c>
      <c r="Q32" s="331" t="s">
        <v>653</v>
      </c>
      <c r="R32" s="380" t="s">
        <v>859</v>
      </c>
      <c r="S32" s="381" t="e">
        <f t="shared" ca="1" si="0"/>
        <v>#NAME?</v>
      </c>
      <c r="T32" s="350"/>
      <c r="U32" s="350"/>
      <c r="V32" s="350"/>
    </row>
    <row r="33" spans="1:22" ht="15">
      <c r="A33" s="316" t="s">
        <v>675</v>
      </c>
      <c r="B33" s="317"/>
      <c r="F33" s="345"/>
      <c r="Q33" s="323" t="s">
        <v>645</v>
      </c>
      <c r="R33" s="380" t="s">
        <v>860</v>
      </c>
      <c r="S33" s="381" t="e">
        <f t="shared" ca="1" si="0"/>
        <v>#NAME?</v>
      </c>
      <c r="T33" s="350">
        <f>IF(SUM(T24:T32)=0,"",SUM(T24:T32))</f>
        <v>10054148</v>
      </c>
      <c r="U33" s="350">
        <f t="shared" ref="U33:V33" si="4">IF(SUM(U24:U32)=0,"",SUM(U24:U32))</f>
        <v>-20298021</v>
      </c>
      <c r="V33" s="350">
        <f t="shared" si="4"/>
        <v>-13098736</v>
      </c>
    </row>
    <row r="34" spans="1:22" ht="15">
      <c r="A34" s="316" t="s">
        <v>676</v>
      </c>
      <c r="B34" s="317"/>
      <c r="F34" s="345"/>
      <c r="P34" s="331">
        <v>809000000</v>
      </c>
      <c r="Q34" s="331" t="s">
        <v>653</v>
      </c>
      <c r="R34" s="380" t="s">
        <v>861</v>
      </c>
      <c r="S34" s="381" t="e">
        <f t="shared" ca="1" si="0"/>
        <v>#NAME?</v>
      </c>
      <c r="T34" s="350"/>
      <c r="U34" s="350"/>
      <c r="V34" s="350"/>
    </row>
    <row r="35" spans="1:22" ht="15" hidden="1">
      <c r="A35" s="316" t="s">
        <v>677</v>
      </c>
      <c r="B35" s="317"/>
      <c r="P35" s="331"/>
      <c r="Q35" s="331"/>
      <c r="R35" s="382">
        <v>0</v>
      </c>
      <c r="S35" s="339" t="e">
        <f t="shared" ca="1" si="0"/>
        <v>#NAME?</v>
      </c>
      <c r="T35" s="334"/>
      <c r="U35" s="334"/>
      <c r="V35" s="334"/>
    </row>
    <row r="36" spans="1:22" ht="15">
      <c r="A36" s="316" t="s">
        <v>678</v>
      </c>
      <c r="B36" s="317"/>
      <c r="Q36" s="323" t="s">
        <v>645</v>
      </c>
      <c r="R36" s="380" t="s">
        <v>862</v>
      </c>
      <c r="S36" s="381" t="e">
        <f t="shared" ca="1" si="0"/>
        <v>#NAME?</v>
      </c>
      <c r="T36" s="350">
        <f>IF(SUM(T33:T34)=0,"",SUM(T33:T34))</f>
        <v>10054148</v>
      </c>
      <c r="U36" s="350">
        <f t="shared" ref="U36:V36" si="5">IF(SUM(U33:U34)=0,"",SUM(U33:U34))</f>
        <v>-20298021</v>
      </c>
      <c r="V36" s="350">
        <f t="shared" si="5"/>
        <v>-13098736</v>
      </c>
    </row>
    <row r="37" spans="1:22" ht="15">
      <c r="A37" s="316" t="s">
        <v>679</v>
      </c>
      <c r="B37" s="317"/>
      <c r="P37" s="331">
        <v>810000000</v>
      </c>
      <c r="Q37" s="331" t="s">
        <v>653</v>
      </c>
      <c r="R37" s="380" t="s">
        <v>863</v>
      </c>
      <c r="S37" s="381" t="e">
        <f t="shared" ca="1" si="0"/>
        <v>#NAME?</v>
      </c>
      <c r="T37" s="350">
        <v>0</v>
      </c>
      <c r="U37" s="350"/>
      <c r="V37" s="350">
        <v>-5471309.3305599997</v>
      </c>
    </row>
    <row r="38" spans="1:22" ht="15" hidden="1">
      <c r="A38" s="316" t="s">
        <v>680</v>
      </c>
      <c r="B38" s="317"/>
      <c r="P38" s="331"/>
      <c r="Q38" s="331"/>
      <c r="R38" s="382">
        <v>0</v>
      </c>
      <c r="S38" s="339" t="e">
        <f t="shared" ca="1" si="0"/>
        <v>#NAME?</v>
      </c>
      <c r="T38" s="334"/>
      <c r="U38" s="334"/>
      <c r="V38" s="334"/>
    </row>
    <row r="39" spans="1:22" ht="15">
      <c r="A39" s="316" t="s">
        <v>681</v>
      </c>
      <c r="B39" s="317"/>
      <c r="Q39" s="323" t="s">
        <v>645</v>
      </c>
      <c r="R39" s="380" t="s">
        <v>864</v>
      </c>
      <c r="S39" s="381" t="e">
        <f t="shared" ca="1" si="0"/>
        <v>#NAME?</v>
      </c>
      <c r="T39" s="350">
        <f>IF(SUM(T36:T37)=0,"",SUM(T36:T37))</f>
        <v>10054148</v>
      </c>
      <c r="U39" s="350">
        <f t="shared" ref="U39:V39" si="6">IF(SUM(U36:U37)=0,"",SUM(U36:U37))</f>
        <v>-20298021</v>
      </c>
      <c r="V39" s="350">
        <f t="shared" si="6"/>
        <v>-18570045.330559999</v>
      </c>
    </row>
    <row r="40" spans="1:22" ht="15" hidden="1">
      <c r="A40" s="316" t="s">
        <v>682</v>
      </c>
      <c r="B40" s="317"/>
      <c r="P40" s="331"/>
      <c r="Q40" s="331"/>
      <c r="R40" s="382"/>
      <c r="S40" s="339" t="e">
        <f t="shared" ca="1" si="0"/>
        <v>#NAME?</v>
      </c>
      <c r="T40" s="334"/>
      <c r="U40" s="334"/>
      <c r="V40" s="334"/>
    </row>
    <row r="41" spans="1:22" ht="15" hidden="1">
      <c r="A41" s="316" t="s">
        <v>683</v>
      </c>
      <c r="B41" s="317"/>
      <c r="P41" s="331"/>
      <c r="Q41" s="331"/>
      <c r="R41" s="382"/>
      <c r="S41" s="339" t="e">
        <f t="shared" ca="1" si="0"/>
        <v>#NAME?</v>
      </c>
      <c r="T41" s="334"/>
      <c r="U41" s="334"/>
      <c r="V41" s="334"/>
    </row>
    <row r="42" spans="1:22" ht="15" hidden="1">
      <c r="S42" s="381" t="e">
        <f t="shared" ca="1" si="0"/>
        <v>#NAME?</v>
      </c>
      <c r="T42" s="324" t="s">
        <v>619</v>
      </c>
      <c r="U42" s="324" t="s">
        <v>684</v>
      </c>
      <c r="V42" s="324" t="s">
        <v>621</v>
      </c>
    </row>
    <row r="43" spans="1:22" ht="15" hidden="1">
      <c r="S43" s="381" t="e">
        <f t="shared" ca="1" si="0"/>
        <v>#NAME?</v>
      </c>
      <c r="T43" s="324" t="s">
        <v>837</v>
      </c>
      <c r="U43" s="324" t="s">
        <v>837</v>
      </c>
      <c r="V43" s="324" t="s">
        <v>837</v>
      </c>
    </row>
    <row r="44" spans="1:22" ht="15" hidden="1">
      <c r="A44" s="303" t="e">
        <f>_xll.EVDRE($D$1,A47:B54,A58:F64)</f>
        <v>#VALUE!</v>
      </c>
      <c r="B44" s="304" t="s">
        <v>597</v>
      </c>
      <c r="C44" s="305" t="s">
        <v>598</v>
      </c>
      <c r="D44" s="306" t="s">
        <v>599</v>
      </c>
      <c r="E44" s="305" t="s">
        <v>600</v>
      </c>
      <c r="F44" s="307" t="e">
        <f ca="1">EV_CVW($D$1,E44)</f>
        <v>#NAME?</v>
      </c>
      <c r="S44" s="381" t="e">
        <f t="shared" ca="1" si="0"/>
        <v>#NAME?</v>
      </c>
      <c r="T44" s="324" t="s">
        <v>629</v>
      </c>
      <c r="U44" s="324" t="s">
        <v>629</v>
      </c>
      <c r="V44" s="324" t="s">
        <v>629</v>
      </c>
    </row>
    <row r="45" spans="1:22" ht="26.25">
      <c r="C45" s="305" t="s">
        <v>601</v>
      </c>
      <c r="D45" s="307" t="e">
        <f ca="1">EV_CVW($D$1,C45)</f>
        <v>#NAME?</v>
      </c>
      <c r="P45" s="331">
        <v>811000000</v>
      </c>
      <c r="Q45" s="331" t="s">
        <v>610</v>
      </c>
      <c r="R45" s="382" t="s">
        <v>865</v>
      </c>
      <c r="S45" s="339" t="e">
        <f t="shared" ca="1" si="0"/>
        <v>#NAME?</v>
      </c>
      <c r="T45" s="334">
        <v>10054148</v>
      </c>
      <c r="U45" s="348">
        <v>-27274995.221670002</v>
      </c>
      <c r="V45" s="334">
        <v>-17220847.221670002</v>
      </c>
    </row>
    <row r="46" spans="1:22" ht="26.25">
      <c r="A46" s="313" t="s">
        <v>602</v>
      </c>
      <c r="B46" s="314" t="s">
        <v>603</v>
      </c>
      <c r="C46" s="305" t="s">
        <v>604</v>
      </c>
      <c r="D46" s="307" t="e">
        <f ca="1">EV_CVW($D$1,C46)</f>
        <v>#NAME?</v>
      </c>
      <c r="P46" s="331">
        <v>812000000</v>
      </c>
      <c r="Q46" s="331" t="s">
        <v>610</v>
      </c>
      <c r="R46" s="382" t="s">
        <v>866</v>
      </c>
      <c r="S46" s="339" t="e">
        <f t="shared" ca="1" si="0"/>
        <v>#NAME?</v>
      </c>
      <c r="T46" s="334"/>
      <c r="U46" s="348">
        <v>-291802</v>
      </c>
      <c r="V46" s="334">
        <v>-291802</v>
      </c>
    </row>
    <row r="47" spans="1:22" ht="30">
      <c r="A47" s="316" t="s">
        <v>605</v>
      </c>
      <c r="B47" s="317" t="str">
        <f>_xll.EVRNG(D45:D54)</f>
        <v>'Ф2'!$D$45:$D$54</v>
      </c>
      <c r="C47" s="305" t="s">
        <v>606</v>
      </c>
      <c r="D47" s="307" t="e">
        <f ca="1">EV_CVW($D$1,C47)</f>
        <v>#NAME?</v>
      </c>
      <c r="E47" s="311" t="e">
        <f ca="1">D47</f>
        <v>#NAME?</v>
      </c>
      <c r="P47" s="331">
        <v>813000000</v>
      </c>
      <c r="Q47" s="331" t="s">
        <v>653</v>
      </c>
      <c r="R47" s="349" t="s">
        <v>867</v>
      </c>
      <c r="S47" s="381" t="e">
        <f t="shared" ca="1" si="0"/>
        <v>#NAME?</v>
      </c>
      <c r="T47" s="350"/>
      <c r="U47" s="350">
        <v>34858</v>
      </c>
      <c r="V47" s="350">
        <v>34858</v>
      </c>
    </row>
    <row r="48" spans="1:22" ht="15" hidden="1">
      <c r="A48" s="316" t="s">
        <v>608</v>
      </c>
      <c r="B48" s="317" t="str">
        <f>_xll.EVRNG(T42:V44)</f>
        <v>'Ф2'!$T$42:$V$44</v>
      </c>
      <c r="C48" s="305" t="s">
        <v>609</v>
      </c>
      <c r="D48" s="319" t="s">
        <v>610</v>
      </c>
      <c r="P48" s="331"/>
      <c r="Q48" s="331"/>
      <c r="R48" s="382">
        <v>0</v>
      </c>
      <c r="S48" s="339" t="e">
        <f t="shared" ca="1" si="0"/>
        <v>#NAME?</v>
      </c>
      <c r="T48" s="334"/>
      <c r="U48" s="348"/>
      <c r="V48" s="334"/>
    </row>
    <row r="49" spans="1:22" ht="15">
      <c r="A49" s="316" t="s">
        <v>611</v>
      </c>
      <c r="B49" s="317" t="str">
        <f>_xll.EVRNG(P45:Q46,P47:Q48,P50:Q55,P57:Q59,P60:Q61,P62:Q63,P64:Q65,P67:Q72,P74:Q76,P77:Q78,P79:Q80,P82:Q83)</f>
        <v>'Ф2'!$P$45:$Q$46,'Ф2'!$P$47:$Q$48,'Ф2'!$P$50:$Q$55,'Ф2'!$P$57:$Q$59,'Ф2'!$P$60:$Q$61,'Ф2'!$P$62:$Q$63,'Ф2'!$P$64:$Q$65,'Ф2'!$P$67:$Q$72,'Ф2'!$P$74:$Q$76,'Ф2'!$P$77:$Q$78,'Ф2'!$P$79:$Q$80,'Ф2'!$P$82:$Q$83</v>
      </c>
      <c r="C49" s="305" t="s">
        <v>612</v>
      </c>
      <c r="D49" s="319" t="s">
        <v>613</v>
      </c>
      <c r="R49" s="383" t="s">
        <v>868</v>
      </c>
    </row>
    <row r="50" spans="1:22" ht="26.25">
      <c r="A50" s="316" t="s">
        <v>615</v>
      </c>
      <c r="B50" s="317"/>
      <c r="C50" s="305" t="s">
        <v>616</v>
      </c>
      <c r="D50" s="319" t="s">
        <v>617</v>
      </c>
      <c r="P50" s="331">
        <v>813010000</v>
      </c>
      <c r="Q50" s="331" t="s">
        <v>610</v>
      </c>
      <c r="R50" s="384" t="s">
        <v>869</v>
      </c>
      <c r="S50" s="339" t="e">
        <f t="shared" ref="S50:S55" ca="1" si="7">IF(EV_PRO("LEGAL",P50,"FORM")="Ф2","",IF(EV_PRO("LEGAL",P50,"FORM")="#NODATA","",EV_PRO("LEGAL",P50,"FORM")))</f>
        <v>#NAME?</v>
      </c>
      <c r="T50" s="334"/>
      <c r="U50" s="348"/>
      <c r="V50" s="334"/>
    </row>
    <row r="51" spans="1:22" ht="26.25">
      <c r="A51" s="316" t="s">
        <v>622</v>
      </c>
      <c r="B51" s="317"/>
      <c r="C51" s="305" t="s">
        <v>623</v>
      </c>
      <c r="D51" s="319" t="s">
        <v>624</v>
      </c>
      <c r="P51" s="331">
        <v>813020000</v>
      </c>
      <c r="Q51" s="331" t="s">
        <v>610</v>
      </c>
      <c r="R51" s="384" t="s">
        <v>870</v>
      </c>
      <c r="S51" s="339" t="e">
        <f t="shared" ca="1" si="7"/>
        <v>#NAME?</v>
      </c>
      <c r="T51" s="334"/>
      <c r="U51" s="348"/>
      <c r="V51" s="334"/>
    </row>
    <row r="52" spans="1:22" ht="26.25">
      <c r="A52" s="316" t="s">
        <v>626</v>
      </c>
      <c r="B52" s="317" t="str">
        <f>_xll.EVRNG($A$86:$F$116)</f>
        <v>'Ф2'!$A$86:$F$116</v>
      </c>
      <c r="C52" s="305" t="s">
        <v>627</v>
      </c>
      <c r="D52" s="319" t="s">
        <v>628</v>
      </c>
      <c r="P52" s="331">
        <v>813050000</v>
      </c>
      <c r="Q52" s="331" t="s">
        <v>610</v>
      </c>
      <c r="R52" s="384" t="s">
        <v>871</v>
      </c>
      <c r="S52" s="339" t="e">
        <f t="shared" ca="1" si="7"/>
        <v>#NAME?</v>
      </c>
      <c r="T52" s="334"/>
      <c r="U52" s="348"/>
      <c r="V52" s="334"/>
    </row>
    <row r="53" spans="1:22" ht="26.25">
      <c r="A53" s="316" t="s">
        <v>630</v>
      </c>
      <c r="B53" s="317" t="str">
        <f>_xll.EVRNG($A$25:$B$41)</f>
        <v>'Ф2'!$A$25:$B$41</v>
      </c>
      <c r="C53" s="305" t="s">
        <v>631</v>
      </c>
      <c r="D53" s="319" t="s">
        <v>632</v>
      </c>
      <c r="P53" s="331">
        <v>813060000</v>
      </c>
      <c r="Q53" s="331" t="s">
        <v>610</v>
      </c>
      <c r="R53" s="384" t="s">
        <v>872</v>
      </c>
      <c r="S53" s="339" t="e">
        <f t="shared" ca="1" si="7"/>
        <v>#NAME?</v>
      </c>
      <c r="T53" s="334"/>
      <c r="U53" s="348"/>
      <c r="V53" s="334"/>
    </row>
    <row r="54" spans="1:22" ht="39">
      <c r="A54" s="316" t="s">
        <v>635</v>
      </c>
      <c r="B54" s="317"/>
      <c r="C54" s="305" t="s">
        <v>636</v>
      </c>
      <c r="D54" s="307" t="e">
        <f ca="1">EV_CVW($D$1,C54)</f>
        <v>#NAME?</v>
      </c>
      <c r="E54" s="311" t="e">
        <f ca="1">EV_TIM(D44,D54,-1,"Year")</f>
        <v>#NAME?</v>
      </c>
      <c r="P54" s="331">
        <v>813070000</v>
      </c>
      <c r="Q54" s="331" t="s">
        <v>610</v>
      </c>
      <c r="R54" s="384" t="s">
        <v>873</v>
      </c>
      <c r="S54" s="339" t="e">
        <f t="shared" ca="1" si="7"/>
        <v>#NAME?</v>
      </c>
      <c r="T54" s="334"/>
      <c r="U54" s="348"/>
      <c r="V54" s="334"/>
    </row>
    <row r="55" spans="1:22" ht="25.5">
      <c r="E55"/>
      <c r="P55" s="331">
        <v>813080000</v>
      </c>
      <c r="Q55" s="331" t="s">
        <v>610</v>
      </c>
      <c r="R55" s="384" t="s">
        <v>874</v>
      </c>
      <c r="S55" s="339" t="e">
        <f t="shared" ca="1" si="7"/>
        <v>#NAME?</v>
      </c>
      <c r="T55" s="334"/>
      <c r="U55" s="348"/>
      <c r="V55" s="334"/>
    </row>
    <row r="56" spans="1:22" ht="15">
      <c r="A56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B56" s="311" t="s">
        <v>875</v>
      </c>
      <c r="E56" t="s">
        <v>876</v>
      </c>
      <c r="F56" t="s">
        <v>877</v>
      </c>
      <c r="R56" s="383" t="s">
        <v>878</v>
      </c>
    </row>
    <row r="57" spans="1:22" ht="15">
      <c r="A57" s="313" t="s">
        <v>638</v>
      </c>
      <c r="B57" s="335" t="s">
        <v>639</v>
      </c>
      <c r="C57" s="314" t="s">
        <v>640</v>
      </c>
      <c r="D57" s="314" t="s">
        <v>640</v>
      </c>
      <c r="E57" s="314" t="s">
        <v>641</v>
      </c>
      <c r="F57" s="314" t="s">
        <v>641</v>
      </c>
      <c r="P57" s="331">
        <v>813030000</v>
      </c>
      <c r="Q57" s="331" t="s">
        <v>610</v>
      </c>
      <c r="R57" s="384" t="s">
        <v>879</v>
      </c>
      <c r="S57" s="339"/>
      <c r="T57" s="334"/>
      <c r="U57" s="348"/>
      <c r="V57" s="334"/>
    </row>
    <row r="58" spans="1:22" ht="15">
      <c r="A58" s="336" t="s">
        <v>642</v>
      </c>
      <c r="B58" s="337" t="s">
        <v>643</v>
      </c>
      <c r="C58" s="337" t="s">
        <v>643</v>
      </c>
      <c r="D58" s="337" t="s">
        <v>643</v>
      </c>
      <c r="E58" s="337" t="s">
        <v>644</v>
      </c>
      <c r="F58" s="337" t="s">
        <v>644</v>
      </c>
      <c r="P58" s="331">
        <v>813040000</v>
      </c>
      <c r="Q58" s="331" t="s">
        <v>610</v>
      </c>
      <c r="R58" s="384" t="s">
        <v>880</v>
      </c>
      <c r="S58" s="339"/>
      <c r="T58" s="334"/>
      <c r="U58" s="348"/>
      <c r="V58" s="334"/>
    </row>
    <row r="59" spans="1:22" ht="15">
      <c r="A59" s="336" t="s">
        <v>647</v>
      </c>
      <c r="B59" s="330" t="s">
        <v>648</v>
      </c>
      <c r="C59" s="337" t="s">
        <v>616</v>
      </c>
      <c r="D59" s="337" t="s">
        <v>636</v>
      </c>
      <c r="E59" s="337" t="s">
        <v>649</v>
      </c>
      <c r="F59" s="337" t="s">
        <v>609</v>
      </c>
      <c r="P59" s="331">
        <v>813090000</v>
      </c>
      <c r="Q59" s="331" t="s">
        <v>610</v>
      </c>
      <c r="R59" s="384" t="s">
        <v>881</v>
      </c>
      <c r="S59" s="339"/>
      <c r="T59" s="334"/>
      <c r="U59" s="348">
        <v>34858</v>
      </c>
      <c r="V59" s="334">
        <v>34858</v>
      </c>
    </row>
    <row r="60" spans="1:22" ht="45">
      <c r="A60" s="336" t="s">
        <v>651</v>
      </c>
      <c r="B60" s="330" t="str">
        <f>"I_19,I_29,I_T"</f>
        <v>I_19,I_29,I_T</v>
      </c>
      <c r="C60" s="337" t="s">
        <v>837</v>
      </c>
      <c r="D60" s="330" t="e">
        <f ca="1">EV_CVW($D$1,$C$11)</f>
        <v>#NAME?</v>
      </c>
      <c r="E60" s="330" t="str">
        <f>E56</f>
        <v>811000000,812000000|813000000|ALL(813000000) AND ID&lt;&gt;813100000 AND ID&lt;&gt;813110000 AND ID&lt;&gt;813030000 AND ID&lt;&gt;813040000 AND ID&lt;&gt;813090000|813030000,813040000,813090000|813100000|813110000|814000000|ALL(814000000) AND ID&lt;&gt;814100000 AND ID&lt;&gt;814110000 AND ID&lt;&gt;814030000 AND ID&lt;&gt;814040000 AND ID&lt;&gt;814090000|814030000,814040000,814090000|814100000|814110000|815000000,816000000</v>
      </c>
      <c r="F60" s="330" t="str">
        <f>F56</f>
        <v>M3_NONE|M3_TOTAL|M3_NONE|M3_NONE|M3_40_2_99|M3_40_1_99|M3_TOTAL|M3_NONE|M3_NONE|M3_40_2_99|M3_40_1_99|M3_TOTAL</v>
      </c>
      <c r="P60" s="331">
        <v>813100000</v>
      </c>
      <c r="Q60" s="331" t="s">
        <v>882</v>
      </c>
      <c r="R60" s="385" t="s">
        <v>883</v>
      </c>
      <c r="S60" s="381" t="e">
        <f t="shared" ref="S60:S65" ca="1" si="8">IF(EV_PRO("LEGAL",P60,"FORM")="Ф2","",IF(EV_PRO("LEGAL",P60,"FORM")="#NODATA","",EV_PRO("LEGAL",P60,"FORM")))</f>
        <v>#NAME?</v>
      </c>
      <c r="T60" s="350"/>
      <c r="U60" s="350"/>
      <c r="V60" s="350"/>
    </row>
    <row r="61" spans="1:22" ht="15" hidden="1">
      <c r="A61" s="336" t="s">
        <v>654</v>
      </c>
      <c r="B61" s="337"/>
      <c r="C61" s="337"/>
      <c r="D61" s="337"/>
      <c r="E61" s="337"/>
      <c r="F61" s="337"/>
      <c r="P61" s="331"/>
      <c r="Q61" s="331"/>
      <c r="R61" s="382">
        <v>0</v>
      </c>
      <c r="S61" s="339" t="e">
        <f t="shared" ca="1" si="8"/>
        <v>#NAME?</v>
      </c>
      <c r="T61" s="334"/>
      <c r="U61" s="348"/>
      <c r="V61" s="334"/>
    </row>
    <row r="62" spans="1:22" ht="30">
      <c r="A62" s="336" t="s">
        <v>655</v>
      </c>
      <c r="B62" s="337"/>
      <c r="C62" s="337"/>
      <c r="D62" s="337"/>
      <c r="E62" s="337"/>
      <c r="F62" s="337"/>
      <c r="P62" s="331">
        <v>813110000</v>
      </c>
      <c r="Q62" s="331" t="s">
        <v>884</v>
      </c>
      <c r="R62" s="385" t="s">
        <v>885</v>
      </c>
      <c r="S62" s="381" t="e">
        <f t="shared" ca="1" si="8"/>
        <v>#NAME?</v>
      </c>
      <c r="T62" s="350"/>
      <c r="U62" s="350"/>
      <c r="V62" s="350"/>
    </row>
    <row r="63" spans="1:22" ht="15" hidden="1">
      <c r="A63" s="336" t="s">
        <v>656</v>
      </c>
      <c r="B63" s="337"/>
      <c r="C63" s="337"/>
      <c r="D63" s="337"/>
      <c r="E63" s="337"/>
      <c r="F63" s="337"/>
      <c r="P63" s="331"/>
      <c r="Q63" s="331"/>
      <c r="R63" s="382">
        <v>0</v>
      </c>
      <c r="S63" s="339" t="e">
        <f t="shared" ca="1" si="8"/>
        <v>#NAME?</v>
      </c>
      <c r="T63" s="334"/>
      <c r="U63" s="348"/>
      <c r="V63" s="334"/>
    </row>
    <row r="64" spans="1:22" ht="15">
      <c r="A64" s="336" t="s">
        <v>657</v>
      </c>
      <c r="B64" s="337"/>
      <c r="C64" s="337"/>
      <c r="D64" s="337"/>
      <c r="E64" s="337"/>
      <c r="F64" s="337"/>
      <c r="P64" s="331">
        <v>814000000</v>
      </c>
      <c r="Q64" s="331" t="s">
        <v>653</v>
      </c>
      <c r="R64" s="349" t="s">
        <v>886</v>
      </c>
      <c r="S64" s="381" t="e">
        <f t="shared" ca="1" si="8"/>
        <v>#NAME?</v>
      </c>
      <c r="T64" s="350"/>
      <c r="U64" s="350"/>
      <c r="V64" s="350"/>
    </row>
    <row r="65" spans="16:22" s="310" customFormat="1" hidden="1">
      <c r="P65" s="331"/>
      <c r="Q65" s="331"/>
      <c r="R65" s="382">
        <v>0</v>
      </c>
      <c r="S65" s="339" t="e">
        <f t="shared" ca="1" si="8"/>
        <v>#NAME?</v>
      </c>
      <c r="T65" s="334"/>
      <c r="U65" s="348"/>
      <c r="V65" s="334"/>
    </row>
    <row r="66" spans="16:22" s="310" customFormat="1" ht="15">
      <c r="P66"/>
      <c r="Q66"/>
      <c r="R66" s="383" t="s">
        <v>868</v>
      </c>
      <c r="S66" s="309"/>
    </row>
    <row r="67" spans="16:22" s="310" customFormat="1" ht="25.5">
      <c r="P67" s="331">
        <v>814010000</v>
      </c>
      <c r="Q67" s="331" t="s">
        <v>610</v>
      </c>
      <c r="R67" s="384" t="s">
        <v>869</v>
      </c>
      <c r="S67" s="339" t="e">
        <f t="shared" ref="S67:S72" ca="1" si="9">IF(EV_PRO("LEGAL",P67,"FORM")="Ф2","",IF(EV_PRO("LEGAL",P67,"FORM")="#NODATA","",EV_PRO("LEGAL",P67,"FORM")))</f>
        <v>#NAME?</v>
      </c>
      <c r="T67" s="334"/>
      <c r="U67" s="348"/>
      <c r="V67" s="334"/>
    </row>
    <row r="68" spans="16:22" s="310" customFormat="1" ht="25.5">
      <c r="P68" s="331">
        <v>814020000</v>
      </c>
      <c r="Q68" s="331" t="s">
        <v>610</v>
      </c>
      <c r="R68" s="384" t="s">
        <v>870</v>
      </c>
      <c r="S68" s="339" t="e">
        <f t="shared" ca="1" si="9"/>
        <v>#NAME?</v>
      </c>
      <c r="T68" s="334"/>
      <c r="U68" s="348"/>
      <c r="V68" s="334"/>
    </row>
    <row r="69" spans="16:22" s="310" customFormat="1" ht="25.5">
      <c r="P69" s="331">
        <v>814050000</v>
      </c>
      <c r="Q69" s="331" t="s">
        <v>610</v>
      </c>
      <c r="R69" s="384" t="s">
        <v>871</v>
      </c>
      <c r="S69" s="339" t="e">
        <f t="shared" ca="1" si="9"/>
        <v>#NAME?</v>
      </c>
      <c r="T69" s="334"/>
      <c r="U69" s="348"/>
      <c r="V69" s="334"/>
    </row>
    <row r="70" spans="16:22" s="310" customFormat="1" ht="25.5">
      <c r="P70" s="331">
        <v>814060000</v>
      </c>
      <c r="Q70" s="331" t="s">
        <v>610</v>
      </c>
      <c r="R70" s="384" t="s">
        <v>872</v>
      </c>
      <c r="S70" s="339" t="e">
        <f t="shared" ca="1" si="9"/>
        <v>#NAME?</v>
      </c>
      <c r="T70" s="334"/>
      <c r="U70" s="348"/>
      <c r="V70" s="334"/>
    </row>
    <row r="71" spans="16:22" s="310" customFormat="1" ht="38.25">
      <c r="P71" s="331">
        <v>814070000</v>
      </c>
      <c r="Q71" s="331" t="s">
        <v>610</v>
      </c>
      <c r="R71" s="384" t="s">
        <v>873</v>
      </c>
      <c r="S71" s="339" t="e">
        <f t="shared" ca="1" si="9"/>
        <v>#NAME?</v>
      </c>
      <c r="T71" s="334"/>
      <c r="U71" s="348"/>
      <c r="V71" s="334"/>
    </row>
    <row r="72" spans="16:22" s="310" customFormat="1" ht="25.5">
      <c r="P72" s="331">
        <v>814080000</v>
      </c>
      <c r="Q72" s="331" t="s">
        <v>610</v>
      </c>
      <c r="R72" s="384" t="s">
        <v>874</v>
      </c>
      <c r="S72" s="339" t="e">
        <f t="shared" ca="1" si="9"/>
        <v>#NAME?</v>
      </c>
      <c r="T72" s="334"/>
      <c r="U72" s="348"/>
      <c r="V72" s="334"/>
    </row>
    <row r="73" spans="16:22" s="310" customFormat="1" ht="15">
      <c r="P73"/>
      <c r="Q73"/>
      <c r="R73" s="383" t="s">
        <v>878</v>
      </c>
      <c r="S73" s="309"/>
    </row>
    <row r="74" spans="16:22" s="310" customFormat="1">
      <c r="P74" s="331">
        <v>814030000</v>
      </c>
      <c r="Q74" s="386" t="s">
        <v>610</v>
      </c>
      <c r="R74" s="384" t="s">
        <v>879</v>
      </c>
      <c r="S74" s="339"/>
      <c r="T74" s="334"/>
      <c r="U74" s="348"/>
      <c r="V74" s="334"/>
    </row>
    <row r="75" spans="16:22" s="310" customFormat="1">
      <c r="P75" s="331">
        <v>814040000</v>
      </c>
      <c r="Q75" s="386" t="s">
        <v>610</v>
      </c>
      <c r="R75" s="384" t="s">
        <v>880</v>
      </c>
      <c r="S75" s="339"/>
      <c r="T75" s="334"/>
      <c r="U75" s="348"/>
      <c r="V75" s="334"/>
    </row>
    <row r="76" spans="16:22" s="310" customFormat="1">
      <c r="P76" s="331">
        <v>814090000</v>
      </c>
      <c r="Q76" s="386" t="s">
        <v>610</v>
      </c>
      <c r="R76" s="384" t="s">
        <v>881</v>
      </c>
      <c r="S76" s="339"/>
      <c r="T76" s="334"/>
      <c r="U76" s="348"/>
      <c r="V76" s="334"/>
    </row>
    <row r="77" spans="16:22" s="310" customFormat="1" ht="30">
      <c r="P77" s="331">
        <v>814100000</v>
      </c>
      <c r="Q77" s="331" t="s">
        <v>882</v>
      </c>
      <c r="R77" s="385" t="s">
        <v>887</v>
      </c>
      <c r="S77" s="381" t="e">
        <f t="shared" ref="S77:S83" ca="1" si="10">IF(EV_PRO("LEGAL",P77,"FORM")="Ф2","",IF(EV_PRO("LEGAL",P77,"FORM")="#NODATA","",EV_PRO("LEGAL",P77,"FORM")))</f>
        <v>#NAME?</v>
      </c>
      <c r="T77" s="350"/>
      <c r="U77" s="350"/>
      <c r="V77" s="350"/>
    </row>
    <row r="78" spans="16:22" s="310" customFormat="1" hidden="1">
      <c r="P78" s="331"/>
      <c r="Q78" s="331"/>
      <c r="R78" s="382">
        <v>0</v>
      </c>
      <c r="S78" s="339" t="e">
        <f t="shared" ca="1" si="10"/>
        <v>#NAME?</v>
      </c>
      <c r="T78" s="334"/>
      <c r="U78" s="348"/>
      <c r="V78" s="334"/>
    </row>
    <row r="79" spans="16:22" s="310" customFormat="1" ht="30">
      <c r="P79" s="331">
        <v>814110000</v>
      </c>
      <c r="Q79" s="331" t="s">
        <v>884</v>
      </c>
      <c r="R79" s="385" t="s">
        <v>888</v>
      </c>
      <c r="S79" s="381" t="e">
        <f t="shared" ca="1" si="10"/>
        <v>#NAME?</v>
      </c>
      <c r="T79" s="350"/>
      <c r="U79" s="350"/>
      <c r="V79" s="350"/>
    </row>
    <row r="80" spans="16:22" s="310" customFormat="1" hidden="1">
      <c r="P80" s="331"/>
      <c r="Q80" s="331"/>
      <c r="R80" s="382">
        <v>0</v>
      </c>
      <c r="S80" s="339" t="e">
        <f t="shared" ca="1" si="10"/>
        <v>#NAME?</v>
      </c>
      <c r="T80" s="334"/>
      <c r="U80" s="348"/>
      <c r="V80" s="334"/>
    </row>
    <row r="81" spans="1:22" ht="15">
      <c r="Q81" s="323" t="s">
        <v>645</v>
      </c>
      <c r="R81" s="380" t="s">
        <v>889</v>
      </c>
      <c r="S81" s="381" t="e">
        <f t="shared" ca="1" si="10"/>
        <v>#NAME?</v>
      </c>
      <c r="T81" s="350">
        <f>IF(SUM(T64,T47,T39)=0,"",SUM(T64,T47,T39))</f>
        <v>10054148</v>
      </c>
      <c r="U81" s="350">
        <f t="shared" ref="U81:V81" si="11">IF(SUM(U64,U47,U39)=0,"",SUM(U64,U47,U39))</f>
        <v>-20263163</v>
      </c>
      <c r="V81" s="350">
        <f t="shared" si="11"/>
        <v>-18535187.330559999</v>
      </c>
    </row>
    <row r="82" spans="1:22" ht="30">
      <c r="P82" s="331">
        <v>815000000</v>
      </c>
      <c r="Q82" s="331" t="s">
        <v>653</v>
      </c>
      <c r="R82" s="380" t="s">
        <v>890</v>
      </c>
      <c r="S82" s="381" t="e">
        <f t="shared" ca="1" si="10"/>
        <v>#NAME?</v>
      </c>
      <c r="T82" s="350">
        <v>10054148</v>
      </c>
      <c r="U82" s="350">
        <v>-27240137.221670002</v>
      </c>
      <c r="V82" s="350">
        <v>-17185989.221670002</v>
      </c>
    </row>
    <row r="83" spans="1:22" ht="30">
      <c r="P83" s="331">
        <v>816000000</v>
      </c>
      <c r="Q83" s="331" t="s">
        <v>653</v>
      </c>
      <c r="R83" s="380" t="s">
        <v>891</v>
      </c>
      <c r="S83" s="381" t="e">
        <f t="shared" ca="1" si="10"/>
        <v>#NAME?</v>
      </c>
      <c r="T83" s="350"/>
      <c r="U83" s="350">
        <v>-291802</v>
      </c>
      <c r="V83" s="350">
        <v>-291802</v>
      </c>
    </row>
    <row r="85" spans="1:22" ht="25.5" customHeight="1">
      <c r="A85" s="356" t="s">
        <v>706</v>
      </c>
      <c r="B85" s="357" t="s">
        <v>707</v>
      </c>
      <c r="C85" s="357" t="s">
        <v>708</v>
      </c>
      <c r="D85" s="357" t="s">
        <v>709</v>
      </c>
      <c r="E85" s="357" t="s">
        <v>710</v>
      </c>
      <c r="F85" s="358" t="s">
        <v>711</v>
      </c>
      <c r="R85" s="354" t="s">
        <v>699</v>
      </c>
    </row>
    <row r="86" spans="1:22" ht="31.5" customHeight="1">
      <c r="A86" s="359"/>
      <c r="B86" s="360"/>
      <c r="C86" s="360"/>
      <c r="D86" s="360"/>
      <c r="E86" s="360"/>
      <c r="F86" s="361"/>
      <c r="R86" s="354" t="s">
        <v>701</v>
      </c>
    </row>
    <row r="87" spans="1:22">
      <c r="A87" s="362" t="s">
        <v>712</v>
      </c>
      <c r="B87" s="342"/>
      <c r="C87" s="363">
        <v>342</v>
      </c>
      <c r="D87" s="342" t="s">
        <v>713</v>
      </c>
      <c r="E87" s="342"/>
      <c r="F87" s="364" t="s">
        <v>714</v>
      </c>
    </row>
    <row r="88" spans="1:22">
      <c r="A88" s="362"/>
      <c r="B88" s="342"/>
      <c r="C88" s="342"/>
      <c r="D88" s="342"/>
      <c r="E88" s="342"/>
      <c r="F88" s="364"/>
    </row>
    <row r="89" spans="1:22">
      <c r="A89" s="362" t="s">
        <v>712</v>
      </c>
      <c r="B89" s="342" t="s">
        <v>644</v>
      </c>
      <c r="C89" s="382">
        <v>12345</v>
      </c>
      <c r="D89" s="342"/>
      <c r="E89" s="342"/>
      <c r="F89" s="364" t="s">
        <v>716</v>
      </c>
    </row>
    <row r="90" spans="1:22">
      <c r="A90" s="362"/>
      <c r="B90" s="342"/>
      <c r="C90" s="342"/>
      <c r="D90" s="342"/>
      <c r="E90" s="342"/>
      <c r="F90" s="364"/>
    </row>
    <row r="91" spans="1:22" ht="15">
      <c r="A91" s="362" t="s">
        <v>717</v>
      </c>
      <c r="B91" s="366" t="s">
        <v>644</v>
      </c>
      <c r="C91" s="353" t="s">
        <v>718</v>
      </c>
      <c r="D91" s="365"/>
      <c r="E91" s="365"/>
      <c r="F91" s="367" t="s">
        <v>716</v>
      </c>
    </row>
    <row r="92" spans="1:22">
      <c r="A92" s="362"/>
      <c r="B92" s="342"/>
      <c r="C92" s="342"/>
      <c r="D92" s="342"/>
      <c r="E92" s="342"/>
      <c r="F92" s="364"/>
    </row>
    <row r="93" spans="1:22" ht="15">
      <c r="A93" s="362" t="s">
        <v>712</v>
      </c>
      <c r="B93" s="342" t="s">
        <v>643</v>
      </c>
      <c r="C93" s="379">
        <v>12345</v>
      </c>
      <c r="D93" s="342"/>
      <c r="E93" s="342"/>
      <c r="F93" s="364" t="s">
        <v>716</v>
      </c>
    </row>
    <row r="94" spans="1:22">
      <c r="A94" s="362"/>
      <c r="B94" s="342"/>
      <c r="C94" s="342"/>
      <c r="D94" s="342"/>
      <c r="E94" s="342"/>
      <c r="F94" s="364"/>
    </row>
    <row r="95" spans="1:22">
      <c r="A95" s="362"/>
      <c r="B95" s="342"/>
      <c r="C95" s="342"/>
      <c r="D95" s="342"/>
      <c r="E95" s="342"/>
      <c r="F95" s="364"/>
    </row>
    <row r="96" spans="1:22">
      <c r="A96" s="362" t="s">
        <v>719</v>
      </c>
      <c r="B96" s="342"/>
      <c r="C96" s="368"/>
      <c r="D96" s="342" t="s">
        <v>720</v>
      </c>
      <c r="E96" s="342"/>
      <c r="F96" s="364" t="s">
        <v>721</v>
      </c>
    </row>
    <row r="97" spans="1:13" s="310" customFormat="1">
      <c r="A97" s="362"/>
      <c r="B97" s="342"/>
      <c r="C97" s="342"/>
      <c r="D97" s="342"/>
      <c r="E97" s="342"/>
      <c r="F97" s="364"/>
      <c r="G97"/>
      <c r="H97"/>
      <c r="I97"/>
      <c r="J97"/>
      <c r="K97"/>
      <c r="L97"/>
      <c r="M97"/>
    </row>
    <row r="98" spans="1:13" s="310" customFormat="1">
      <c r="A98" s="362" t="s">
        <v>712</v>
      </c>
      <c r="B98" s="342"/>
      <c r="C98" s="348">
        <v>12345</v>
      </c>
      <c r="D98" s="342"/>
      <c r="E98" s="342"/>
      <c r="F98" s="364" t="s">
        <v>721</v>
      </c>
      <c r="G98"/>
      <c r="H98"/>
      <c r="I98"/>
      <c r="J98"/>
      <c r="K98"/>
      <c r="L98"/>
      <c r="M98"/>
    </row>
    <row r="99" spans="1:13" s="310" customFormat="1">
      <c r="A99" s="362"/>
      <c r="B99" s="342"/>
      <c r="C99" s="342"/>
      <c r="D99" s="342"/>
      <c r="E99" s="342"/>
      <c r="F99" s="364"/>
      <c r="G99"/>
      <c r="H99"/>
      <c r="I99"/>
      <c r="J99"/>
      <c r="K99"/>
      <c r="L99"/>
      <c r="M99"/>
    </row>
    <row r="100" spans="1:13" s="310" customFormat="1">
      <c r="A100" s="362" t="s">
        <v>717</v>
      </c>
      <c r="B100" s="342"/>
      <c r="C100" s="334">
        <v>12345</v>
      </c>
      <c r="D100" s="342"/>
      <c r="E100" s="342"/>
      <c r="F100" s="364" t="s">
        <v>721</v>
      </c>
      <c r="G100"/>
      <c r="H100"/>
      <c r="I100"/>
      <c r="J100"/>
      <c r="K100"/>
      <c r="L100"/>
      <c r="M100"/>
    </row>
    <row r="101" spans="1:13" s="310" customFormat="1">
      <c r="A101" s="362" t="e">
        <f ca="1">"TIME.ID="&amp;PreviousPeriod</f>
        <v>#NAME?</v>
      </c>
      <c r="B101" s="342" t="s">
        <v>643</v>
      </c>
      <c r="C101" s="369">
        <v>12345</v>
      </c>
      <c r="D101" s="342"/>
      <c r="E101" s="342"/>
      <c r="F101" s="364" t="s">
        <v>721</v>
      </c>
      <c r="G101"/>
      <c r="H101"/>
      <c r="I101"/>
      <c r="J101"/>
      <c r="K101"/>
      <c r="L101"/>
      <c r="M101"/>
    </row>
    <row r="102" spans="1:13" s="310" customFormat="1" ht="15">
      <c r="A102" s="362" t="s">
        <v>717</v>
      </c>
      <c r="B102" s="366" t="s">
        <v>644</v>
      </c>
      <c r="C102" s="350">
        <v>12345</v>
      </c>
      <c r="D102" s="365"/>
      <c r="E102" s="365"/>
      <c r="F102" s="367" t="s">
        <v>721</v>
      </c>
      <c r="G102"/>
      <c r="H102"/>
      <c r="I102"/>
      <c r="J102"/>
      <c r="K102"/>
      <c r="L102"/>
      <c r="M102"/>
    </row>
    <row r="103" spans="1:13" s="310" customFormat="1">
      <c r="A103" s="311" t="s">
        <v>892</v>
      </c>
      <c r="B103" s="311" t="s">
        <v>643</v>
      </c>
      <c r="C103" s="348">
        <v>12345</v>
      </c>
      <c r="D103" s="311"/>
      <c r="E103" s="311"/>
      <c r="F103" s="311" t="s">
        <v>721</v>
      </c>
      <c r="G103"/>
      <c r="H103"/>
      <c r="I103"/>
      <c r="J103"/>
      <c r="K103"/>
      <c r="L103"/>
      <c r="M103"/>
    </row>
    <row r="104" spans="1:13" s="310" customFormat="1">
      <c r="A104" s="311" t="e">
        <f ca="1">"TIME.ID="&amp;PreviousPeriod&amp;" AND INTCO.ID=I_29"</f>
        <v>#NAME?</v>
      </c>
      <c r="B104" s="311" t="s">
        <v>643</v>
      </c>
      <c r="C104" s="334">
        <v>12345</v>
      </c>
      <c r="D104" s="311"/>
      <c r="E104" s="311"/>
      <c r="F104" s="311" t="s">
        <v>721</v>
      </c>
      <c r="G104"/>
      <c r="H104"/>
      <c r="I104"/>
      <c r="J104"/>
      <c r="K104"/>
      <c r="L104"/>
      <c r="M104"/>
    </row>
    <row r="105" spans="1:13" s="310" customFormat="1">
      <c r="A105" s="311" t="s">
        <v>893</v>
      </c>
      <c r="B105" s="311" t="s">
        <v>643</v>
      </c>
      <c r="C105" s="334">
        <v>12345</v>
      </c>
      <c r="D105" s="311"/>
      <c r="E105" s="311"/>
      <c r="F105" s="311" t="s">
        <v>721</v>
      </c>
      <c r="G105"/>
      <c r="H105"/>
      <c r="I105"/>
      <c r="J105"/>
      <c r="K105"/>
      <c r="L105"/>
      <c r="M105"/>
    </row>
    <row r="107" spans="1:13" s="310" customFormat="1" ht="15">
      <c r="A107" s="311" t="s">
        <v>717</v>
      </c>
      <c r="B107" s="366" t="s">
        <v>644</v>
      </c>
      <c r="C107" s="350">
        <v>12345</v>
      </c>
      <c r="D107" s="365"/>
      <c r="E107" s="365"/>
      <c r="F107" s="367" t="s">
        <v>721</v>
      </c>
      <c r="G107"/>
      <c r="H107"/>
      <c r="I107"/>
      <c r="J107"/>
      <c r="K107"/>
      <c r="L107"/>
      <c r="M107"/>
    </row>
    <row r="108" spans="1:13" s="310" customFormat="1" ht="15">
      <c r="A108" s="311" t="s">
        <v>717</v>
      </c>
      <c r="B108" s="366" t="s">
        <v>644</v>
      </c>
      <c r="C108" s="349" t="s">
        <v>718</v>
      </c>
      <c r="D108" s="365"/>
      <c r="E108" s="365"/>
      <c r="F108" s="367" t="s">
        <v>716</v>
      </c>
      <c r="G108"/>
      <c r="H108"/>
      <c r="I108"/>
      <c r="J108"/>
      <c r="K108"/>
      <c r="L108"/>
      <c r="M108"/>
    </row>
    <row r="109" spans="1:13" s="310" customFormat="1">
      <c r="A109" s="311" t="s">
        <v>731</v>
      </c>
      <c r="B109" s="311"/>
      <c r="C109" s="376">
        <v>12345</v>
      </c>
      <c r="D109" s="311" t="s">
        <v>732</v>
      </c>
      <c r="E109" s="311"/>
      <c r="F109" s="311" t="s">
        <v>721</v>
      </c>
      <c r="G109"/>
      <c r="H109"/>
      <c r="I109"/>
      <c r="J109"/>
      <c r="K109"/>
      <c r="L109"/>
      <c r="M109"/>
    </row>
    <row r="110" spans="1:13" s="310" customFormat="1">
      <c r="A110" s="311" t="s">
        <v>723</v>
      </c>
      <c r="B110" s="366" t="s">
        <v>644</v>
      </c>
      <c r="C110" s="387" t="s">
        <v>718</v>
      </c>
      <c r="D110" s="311" t="s">
        <v>724</v>
      </c>
      <c r="E110" s="311"/>
      <c r="F110" s="311" t="s">
        <v>716</v>
      </c>
      <c r="G110"/>
      <c r="H110"/>
      <c r="I110"/>
      <c r="J110"/>
      <c r="K110"/>
      <c r="L110"/>
      <c r="M110"/>
    </row>
    <row r="111" spans="1:13" s="310" customFormat="1">
      <c r="A111" s="311" t="s">
        <v>725</v>
      </c>
      <c r="B111" s="366" t="s">
        <v>644</v>
      </c>
      <c r="C111" s="388" t="s">
        <v>718</v>
      </c>
      <c r="D111" s="311" t="s">
        <v>724</v>
      </c>
      <c r="E111" s="311"/>
      <c r="F111" s="311" t="s">
        <v>716</v>
      </c>
      <c r="G111"/>
      <c r="H111"/>
      <c r="I111"/>
      <c r="J111"/>
      <c r="K111"/>
      <c r="L111"/>
      <c r="M111" s="352" t="s">
        <v>894</v>
      </c>
    </row>
    <row r="112" spans="1:13" s="310" customFormat="1">
      <c r="A112" s="311" t="s">
        <v>726</v>
      </c>
      <c r="B112" s="366" t="s">
        <v>644</v>
      </c>
      <c r="C112" s="389" t="s">
        <v>718</v>
      </c>
      <c r="D112" s="311" t="s">
        <v>724</v>
      </c>
      <c r="E112" s="311"/>
      <c r="F112" s="311" t="s">
        <v>716</v>
      </c>
      <c r="G112"/>
      <c r="H112"/>
      <c r="I112"/>
      <c r="J112"/>
      <c r="K112"/>
      <c r="L112"/>
      <c r="M112" s="352" t="s">
        <v>895</v>
      </c>
    </row>
    <row r="113" spans="1:6" s="310" customFormat="1">
      <c r="A113" s="311" t="s">
        <v>727</v>
      </c>
      <c r="B113" s="366" t="s">
        <v>644</v>
      </c>
      <c r="C113" s="390" t="s">
        <v>718</v>
      </c>
      <c r="D113" s="311" t="s">
        <v>724</v>
      </c>
      <c r="E113" s="311"/>
      <c r="F113" s="311" t="s">
        <v>716</v>
      </c>
    </row>
    <row r="114" spans="1:6" s="310" customFormat="1">
      <c r="A114" s="311" t="s">
        <v>728</v>
      </c>
      <c r="B114" s="366" t="s">
        <v>644</v>
      </c>
      <c r="C114" s="391" t="s">
        <v>718</v>
      </c>
      <c r="D114" s="311" t="s">
        <v>724</v>
      </c>
      <c r="E114" s="311"/>
      <c r="F114" s="311" t="s">
        <v>716</v>
      </c>
    </row>
    <row r="115" spans="1:6" s="310" customFormat="1">
      <c r="A115" s="311" t="s">
        <v>729</v>
      </c>
      <c r="B115" s="366" t="s">
        <v>644</v>
      </c>
      <c r="C115" s="392" t="s">
        <v>718</v>
      </c>
      <c r="D115" s="311" t="s">
        <v>724</v>
      </c>
      <c r="E115" s="311"/>
      <c r="F115" s="311" t="s">
        <v>716</v>
      </c>
    </row>
    <row r="116" spans="1:6" s="310" customFormat="1">
      <c r="A116" s="311"/>
      <c r="B116" s="311"/>
      <c r="C116" s="355"/>
      <c r="D116" s="342"/>
      <c r="E116" s="311"/>
      <c r="F116" s="311"/>
    </row>
    <row r="117" spans="1:6" s="310" customFormat="1" ht="15">
      <c r="A117" s="311" t="s">
        <v>896</v>
      </c>
      <c r="B117" s="311"/>
      <c r="C117" s="340"/>
      <c r="D117" s="311"/>
      <c r="E117" s="311"/>
      <c r="F117" s="311" t="s">
        <v>721</v>
      </c>
    </row>
    <row r="118" spans="1:6" s="310" customFormat="1" ht="15">
      <c r="A118" s="311" t="s">
        <v>897</v>
      </c>
      <c r="B118" s="311"/>
      <c r="C118" s="340"/>
      <c r="D118" s="311"/>
      <c r="E118" s="311"/>
      <c r="F118" s="311" t="s">
        <v>721</v>
      </c>
    </row>
    <row r="119" spans="1:6" s="310" customFormat="1" ht="15">
      <c r="A119" s="311" t="s">
        <v>898</v>
      </c>
      <c r="B119" s="311"/>
      <c r="C119" s="340"/>
      <c r="D119" s="311"/>
      <c r="E119" s="311"/>
      <c r="F119" s="311" t="s">
        <v>721</v>
      </c>
    </row>
    <row r="120" spans="1:6" s="310" customFormat="1" ht="15">
      <c r="A120" s="311" t="s">
        <v>899</v>
      </c>
      <c r="B120" s="311"/>
      <c r="C120" s="340"/>
      <c r="D120" s="311"/>
      <c r="E120" s="311"/>
      <c r="F120" s="311" t="s">
        <v>721</v>
      </c>
    </row>
    <row r="121" spans="1:6" s="310" customFormat="1" ht="15">
      <c r="A121" s="311" t="s">
        <v>900</v>
      </c>
      <c r="B121" s="311"/>
      <c r="C121" s="340"/>
      <c r="D121" s="311"/>
      <c r="E121" s="311"/>
      <c r="F121" s="311" t="s">
        <v>721</v>
      </c>
    </row>
    <row r="122" spans="1:6" s="310" customFormat="1">
      <c r="A122" s="311"/>
      <c r="B122" s="311"/>
      <c r="C122" s="355"/>
      <c r="D122" s="342"/>
      <c r="E122" s="311"/>
      <c r="F122" s="311"/>
    </row>
    <row r="138" spans="1:2" s="310" customFormat="1">
      <c r="A138"/>
      <c r="B138" t="s">
        <v>619</v>
      </c>
    </row>
    <row r="139" spans="1:2" s="310" customFormat="1">
      <c r="A139"/>
      <c r="B139"/>
    </row>
    <row r="140" spans="1:2" s="310" customFormat="1">
      <c r="A140" s="311"/>
      <c r="B140" s="319" t="e">
        <f ca="1">EV_EXP("LEGAL",B138,B142:B198,A142:A198,TRUE,"EVALL",,,)</f>
        <v>#NAME?</v>
      </c>
    </row>
    <row r="141" spans="1:2" s="310" customFormat="1">
      <c r="A141" s="393" t="s">
        <v>901</v>
      </c>
      <c r="B141" s="393" t="s">
        <v>902</v>
      </c>
    </row>
    <row r="142" spans="1:2" s="310" customFormat="1">
      <c r="A142" s="394" t="e">
        <f t="shared" ref="A142:A173" ca="1" si="12">IF(EV_DES(B142,$I$2)="#NODATA","",EV_DES(B142,$I$2))</f>
        <v>#NAME?</v>
      </c>
      <c r="B142" s="395" t="s">
        <v>903</v>
      </c>
    </row>
    <row r="143" spans="1:2" s="310" customFormat="1">
      <c r="A143" s="394" t="e">
        <f t="shared" ca="1" si="12"/>
        <v>#NAME?</v>
      </c>
      <c r="B143" s="395" t="s">
        <v>904</v>
      </c>
    </row>
    <row r="144" spans="1:2" s="310" customFormat="1">
      <c r="A144" s="394" t="e">
        <f t="shared" ca="1" si="12"/>
        <v>#NAME?</v>
      </c>
      <c r="B144" s="395" t="s">
        <v>905</v>
      </c>
    </row>
    <row r="145" spans="1:2" s="310" customFormat="1">
      <c r="A145" s="394" t="e">
        <f t="shared" ca="1" si="12"/>
        <v>#NAME?</v>
      </c>
      <c r="B145" s="395" t="s">
        <v>906</v>
      </c>
    </row>
    <row r="146" spans="1:2" s="310" customFormat="1">
      <c r="A146" s="394" t="e">
        <f t="shared" ca="1" si="12"/>
        <v>#NAME?</v>
      </c>
      <c r="B146" s="395" t="s">
        <v>907</v>
      </c>
    </row>
    <row r="147" spans="1:2" s="310" customFormat="1">
      <c r="A147" s="394" t="e">
        <f t="shared" ca="1" si="12"/>
        <v>#NAME?</v>
      </c>
      <c r="B147" s="395" t="s">
        <v>908</v>
      </c>
    </row>
    <row r="148" spans="1:2" s="310" customFormat="1">
      <c r="A148" s="394" t="e">
        <f t="shared" ca="1" si="12"/>
        <v>#NAME?</v>
      </c>
      <c r="B148" s="395" t="s">
        <v>909</v>
      </c>
    </row>
    <row r="149" spans="1:2" s="310" customFormat="1">
      <c r="A149" s="394" t="e">
        <f t="shared" ca="1" si="12"/>
        <v>#NAME?</v>
      </c>
      <c r="B149" s="395" t="s">
        <v>910</v>
      </c>
    </row>
    <row r="150" spans="1:2" s="310" customFormat="1">
      <c r="A150" s="394" t="e">
        <f t="shared" ca="1" si="12"/>
        <v>#NAME?</v>
      </c>
      <c r="B150" s="395" t="s">
        <v>911</v>
      </c>
    </row>
    <row r="151" spans="1:2" s="310" customFormat="1">
      <c r="A151" s="394" t="e">
        <f t="shared" ca="1" si="12"/>
        <v>#NAME?</v>
      </c>
      <c r="B151" s="395" t="s">
        <v>912</v>
      </c>
    </row>
    <row r="152" spans="1:2" s="310" customFormat="1">
      <c r="A152" s="394" t="e">
        <f t="shared" ca="1" si="12"/>
        <v>#NAME?</v>
      </c>
      <c r="B152" s="395" t="s">
        <v>913</v>
      </c>
    </row>
    <row r="153" spans="1:2" s="310" customFormat="1">
      <c r="A153" s="394" t="e">
        <f t="shared" ca="1" si="12"/>
        <v>#NAME?</v>
      </c>
      <c r="B153" s="395" t="s">
        <v>914</v>
      </c>
    </row>
    <row r="154" spans="1:2" s="310" customFormat="1">
      <c r="A154" s="394" t="e">
        <f t="shared" ca="1" si="12"/>
        <v>#NAME?</v>
      </c>
      <c r="B154" s="395" t="s">
        <v>915</v>
      </c>
    </row>
    <row r="155" spans="1:2" s="310" customFormat="1">
      <c r="A155" s="394" t="e">
        <f t="shared" ca="1" si="12"/>
        <v>#NAME?</v>
      </c>
      <c r="B155" s="395" t="s">
        <v>916</v>
      </c>
    </row>
    <row r="156" spans="1:2" s="310" customFormat="1">
      <c r="A156" s="394" t="e">
        <f t="shared" ca="1" si="12"/>
        <v>#NAME?</v>
      </c>
      <c r="B156" s="395" t="s">
        <v>917</v>
      </c>
    </row>
    <row r="157" spans="1:2" s="310" customFormat="1">
      <c r="A157" s="394" t="e">
        <f t="shared" ca="1" si="12"/>
        <v>#NAME?</v>
      </c>
      <c r="B157" s="395" t="s">
        <v>918</v>
      </c>
    </row>
    <row r="158" spans="1:2" s="310" customFormat="1">
      <c r="A158" s="394" t="e">
        <f t="shared" ca="1" si="12"/>
        <v>#NAME?</v>
      </c>
      <c r="B158" s="395" t="s">
        <v>919</v>
      </c>
    </row>
    <row r="159" spans="1:2" s="310" customFormat="1">
      <c r="A159" s="394" t="e">
        <f t="shared" ca="1" si="12"/>
        <v>#NAME?</v>
      </c>
      <c r="B159" s="395" t="s">
        <v>920</v>
      </c>
    </row>
    <row r="160" spans="1:2" s="310" customFormat="1">
      <c r="A160" s="394" t="e">
        <f t="shared" ca="1" si="12"/>
        <v>#NAME?</v>
      </c>
      <c r="B160" s="395" t="s">
        <v>921</v>
      </c>
    </row>
    <row r="161" spans="1:2" s="310" customFormat="1">
      <c r="A161" s="394" t="e">
        <f t="shared" ca="1" si="12"/>
        <v>#NAME?</v>
      </c>
      <c r="B161" s="395" t="s">
        <v>922</v>
      </c>
    </row>
    <row r="162" spans="1:2" s="310" customFormat="1">
      <c r="A162" s="394" t="e">
        <f t="shared" ca="1" si="12"/>
        <v>#NAME?</v>
      </c>
      <c r="B162" s="395" t="s">
        <v>923</v>
      </c>
    </row>
    <row r="163" spans="1:2" s="310" customFormat="1">
      <c r="A163" s="394" t="e">
        <f t="shared" ca="1" si="12"/>
        <v>#NAME?</v>
      </c>
      <c r="B163" s="395" t="s">
        <v>924</v>
      </c>
    </row>
    <row r="164" spans="1:2" s="310" customFormat="1">
      <c r="A164" s="394" t="e">
        <f t="shared" ca="1" si="12"/>
        <v>#NAME?</v>
      </c>
      <c r="B164" s="395" t="s">
        <v>925</v>
      </c>
    </row>
    <row r="165" spans="1:2" s="310" customFormat="1">
      <c r="A165" s="394" t="e">
        <f t="shared" ca="1" si="12"/>
        <v>#NAME?</v>
      </c>
      <c r="B165" s="395" t="s">
        <v>926</v>
      </c>
    </row>
    <row r="166" spans="1:2" s="310" customFormat="1">
      <c r="A166" s="394" t="e">
        <f t="shared" ca="1" si="12"/>
        <v>#NAME?</v>
      </c>
      <c r="B166" s="395" t="s">
        <v>927</v>
      </c>
    </row>
    <row r="167" spans="1:2" s="310" customFormat="1">
      <c r="A167" s="394" t="e">
        <f t="shared" ca="1" si="12"/>
        <v>#NAME?</v>
      </c>
      <c r="B167" s="395" t="s">
        <v>928</v>
      </c>
    </row>
    <row r="168" spans="1:2" s="310" customFormat="1">
      <c r="A168" s="394" t="e">
        <f t="shared" ca="1" si="12"/>
        <v>#NAME?</v>
      </c>
      <c r="B168" s="395" t="s">
        <v>929</v>
      </c>
    </row>
    <row r="169" spans="1:2" s="310" customFormat="1">
      <c r="A169" s="394" t="e">
        <f t="shared" ca="1" si="12"/>
        <v>#NAME?</v>
      </c>
      <c r="B169" s="395" t="s">
        <v>930</v>
      </c>
    </row>
    <row r="170" spans="1:2" s="310" customFormat="1">
      <c r="A170" s="394" t="e">
        <f t="shared" ca="1" si="12"/>
        <v>#NAME?</v>
      </c>
      <c r="B170" s="395" t="s">
        <v>931</v>
      </c>
    </row>
    <row r="171" spans="1:2" s="310" customFormat="1">
      <c r="A171" s="394" t="e">
        <f t="shared" ca="1" si="12"/>
        <v>#NAME?</v>
      </c>
      <c r="B171" s="395" t="s">
        <v>932</v>
      </c>
    </row>
    <row r="172" spans="1:2" s="310" customFormat="1">
      <c r="A172" s="394" t="e">
        <f t="shared" ca="1" si="12"/>
        <v>#NAME?</v>
      </c>
      <c r="B172" s="395" t="s">
        <v>933</v>
      </c>
    </row>
    <row r="173" spans="1:2" s="310" customFormat="1">
      <c r="A173" s="394" t="e">
        <f t="shared" ca="1" si="12"/>
        <v>#NAME?</v>
      </c>
      <c r="B173" s="395" t="s">
        <v>934</v>
      </c>
    </row>
    <row r="174" spans="1:2" s="310" customFormat="1">
      <c r="A174" s="394" t="e">
        <f t="shared" ref="A174:A198" ca="1" si="13">IF(EV_DES(B174,$I$2)="#NODATA","",EV_DES(B174,$I$2))</f>
        <v>#NAME?</v>
      </c>
      <c r="B174" s="395" t="s">
        <v>935</v>
      </c>
    </row>
    <row r="175" spans="1:2" s="310" customFormat="1">
      <c r="A175" s="394" t="e">
        <f t="shared" ca="1" si="13"/>
        <v>#NAME?</v>
      </c>
      <c r="B175" s="395" t="s">
        <v>936</v>
      </c>
    </row>
    <row r="176" spans="1:2" s="310" customFormat="1">
      <c r="A176" s="394" t="e">
        <f t="shared" ca="1" si="13"/>
        <v>#NAME?</v>
      </c>
      <c r="B176" s="395" t="s">
        <v>937</v>
      </c>
    </row>
    <row r="177" spans="1:2" s="310" customFormat="1">
      <c r="A177" s="394" t="e">
        <f t="shared" ca="1" si="13"/>
        <v>#NAME?</v>
      </c>
      <c r="B177" s="395" t="s">
        <v>938</v>
      </c>
    </row>
    <row r="178" spans="1:2" s="310" customFormat="1">
      <c r="A178" s="394" t="e">
        <f t="shared" ca="1" si="13"/>
        <v>#NAME?</v>
      </c>
      <c r="B178" s="395" t="s">
        <v>939</v>
      </c>
    </row>
    <row r="179" spans="1:2" s="310" customFormat="1">
      <c r="A179" s="394" t="e">
        <f t="shared" ca="1" si="13"/>
        <v>#NAME?</v>
      </c>
      <c r="B179" s="395" t="s">
        <v>940</v>
      </c>
    </row>
    <row r="180" spans="1:2" s="310" customFormat="1">
      <c r="A180" s="394" t="e">
        <f t="shared" ca="1" si="13"/>
        <v>#NAME?</v>
      </c>
      <c r="B180" s="395" t="s">
        <v>941</v>
      </c>
    </row>
    <row r="181" spans="1:2" s="310" customFormat="1">
      <c r="A181" s="394" t="e">
        <f t="shared" ca="1" si="13"/>
        <v>#NAME?</v>
      </c>
      <c r="B181" s="395" t="s">
        <v>942</v>
      </c>
    </row>
    <row r="182" spans="1:2" s="310" customFormat="1">
      <c r="A182" s="394" t="e">
        <f t="shared" ca="1" si="13"/>
        <v>#NAME?</v>
      </c>
      <c r="B182" s="395" t="s">
        <v>943</v>
      </c>
    </row>
    <row r="183" spans="1:2" s="310" customFormat="1">
      <c r="A183" s="394" t="e">
        <f t="shared" ca="1" si="13"/>
        <v>#NAME?</v>
      </c>
      <c r="B183" s="395" t="s">
        <v>944</v>
      </c>
    </row>
    <row r="184" spans="1:2" s="310" customFormat="1">
      <c r="A184" s="394" t="e">
        <f t="shared" ca="1" si="13"/>
        <v>#NAME?</v>
      </c>
      <c r="B184" s="395" t="s">
        <v>945</v>
      </c>
    </row>
    <row r="185" spans="1:2" s="310" customFormat="1">
      <c r="A185" s="394" t="e">
        <f t="shared" ca="1" si="13"/>
        <v>#NAME?</v>
      </c>
      <c r="B185" s="395" t="s">
        <v>946</v>
      </c>
    </row>
    <row r="186" spans="1:2" s="310" customFormat="1">
      <c r="A186" s="394" t="e">
        <f t="shared" ca="1" si="13"/>
        <v>#NAME?</v>
      </c>
      <c r="B186" s="395" t="s">
        <v>947</v>
      </c>
    </row>
    <row r="187" spans="1:2" s="310" customFormat="1">
      <c r="A187" s="394" t="e">
        <f t="shared" ca="1" si="13"/>
        <v>#NAME?</v>
      </c>
      <c r="B187" s="395" t="s">
        <v>948</v>
      </c>
    </row>
    <row r="188" spans="1:2" s="310" customFormat="1">
      <c r="A188" s="394" t="e">
        <f t="shared" ca="1" si="13"/>
        <v>#NAME?</v>
      </c>
      <c r="B188" s="395" t="s">
        <v>949</v>
      </c>
    </row>
    <row r="189" spans="1:2" s="310" customFormat="1">
      <c r="A189" s="394" t="e">
        <f t="shared" ca="1" si="13"/>
        <v>#NAME?</v>
      </c>
      <c r="B189" s="395" t="s">
        <v>950</v>
      </c>
    </row>
    <row r="190" spans="1:2" s="310" customFormat="1">
      <c r="A190" s="394" t="e">
        <f t="shared" ca="1" si="13"/>
        <v>#NAME?</v>
      </c>
      <c r="B190" s="395" t="s">
        <v>951</v>
      </c>
    </row>
    <row r="191" spans="1:2" s="310" customFormat="1">
      <c r="A191" s="394" t="e">
        <f t="shared" ca="1" si="13"/>
        <v>#NAME?</v>
      </c>
      <c r="B191" s="395" t="s">
        <v>952</v>
      </c>
    </row>
    <row r="192" spans="1:2" s="310" customFormat="1">
      <c r="A192" s="394" t="e">
        <f t="shared" ca="1" si="13"/>
        <v>#NAME?</v>
      </c>
      <c r="B192" s="395" t="s">
        <v>953</v>
      </c>
    </row>
    <row r="193" spans="1:2" s="310" customFormat="1">
      <c r="A193" s="394" t="e">
        <f t="shared" ca="1" si="13"/>
        <v>#NAME?</v>
      </c>
      <c r="B193" s="395" t="s">
        <v>954</v>
      </c>
    </row>
    <row r="194" spans="1:2" s="310" customFormat="1">
      <c r="A194" s="394" t="e">
        <f t="shared" ca="1" si="13"/>
        <v>#NAME?</v>
      </c>
      <c r="B194" s="395" t="s">
        <v>955</v>
      </c>
    </row>
    <row r="195" spans="1:2" s="310" customFormat="1">
      <c r="A195" s="394" t="e">
        <f t="shared" ca="1" si="13"/>
        <v>#NAME?</v>
      </c>
      <c r="B195" s="395" t="s">
        <v>956</v>
      </c>
    </row>
    <row r="196" spans="1:2" s="310" customFormat="1">
      <c r="A196" s="394" t="e">
        <f t="shared" ca="1" si="13"/>
        <v>#NAME?</v>
      </c>
      <c r="B196" s="395" t="s">
        <v>957</v>
      </c>
    </row>
    <row r="197" spans="1:2" s="310" customFormat="1">
      <c r="A197" s="394" t="e">
        <f t="shared" ca="1" si="13"/>
        <v>#NAME?</v>
      </c>
      <c r="B197" s="395" t="s">
        <v>958</v>
      </c>
    </row>
    <row r="198" spans="1:2" s="310" customFormat="1">
      <c r="A198" s="394" t="e">
        <f t="shared" ca="1" si="13"/>
        <v>#NAME?</v>
      </c>
      <c r="B198" s="395" t="s">
        <v>841</v>
      </c>
    </row>
  </sheetData>
  <mergeCells count="1">
    <mergeCell ref="T10:V10"/>
  </mergeCells>
  <dataValidations disablePrompts="1" count="2">
    <dataValidation type="list" allowBlank="1" sqref="B16:F16 B59:F59">
      <formula1>"C_ACCT,C_CATEGORY,C_DATATS,C_ENTITY,C_M003,C_M004,C_M005,FLOW,GROUPS,INTCO,MEASURES,RPTCURRENCY,TIME"</formula1>
    </dataValidation>
    <dataValidation type="list" allowBlank="1" sqref="A13 B17:F17 A56 B60:F60">
      <formula1>"SELF,ALL,BAS,DEP,BASMEMBERS,MEMBERS,NOEXPAND,,"</formula1>
    </dataValidation>
  </dataValidations>
  <pageMargins left="0.7" right="0.7" top="0.75" bottom="0.75" header="0.3" footer="0.3"/>
  <customProperties>
    <customPr name="CofWorksheetType" r:id="rId1"/>
    <customPr name="EpmWorksheetKeyString_GUID" r:id="rId2"/>
  </customProperties>
  <ignoredErrors>
    <ignoredError sqref="S45:S55" evalError="1"/>
  </ignoredError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268"/>
  <sheetViews>
    <sheetView topLeftCell="R160" workbookViewId="0">
      <selection activeCell="V54" sqref="V54"/>
    </sheetView>
  </sheetViews>
  <sheetFormatPr defaultColWidth="21.7109375" defaultRowHeight="12.75" outlineLevelCol="1"/>
  <cols>
    <col min="1" max="1" width="55.7109375" style="311" hidden="1" customWidth="1" outlineLevel="1"/>
    <col min="2" max="2" width="73.140625" style="311" hidden="1" customWidth="1" outlineLevel="1"/>
    <col min="3" max="3" width="47.28515625" style="311" hidden="1" customWidth="1" outlineLevel="1"/>
    <col min="4" max="4" width="25.7109375" style="311" hidden="1" customWidth="1" outlineLevel="1"/>
    <col min="5" max="5" width="13.28515625" style="311" hidden="1" customWidth="1" outlineLevel="1"/>
    <col min="6" max="6" width="9.42578125" style="311" hidden="1" customWidth="1" outlineLevel="1"/>
    <col min="7" max="7" width="31.5703125" hidden="1" customWidth="1" outlineLevel="1"/>
    <col min="8" max="8" width="31.28515625" hidden="1" customWidth="1" outlineLevel="1"/>
    <col min="9" max="13" width="9.140625" hidden="1" customWidth="1" outlineLevel="1"/>
    <col min="14" max="14" width="9.28515625" hidden="1" customWidth="1" outlineLevel="1"/>
    <col min="15" max="15" width="7.5703125" hidden="1" customWidth="1" outlineLevel="1"/>
    <col min="16" max="16" width="9.140625" hidden="1" customWidth="1" outlineLevel="1"/>
    <col min="17" max="17" width="18.85546875" hidden="1" customWidth="1" collapsed="1"/>
    <col min="18" max="18" width="63.5703125" style="310" customWidth="1"/>
    <col min="19" max="19" width="11.7109375" style="309" bestFit="1" customWidth="1"/>
    <col min="20" max="16384" width="21.7109375" style="310"/>
  </cols>
  <sheetData>
    <row r="1" spans="1:127" ht="15">
      <c r="A1" s="303" t="e">
        <f>_xll.EVDRE($D$1,A4:B11,A15:E21)</f>
        <v>#VALUE!</v>
      </c>
      <c r="B1" s="304" t="s">
        <v>597</v>
      </c>
      <c r="C1" s="305" t="s">
        <v>598</v>
      </c>
      <c r="D1" s="306" t="s">
        <v>599</v>
      </c>
      <c r="E1" s="305" t="s">
        <v>600</v>
      </c>
      <c r="F1" s="307" t="e">
        <f ca="1">EV_CVW($D$1,E1)</f>
        <v>#NAME?</v>
      </c>
      <c r="R1" s="308" t="e">
        <f ca="1">EV_DES($D$4,$D$1)</f>
        <v>#NAME?</v>
      </c>
    </row>
    <row r="2" spans="1:127" ht="15">
      <c r="C2" s="305" t="s">
        <v>601</v>
      </c>
      <c r="D2" s="307" t="e">
        <f ca="1">EV_CVW($D$1,C2)</f>
        <v>#NAME?</v>
      </c>
      <c r="R2" s="308" t="e">
        <f ca="1">"Период, за который составляется отчетность (с нарастающим итогом):  "&amp;EV_DES($D$11,$D$1)</f>
        <v>#NAME?</v>
      </c>
      <c r="Z2" s="312"/>
      <c r="AB2" s="312"/>
      <c r="AC2" s="312"/>
    </row>
    <row r="3" spans="1:127" ht="15">
      <c r="A3" s="313" t="s">
        <v>602</v>
      </c>
      <c r="B3" s="314" t="s">
        <v>603</v>
      </c>
      <c r="C3" s="305" t="s">
        <v>604</v>
      </c>
      <c r="D3" s="307" t="e">
        <f ca="1">EV_CVW($D$1,C3)</f>
        <v>#NAME?</v>
      </c>
      <c r="R3" s="377" t="e">
        <f ca="1">IF(OR(currentStatus="Checking",currentStatus="Approved",currentStatus="LOCKED"),"Текущий рабочий статус : " &amp;currentStatus,"")</f>
        <v>#NAME?</v>
      </c>
    </row>
    <row r="4" spans="1:127" ht="15">
      <c r="A4" s="316" t="s">
        <v>605</v>
      </c>
      <c r="B4" s="317" t="str">
        <f>_xll.EVRNG(D2:D11)</f>
        <v>'Ф3'!$D$2:$D$11</v>
      </c>
      <c r="C4" s="305" t="s">
        <v>606</v>
      </c>
      <c r="D4" s="307" t="e">
        <f ca="1">EV_CVW($D$1,C4)</f>
        <v>#NAME?</v>
      </c>
      <c r="E4" s="311" t="e">
        <f ca="1">D4</f>
        <v>#NAME?</v>
      </c>
      <c r="L4" s="310"/>
      <c r="M4" s="310"/>
      <c r="N4" s="310"/>
      <c r="O4" s="310"/>
      <c r="P4" s="310"/>
      <c r="Q4" s="310"/>
      <c r="R4" s="318" t="s">
        <v>959</v>
      </c>
    </row>
    <row r="5" spans="1:127" ht="15">
      <c r="A5" s="316" t="s">
        <v>608</v>
      </c>
      <c r="B5" s="317" t="str">
        <f>_xll.EVRNG(T7:W9,AC7:AF9,)</f>
        <v>'Ф3'!$T$7:$W$9,'Ф3'!$AC$7:$AF$9</v>
      </c>
      <c r="C5" s="305" t="s">
        <v>609</v>
      </c>
      <c r="D5" s="319" t="s">
        <v>610</v>
      </c>
      <c r="L5" s="310"/>
      <c r="M5" s="310"/>
      <c r="N5" s="310"/>
      <c r="O5" s="310"/>
      <c r="P5" s="310"/>
      <c r="Q5" s="310"/>
      <c r="R5" s="320" t="s">
        <v>597</v>
      </c>
    </row>
    <row r="6" spans="1:127" ht="15">
      <c r="A6" s="316" t="s">
        <v>611</v>
      </c>
      <c r="B6" s="317" t="str">
        <f>_xll.EVRNG(Q12:Q166)</f>
        <v>'Ф3'!$Q$12:$Q$166</v>
      </c>
      <c r="C6" s="305" t="s">
        <v>612</v>
      </c>
      <c r="D6" s="319" t="s">
        <v>613</v>
      </c>
      <c r="Q6" s="378"/>
      <c r="R6" s="318" t="s">
        <v>960</v>
      </c>
      <c r="AC6" s="322"/>
      <c r="AE6" s="322"/>
      <c r="AK6" s="322"/>
      <c r="AM6" s="322"/>
      <c r="AO6" s="322"/>
      <c r="AQ6" s="322"/>
      <c r="DC6" s="322"/>
      <c r="DE6" s="322"/>
      <c r="DW6" s="322"/>
    </row>
    <row r="7" spans="1:127" ht="15" hidden="1" customHeight="1">
      <c r="A7" s="316" t="s">
        <v>615</v>
      </c>
      <c r="B7" s="317"/>
      <c r="C7" s="305" t="s">
        <v>616</v>
      </c>
      <c r="D7" s="319" t="s">
        <v>617</v>
      </c>
      <c r="Q7" t="s">
        <v>618</v>
      </c>
      <c r="R7"/>
      <c r="S7" s="323"/>
      <c r="T7" s="324" t="s">
        <v>619</v>
      </c>
      <c r="U7" s="324" t="s">
        <v>961</v>
      </c>
      <c r="V7" s="324" t="s">
        <v>962</v>
      </c>
      <c r="W7" s="324" t="s">
        <v>963</v>
      </c>
      <c r="AC7" s="324" t="s">
        <v>619</v>
      </c>
      <c r="AD7" s="324" t="s">
        <v>961</v>
      </c>
      <c r="AE7" s="324" t="s">
        <v>962</v>
      </c>
      <c r="AF7" s="324" t="s">
        <v>963</v>
      </c>
      <c r="AH7" s="324" t="s">
        <v>619</v>
      </c>
      <c r="AI7" s="324" t="s">
        <v>961</v>
      </c>
      <c r="AJ7" s="324" t="s">
        <v>962</v>
      </c>
      <c r="AK7" s="324" t="s">
        <v>963</v>
      </c>
    </row>
    <row r="8" spans="1:127" ht="15" hidden="1" customHeight="1">
      <c r="A8" s="316" t="s">
        <v>622</v>
      </c>
      <c r="B8" s="317"/>
      <c r="C8" s="305" t="s">
        <v>623</v>
      </c>
      <c r="D8" s="319" t="s">
        <v>624</v>
      </c>
      <c r="R8"/>
      <c r="S8" s="323"/>
      <c r="T8" s="324" t="s">
        <v>837</v>
      </c>
      <c r="U8" s="324" t="s">
        <v>837</v>
      </c>
      <c r="V8" s="324" t="s">
        <v>837</v>
      </c>
      <c r="W8" s="324" t="s">
        <v>837</v>
      </c>
      <c r="AC8" s="324" t="s">
        <v>837</v>
      </c>
      <c r="AD8" s="324" t="s">
        <v>837</v>
      </c>
      <c r="AE8" s="324" t="s">
        <v>837</v>
      </c>
      <c r="AF8" s="324" t="s">
        <v>837</v>
      </c>
      <c r="AH8" s="324" t="s">
        <v>837</v>
      </c>
      <c r="AI8" s="324" t="s">
        <v>837</v>
      </c>
      <c r="AJ8" s="324" t="s">
        <v>837</v>
      </c>
      <c r="AK8" s="324" t="s">
        <v>837</v>
      </c>
    </row>
    <row r="9" spans="1:127" ht="15" hidden="1">
      <c r="A9" s="316" t="s">
        <v>626</v>
      </c>
      <c r="B9" s="317" t="str">
        <f>_xll.EVRNG($A$46:$F$81)</f>
        <v>'Ф3'!$A$46:$F$81</v>
      </c>
      <c r="C9" s="305" t="s">
        <v>627</v>
      </c>
      <c r="D9" s="319" t="s">
        <v>628</v>
      </c>
      <c r="Q9" s="345"/>
      <c r="R9"/>
      <c r="S9" s="323" t="s">
        <v>634</v>
      </c>
      <c r="T9" s="324" t="s">
        <v>629</v>
      </c>
      <c r="U9" s="324" t="s">
        <v>629</v>
      </c>
      <c r="V9" s="324" t="s">
        <v>629</v>
      </c>
      <c r="W9" s="324" t="s">
        <v>629</v>
      </c>
      <c r="AC9" s="324" t="s">
        <v>629</v>
      </c>
      <c r="AD9" s="324" t="s">
        <v>629</v>
      </c>
      <c r="AE9" s="324" t="s">
        <v>629</v>
      </c>
      <c r="AF9" s="324" t="s">
        <v>629</v>
      </c>
      <c r="AH9" s="324" t="s">
        <v>964</v>
      </c>
      <c r="AI9" s="324" t="s">
        <v>964</v>
      </c>
      <c r="AJ9" s="324" t="s">
        <v>964</v>
      </c>
      <c r="AK9" s="324" t="s">
        <v>964</v>
      </c>
    </row>
    <row r="10" spans="1:127" ht="15" customHeight="1">
      <c r="A10" s="316" t="s">
        <v>630</v>
      </c>
      <c r="B10" s="317" t="str">
        <f>_xll.EVRNG($A$25:$B$41)</f>
        <v>'Ф3'!$A$25:$B$41</v>
      </c>
      <c r="C10" s="305" t="s">
        <v>631</v>
      </c>
      <c r="D10" s="319" t="s">
        <v>632</v>
      </c>
      <c r="Q10" s="345" t="s">
        <v>637</v>
      </c>
      <c r="R10" s="326"/>
      <c r="S10" s="327"/>
      <c r="T10" s="612" t="s">
        <v>838</v>
      </c>
      <c r="U10" s="613"/>
      <c r="V10" s="613"/>
      <c r="W10" s="614"/>
      <c r="AC10" s="325"/>
      <c r="AD10" s="325"/>
      <c r="AE10" s="325"/>
      <c r="AF10" s="325"/>
      <c r="AH10" s="325"/>
      <c r="AI10" s="325"/>
      <c r="AJ10" s="325"/>
      <c r="AK10" s="325"/>
    </row>
    <row r="11" spans="1:127" ht="15">
      <c r="A11" s="316" t="s">
        <v>635</v>
      </c>
      <c r="B11" s="317"/>
      <c r="C11" s="305" t="s">
        <v>636</v>
      </c>
      <c r="D11" s="307" t="e">
        <f ca="1">EV_CVW($D$1,C11)</f>
        <v>#NAME?</v>
      </c>
      <c r="E11" s="311" t="e">
        <f ca="1">EV_TIM(D1,D11,-1,"Year")</f>
        <v>#NAME?</v>
      </c>
      <c r="R11" s="328"/>
      <c r="S11" s="396" t="s">
        <v>965</v>
      </c>
      <c r="T11" s="325" t="e">
        <f ca="1">IF(EV_DES(T7,$D$1)="#NODATA","",EV_DES(T7,$D$1))</f>
        <v>#NAME?</v>
      </c>
      <c r="U11" s="325" t="e">
        <f ca="1">IF(EV_DES(U7,$D$1)="#NODATA","",EV_DES(U7,$D$1))</f>
        <v>#NAME?</v>
      </c>
      <c r="V11" s="325" t="e">
        <f ca="1">IF(EV_DES(V7,$D$1)="#NODATA","",EV_DES(V7,$D$1))</f>
        <v>#NAME?</v>
      </c>
      <c r="W11" s="325" t="e">
        <f ca="1">IF(EV_DES(W7,$D$1)="#NODATA","",EV_DES(W7,$D$1))</f>
        <v>#NAME?</v>
      </c>
      <c r="AC11" s="325"/>
      <c r="AD11" s="325"/>
      <c r="AE11" s="325"/>
      <c r="AF11" s="325"/>
      <c r="AH11" s="325"/>
      <c r="AI11" s="325"/>
      <c r="AJ11" s="325"/>
      <c r="AK11" s="325"/>
    </row>
    <row r="12" spans="1:127" ht="15">
      <c r="N12" s="380" t="e">
        <f ca="1">IF(EV_PRO($D$1,M12,"U_EVDESCRIPTION")="#NODATA","",IF(EV_PRO($D$1,M12,"HLEVEL")="4",#REF!&amp;". "&amp;EV_PRO($D$1,M12,"U_EVDESCRIPTION"),IF(EV_PRO($D$1,M12,"HLEVEL")="5",#REF!&amp;"."&amp;AB12&amp;". "&amp;EV_PRO($D$1,M12,"U_EVDESCRIPTION"),EV_PRO($D$1,M12,"U_EVDESCRIPTION"))))</f>
        <v>#NAME?</v>
      </c>
      <c r="O12" t="e">
        <f ca="1">EV_PRO("LEGAL",Q12,"HLEVEL")</f>
        <v>#NAME?</v>
      </c>
      <c r="Q12" s="331" t="s">
        <v>966</v>
      </c>
      <c r="R12" s="380" t="s">
        <v>1134</v>
      </c>
      <c r="S12" s="381">
        <f>IF(Q12&lt;&gt;"",IF(S11="№ Строки",1,S11+1),S11)</f>
        <v>1</v>
      </c>
      <c r="T12" s="350">
        <v>-18385767</v>
      </c>
      <c r="U12" s="350">
        <v>-3884972</v>
      </c>
      <c r="V12" s="350">
        <v>12409333</v>
      </c>
      <c r="W12" s="350">
        <v>-9861406</v>
      </c>
      <c r="AC12" s="350" t="e">
        <f t="shared" ref="AC12:AC43" ca="1" si="0">IF(EV_PRO($D$1,Q12,"HLEVEL")="4",AC11+1,AC11)</f>
        <v>#NAME?</v>
      </c>
      <c r="AD12" s="350" t="e">
        <f t="shared" ref="AD12:AD43" ca="1" si="1">IF(EV_PRO($D$1,R12,"HLEVEL")="4",AD11+1,AD11)</f>
        <v>#NAME?</v>
      </c>
      <c r="AE12" s="350" t="e">
        <f t="shared" ref="AE12:AE43" ca="1" si="2">IF(EV_PRO($D$1,S12,"HLEVEL")="4",AE11+1,AE11)</f>
        <v>#NAME?</v>
      </c>
      <c r="AF12" s="350" t="e">
        <f t="shared" ref="AF12:AF43" ca="1" si="3">IF(EV_PRO($D$1,T12,"HLEVEL")="4",AF11+1,AF11)</f>
        <v>#NAME?</v>
      </c>
      <c r="AH12" s="350" t="e">
        <f t="shared" ref="AH12:AH43" ca="1" si="4">IF(EV_PRO($D$1,Q12,"HLEVEL")="5",IF(AH11+1=3,1,AH11+1),AH11)</f>
        <v>#NAME?</v>
      </c>
      <c r="AI12" s="350" t="e">
        <f t="shared" ref="AI12:AI43" ca="1" si="5">IF(EV_PRO($D$1,R12,"HLEVEL")="5",IF(AI11+1=3,1,AI11+1),AI11)</f>
        <v>#NAME?</v>
      </c>
      <c r="AJ12" s="350" t="e">
        <f t="shared" ref="AJ12:AJ43" ca="1" si="6">IF(EV_PRO($D$1,S12,"HLEVEL")="5",IF(AJ11+1=3,1,AJ11+1),AJ11)</f>
        <v>#NAME?</v>
      </c>
      <c r="AK12" s="350" t="e">
        <f t="shared" ref="AK12:AK43" ca="1" si="7">IF(EV_PRO($D$1,T12,"HLEVEL")="5",IF(AK11+1=3,1,AK11+1),AK11)</f>
        <v>#NAME?</v>
      </c>
    </row>
    <row r="13" spans="1:127" ht="15">
      <c r="A13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B13" s="311" t="s">
        <v>967</v>
      </c>
      <c r="O13" t="e">
        <f t="shared" ref="O13:O44" ca="1" si="8">EV_PRO("LEGAL",Q35,"HLEVEL")</f>
        <v>#NAME?</v>
      </c>
      <c r="Q13" s="331" t="s">
        <v>968</v>
      </c>
      <c r="R13" s="349" t="s">
        <v>1135</v>
      </c>
      <c r="S13" s="381">
        <f t="shared" ref="S13:S76" si="9">IF(Q13&lt;&gt;"",IF(S12="№ Строки",1,S12+1),S12)</f>
        <v>2</v>
      </c>
      <c r="T13" s="350">
        <v>-18385767</v>
      </c>
      <c r="U13" s="350">
        <v>-3884972</v>
      </c>
      <c r="V13" s="350">
        <v>12409333</v>
      </c>
      <c r="W13" s="350">
        <v>-9861406</v>
      </c>
      <c r="AC13" s="350" t="e">
        <f t="shared" ca="1" si="0"/>
        <v>#NAME?</v>
      </c>
      <c r="AD13" s="350" t="e">
        <f t="shared" ca="1" si="1"/>
        <v>#NAME?</v>
      </c>
      <c r="AE13" s="350" t="e">
        <f t="shared" ca="1" si="2"/>
        <v>#NAME?</v>
      </c>
      <c r="AF13" s="350" t="e">
        <f t="shared" ca="1" si="3"/>
        <v>#NAME?</v>
      </c>
      <c r="AH13" s="350" t="e">
        <f t="shared" ca="1" si="4"/>
        <v>#NAME?</v>
      </c>
      <c r="AI13" s="350" t="e">
        <f t="shared" ca="1" si="5"/>
        <v>#NAME?</v>
      </c>
      <c r="AJ13" s="350" t="e">
        <f t="shared" ca="1" si="6"/>
        <v>#NAME?</v>
      </c>
      <c r="AK13" s="350" t="e">
        <f t="shared" ca="1" si="7"/>
        <v>#NAME?</v>
      </c>
    </row>
    <row r="14" spans="1:127" ht="30">
      <c r="A14" s="313" t="s">
        <v>638</v>
      </c>
      <c r="B14" s="335" t="s">
        <v>639</v>
      </c>
      <c r="C14" s="314" t="s">
        <v>640</v>
      </c>
      <c r="D14" s="314" t="s">
        <v>640</v>
      </c>
      <c r="E14" s="314" t="s">
        <v>641</v>
      </c>
      <c r="O14" t="e">
        <f t="shared" ca="1" si="8"/>
        <v>#NAME?</v>
      </c>
      <c r="Q14" s="331" t="s">
        <v>969</v>
      </c>
      <c r="R14" s="385" t="s">
        <v>1136</v>
      </c>
      <c r="S14" s="381">
        <f t="shared" si="9"/>
        <v>3</v>
      </c>
      <c r="T14" s="350">
        <v>-11208944</v>
      </c>
      <c r="U14" s="350">
        <v>37644749</v>
      </c>
      <c r="V14" s="350">
        <v>-2013967</v>
      </c>
      <c r="W14" s="350">
        <v>24421838</v>
      </c>
      <c r="AC14" s="350" t="e">
        <f t="shared" ca="1" si="0"/>
        <v>#NAME?</v>
      </c>
      <c r="AD14" s="350" t="e">
        <f t="shared" ca="1" si="1"/>
        <v>#NAME?</v>
      </c>
      <c r="AE14" s="350" t="e">
        <f t="shared" ca="1" si="2"/>
        <v>#NAME?</v>
      </c>
      <c r="AF14" s="350" t="e">
        <f t="shared" ca="1" si="3"/>
        <v>#NAME?</v>
      </c>
      <c r="AH14" s="350" t="e">
        <f t="shared" ca="1" si="4"/>
        <v>#NAME?</v>
      </c>
      <c r="AI14" s="350" t="e">
        <f t="shared" ca="1" si="5"/>
        <v>#NAME?</v>
      </c>
      <c r="AJ14" s="350" t="e">
        <f t="shared" ca="1" si="6"/>
        <v>#NAME?</v>
      </c>
      <c r="AK14" s="350" t="e">
        <f t="shared" ca="1" si="7"/>
        <v>#NAME?</v>
      </c>
    </row>
    <row r="15" spans="1:127" ht="15">
      <c r="A15" s="336" t="s">
        <v>642</v>
      </c>
      <c r="B15" s="337" t="s">
        <v>643</v>
      </c>
      <c r="C15" s="337" t="s">
        <v>643</v>
      </c>
      <c r="D15" s="337" t="s">
        <v>643</v>
      </c>
      <c r="E15" s="337" t="s">
        <v>644</v>
      </c>
      <c r="O15" t="e">
        <f t="shared" ca="1" si="8"/>
        <v>#NAME?</v>
      </c>
      <c r="Q15" s="331" t="s">
        <v>894</v>
      </c>
      <c r="R15" s="397" t="s">
        <v>1137</v>
      </c>
      <c r="S15" s="381">
        <f t="shared" si="9"/>
        <v>4</v>
      </c>
      <c r="T15" s="350">
        <v>10020860</v>
      </c>
      <c r="U15" s="350">
        <v>114779467</v>
      </c>
      <c r="V15" s="350">
        <v>251897</v>
      </c>
      <c r="W15" s="350">
        <v>125052224</v>
      </c>
      <c r="AC15" s="350" t="e">
        <f t="shared" ca="1" si="0"/>
        <v>#NAME?</v>
      </c>
      <c r="AD15" s="350" t="e">
        <f t="shared" ca="1" si="1"/>
        <v>#NAME?</v>
      </c>
      <c r="AE15" s="350" t="e">
        <f t="shared" ca="1" si="2"/>
        <v>#NAME?</v>
      </c>
      <c r="AF15" s="350" t="e">
        <f t="shared" ca="1" si="3"/>
        <v>#NAME?</v>
      </c>
      <c r="AH15" s="350" t="e">
        <f t="shared" ca="1" si="4"/>
        <v>#NAME?</v>
      </c>
      <c r="AI15" s="350" t="e">
        <f t="shared" ca="1" si="5"/>
        <v>#NAME?</v>
      </c>
      <c r="AJ15" s="350" t="e">
        <f t="shared" ca="1" si="6"/>
        <v>#NAME?</v>
      </c>
      <c r="AK15" s="350" t="e">
        <f t="shared" ca="1" si="7"/>
        <v>#NAME?</v>
      </c>
    </row>
    <row r="16" spans="1:127" ht="15">
      <c r="A16" s="336" t="s">
        <v>647</v>
      </c>
      <c r="B16" s="330" t="s">
        <v>648</v>
      </c>
      <c r="C16" s="337" t="s">
        <v>616</v>
      </c>
      <c r="D16" s="337" t="s">
        <v>636</v>
      </c>
      <c r="E16" s="337" t="s">
        <v>649</v>
      </c>
      <c r="O16" t="e">
        <f t="shared" ca="1" si="8"/>
        <v>#NAME?</v>
      </c>
      <c r="Q16" s="331" t="s">
        <v>970</v>
      </c>
      <c r="R16" s="398" t="s">
        <v>1138</v>
      </c>
      <c r="S16" s="333">
        <f t="shared" si="9"/>
        <v>5</v>
      </c>
      <c r="T16" s="334">
        <v>9660448</v>
      </c>
      <c r="U16" s="348">
        <v>102850607</v>
      </c>
      <c r="V16" s="348">
        <v>251897</v>
      </c>
      <c r="W16" s="334">
        <v>112762952</v>
      </c>
      <c r="AC16" s="334" t="e">
        <f t="shared" ca="1" si="0"/>
        <v>#NAME?</v>
      </c>
      <c r="AD16" s="348" t="e">
        <f t="shared" ca="1" si="1"/>
        <v>#NAME?</v>
      </c>
      <c r="AE16" s="348" t="e">
        <f t="shared" ca="1" si="2"/>
        <v>#NAME?</v>
      </c>
      <c r="AF16" s="334" t="e">
        <f t="shared" ca="1" si="3"/>
        <v>#NAME?</v>
      </c>
      <c r="AH16" s="334" t="e">
        <f t="shared" ca="1" si="4"/>
        <v>#NAME?</v>
      </c>
      <c r="AI16" s="348" t="e">
        <f t="shared" ca="1" si="5"/>
        <v>#NAME?</v>
      </c>
      <c r="AJ16" s="348" t="e">
        <f t="shared" ca="1" si="6"/>
        <v>#NAME?</v>
      </c>
      <c r="AK16" s="334" t="e">
        <f t="shared" ca="1" si="7"/>
        <v>#NAME?</v>
      </c>
    </row>
    <row r="17" spans="1:37" ht="15">
      <c r="A17" s="336" t="s">
        <v>651</v>
      </c>
      <c r="B17" s="330" t="str">
        <f>"I_19,I_25,I_26,TVSEGO"</f>
        <v>I_19,I_25,I_26,TVSEGO</v>
      </c>
      <c r="C17" s="337" t="s">
        <v>837</v>
      </c>
      <c r="D17" s="330" t="e">
        <f ca="1">EV_CVW($D$1,$C$11)</f>
        <v>#NAME?</v>
      </c>
      <c r="E17" s="337" t="s">
        <v>971</v>
      </c>
      <c r="O17" t="e">
        <f t="shared" ca="1" si="8"/>
        <v>#NAME?</v>
      </c>
      <c r="Q17" s="331" t="s">
        <v>972</v>
      </c>
      <c r="R17" s="398" t="s">
        <v>118</v>
      </c>
      <c r="S17" s="333">
        <f t="shared" si="9"/>
        <v>6</v>
      </c>
      <c r="T17" s="334"/>
      <c r="U17" s="348">
        <v>7551</v>
      </c>
      <c r="V17" s="348"/>
      <c r="W17" s="334">
        <v>7551</v>
      </c>
      <c r="AC17" s="334" t="e">
        <f t="shared" ca="1" si="0"/>
        <v>#NAME?</v>
      </c>
      <c r="AD17" s="348" t="e">
        <f t="shared" ca="1" si="1"/>
        <v>#NAME?</v>
      </c>
      <c r="AE17" s="348" t="e">
        <f t="shared" ca="1" si="2"/>
        <v>#NAME?</v>
      </c>
      <c r="AF17" s="334" t="e">
        <f t="shared" ca="1" si="3"/>
        <v>#NAME?</v>
      </c>
      <c r="AH17" s="334" t="e">
        <f t="shared" ca="1" si="4"/>
        <v>#NAME?</v>
      </c>
      <c r="AI17" s="348" t="e">
        <f t="shared" ca="1" si="5"/>
        <v>#NAME?</v>
      </c>
      <c r="AJ17" s="348" t="e">
        <f t="shared" ca="1" si="6"/>
        <v>#NAME?</v>
      </c>
      <c r="AK17" s="334" t="e">
        <f t="shared" ca="1" si="7"/>
        <v>#NAME?</v>
      </c>
    </row>
    <row r="18" spans="1:37" ht="15">
      <c r="A18" s="336" t="s">
        <v>654</v>
      </c>
      <c r="B18" s="337"/>
      <c r="C18" s="337"/>
      <c r="D18" s="337"/>
      <c r="E18" s="337"/>
      <c r="O18" t="e">
        <f t="shared" ca="1" si="8"/>
        <v>#NAME?</v>
      </c>
      <c r="Q18" s="331" t="s">
        <v>973</v>
      </c>
      <c r="R18" s="398" t="s">
        <v>1139</v>
      </c>
      <c r="S18" s="333">
        <f t="shared" si="9"/>
        <v>7</v>
      </c>
      <c r="T18" s="334">
        <v>58</v>
      </c>
      <c r="U18" s="348">
        <v>5601315</v>
      </c>
      <c r="V18" s="348"/>
      <c r="W18" s="334">
        <v>5601373</v>
      </c>
      <c r="AC18" s="334" t="e">
        <f t="shared" ca="1" si="0"/>
        <v>#NAME?</v>
      </c>
      <c r="AD18" s="348" t="e">
        <f t="shared" ca="1" si="1"/>
        <v>#NAME?</v>
      </c>
      <c r="AE18" s="348" t="e">
        <f t="shared" ca="1" si="2"/>
        <v>#NAME?</v>
      </c>
      <c r="AF18" s="334" t="e">
        <f t="shared" ca="1" si="3"/>
        <v>#NAME?</v>
      </c>
      <c r="AH18" s="334" t="e">
        <f t="shared" ca="1" si="4"/>
        <v>#NAME?</v>
      </c>
      <c r="AI18" s="348" t="e">
        <f t="shared" ca="1" si="5"/>
        <v>#NAME?</v>
      </c>
      <c r="AJ18" s="348" t="e">
        <f t="shared" ca="1" si="6"/>
        <v>#NAME?</v>
      </c>
      <c r="AK18" s="334" t="e">
        <f t="shared" ca="1" si="7"/>
        <v>#NAME?</v>
      </c>
    </row>
    <row r="19" spans="1:37" ht="15">
      <c r="A19" s="336" t="s">
        <v>655</v>
      </c>
      <c r="B19" s="337"/>
      <c r="C19" s="337"/>
      <c r="D19" s="337"/>
      <c r="E19" s="337"/>
      <c r="O19" t="e">
        <f t="shared" ca="1" si="8"/>
        <v>#NAME?</v>
      </c>
      <c r="Q19" s="331" t="s">
        <v>974</v>
      </c>
      <c r="R19" s="398" t="s">
        <v>1140</v>
      </c>
      <c r="S19" s="333">
        <f t="shared" si="9"/>
        <v>8</v>
      </c>
      <c r="T19" s="334"/>
      <c r="U19" s="348"/>
      <c r="V19" s="348"/>
      <c r="W19" s="334"/>
      <c r="AC19" s="334" t="e">
        <f t="shared" ca="1" si="0"/>
        <v>#NAME?</v>
      </c>
      <c r="AD19" s="348" t="e">
        <f t="shared" ca="1" si="1"/>
        <v>#NAME?</v>
      </c>
      <c r="AE19" s="348" t="e">
        <f t="shared" ca="1" si="2"/>
        <v>#NAME?</v>
      </c>
      <c r="AF19" s="334" t="e">
        <f t="shared" ca="1" si="3"/>
        <v>#NAME?</v>
      </c>
      <c r="AH19" s="334" t="e">
        <f t="shared" ca="1" si="4"/>
        <v>#NAME?</v>
      </c>
      <c r="AI19" s="348" t="e">
        <f t="shared" ca="1" si="5"/>
        <v>#NAME?</v>
      </c>
      <c r="AJ19" s="348" t="e">
        <f t="shared" ca="1" si="6"/>
        <v>#NAME?</v>
      </c>
      <c r="AK19" s="334" t="e">
        <f t="shared" ca="1" si="7"/>
        <v>#NAME?</v>
      </c>
    </row>
    <row r="20" spans="1:37" ht="15">
      <c r="A20" s="336" t="s">
        <v>656</v>
      </c>
      <c r="B20" s="337"/>
      <c r="C20" s="337"/>
      <c r="D20" s="337"/>
      <c r="E20" s="337"/>
      <c r="O20" t="e">
        <f t="shared" ca="1" si="8"/>
        <v>#NAME?</v>
      </c>
      <c r="Q20" s="331" t="s">
        <v>975</v>
      </c>
      <c r="R20" s="399" t="s">
        <v>1141</v>
      </c>
      <c r="S20" s="381">
        <f t="shared" si="9"/>
        <v>9</v>
      </c>
      <c r="T20" s="350">
        <v>91086</v>
      </c>
      <c r="U20" s="350">
        <v>909428</v>
      </c>
      <c r="V20" s="350"/>
      <c r="W20" s="350">
        <v>1000514</v>
      </c>
      <c r="AC20" s="350" t="e">
        <f t="shared" ca="1" si="0"/>
        <v>#NAME?</v>
      </c>
      <c r="AD20" s="350" t="e">
        <f t="shared" ca="1" si="1"/>
        <v>#NAME?</v>
      </c>
      <c r="AE20" s="350" t="e">
        <f t="shared" ca="1" si="2"/>
        <v>#NAME?</v>
      </c>
      <c r="AF20" s="350" t="e">
        <f t="shared" ca="1" si="3"/>
        <v>#NAME?</v>
      </c>
      <c r="AH20" s="350" t="e">
        <f t="shared" ca="1" si="4"/>
        <v>#NAME?</v>
      </c>
      <c r="AI20" s="350" t="e">
        <f t="shared" ca="1" si="5"/>
        <v>#NAME?</v>
      </c>
      <c r="AJ20" s="350" t="e">
        <f t="shared" ca="1" si="6"/>
        <v>#NAME?</v>
      </c>
      <c r="AK20" s="350" t="e">
        <f t="shared" ca="1" si="7"/>
        <v>#NAME?</v>
      </c>
    </row>
    <row r="21" spans="1:37" ht="26.25">
      <c r="A21" s="336" t="s">
        <v>657</v>
      </c>
      <c r="B21" s="337"/>
      <c r="C21" s="337"/>
      <c r="D21" s="337"/>
      <c r="E21" s="337"/>
      <c r="O21" t="e">
        <f t="shared" ca="1" si="8"/>
        <v>#NAME?</v>
      </c>
      <c r="Q21" s="331" t="s">
        <v>976</v>
      </c>
      <c r="R21" s="400" t="s">
        <v>1142</v>
      </c>
      <c r="S21" s="333">
        <f t="shared" si="9"/>
        <v>10</v>
      </c>
      <c r="T21" s="334"/>
      <c r="U21" s="348"/>
      <c r="V21" s="348"/>
      <c r="W21" s="334"/>
      <c r="AC21" s="334" t="e">
        <f t="shared" ca="1" si="0"/>
        <v>#NAME?</v>
      </c>
      <c r="AD21" s="348" t="e">
        <f t="shared" ca="1" si="1"/>
        <v>#NAME?</v>
      </c>
      <c r="AE21" s="348" t="e">
        <f t="shared" ca="1" si="2"/>
        <v>#NAME?</v>
      </c>
      <c r="AF21" s="334" t="e">
        <f t="shared" ca="1" si="3"/>
        <v>#NAME?</v>
      </c>
      <c r="AH21" s="334" t="e">
        <f t="shared" ca="1" si="4"/>
        <v>#NAME?</v>
      </c>
      <c r="AI21" s="348" t="e">
        <f t="shared" ca="1" si="5"/>
        <v>#NAME?</v>
      </c>
      <c r="AJ21" s="348" t="e">
        <f t="shared" ca="1" si="6"/>
        <v>#NAME?</v>
      </c>
      <c r="AK21" s="334" t="e">
        <f t="shared" ca="1" si="7"/>
        <v>#NAME?</v>
      </c>
    </row>
    <row r="22" spans="1:37" ht="25.5">
      <c r="A22" s="311" t="s">
        <v>658</v>
      </c>
      <c r="O22" t="e">
        <f t="shared" ca="1" si="8"/>
        <v>#NAME?</v>
      </c>
      <c r="Q22" s="331" t="s">
        <v>977</v>
      </c>
      <c r="R22" s="400" t="s">
        <v>1143</v>
      </c>
      <c r="S22" s="333">
        <f t="shared" si="9"/>
        <v>11</v>
      </c>
      <c r="T22" s="334"/>
      <c r="U22" s="348"/>
      <c r="V22" s="348"/>
      <c r="W22" s="334"/>
      <c r="AC22" s="334" t="e">
        <f t="shared" ca="1" si="0"/>
        <v>#NAME?</v>
      </c>
      <c r="AD22" s="348" t="e">
        <f t="shared" ca="1" si="1"/>
        <v>#NAME?</v>
      </c>
      <c r="AE22" s="348" t="e">
        <f t="shared" ca="1" si="2"/>
        <v>#NAME?</v>
      </c>
      <c r="AF22" s="334" t="e">
        <f t="shared" ca="1" si="3"/>
        <v>#NAME?</v>
      </c>
      <c r="AH22" s="334" t="e">
        <f t="shared" ca="1" si="4"/>
        <v>#NAME?</v>
      </c>
      <c r="AI22" s="348" t="e">
        <f t="shared" ca="1" si="5"/>
        <v>#NAME?</v>
      </c>
      <c r="AJ22" s="348" t="e">
        <f t="shared" ca="1" si="6"/>
        <v>#NAME?</v>
      </c>
      <c r="AK22" s="334" t="e">
        <f t="shared" ca="1" si="7"/>
        <v>#NAME?</v>
      </c>
    </row>
    <row r="23" spans="1:37" ht="25.5">
      <c r="A23" s="311" t="e">
        <f ca="1">EV_LCK(EV_APP(),0,EV_CVW(EV_APP(),"TIME"),EV_CVW(EV_APP(),"C_ENTITY"),"ACTUAL",EV_CVW(EV_APP(),"C_DATATS"))</f>
        <v>#NAME?</v>
      </c>
      <c r="O23" t="e">
        <f t="shared" ca="1" si="8"/>
        <v>#NAME?</v>
      </c>
      <c r="Q23" s="331" t="s">
        <v>978</v>
      </c>
      <c r="R23" s="400" t="s">
        <v>1144</v>
      </c>
      <c r="S23" s="333">
        <f t="shared" si="9"/>
        <v>12</v>
      </c>
      <c r="T23" s="334"/>
      <c r="U23" s="348">
        <v>687879</v>
      </c>
      <c r="V23" s="348"/>
      <c r="W23" s="334">
        <v>687879</v>
      </c>
      <c r="AC23" s="334" t="e">
        <f t="shared" ca="1" si="0"/>
        <v>#NAME?</v>
      </c>
      <c r="AD23" s="348" t="e">
        <f t="shared" ca="1" si="1"/>
        <v>#NAME?</v>
      </c>
      <c r="AE23" s="348" t="e">
        <f t="shared" ca="1" si="2"/>
        <v>#NAME?</v>
      </c>
      <c r="AF23" s="334" t="e">
        <f t="shared" ca="1" si="3"/>
        <v>#NAME?</v>
      </c>
      <c r="AH23" s="334" t="e">
        <f t="shared" ca="1" si="4"/>
        <v>#NAME?</v>
      </c>
      <c r="AI23" s="348" t="e">
        <f t="shared" ca="1" si="5"/>
        <v>#NAME?</v>
      </c>
      <c r="AJ23" s="348" t="e">
        <f t="shared" ca="1" si="6"/>
        <v>#NAME?</v>
      </c>
      <c r="AK23" s="334" t="e">
        <f t="shared" ca="1" si="7"/>
        <v>#NAME?</v>
      </c>
    </row>
    <row r="24" spans="1:37" ht="15">
      <c r="A24" s="313" t="s">
        <v>659</v>
      </c>
      <c r="B24" s="314" t="s">
        <v>660</v>
      </c>
      <c r="O24" t="e">
        <f t="shared" ca="1" si="8"/>
        <v>#NAME?</v>
      </c>
      <c r="Q24" s="331" t="s">
        <v>979</v>
      </c>
      <c r="R24" s="400" t="s">
        <v>1145</v>
      </c>
      <c r="S24" s="333">
        <f t="shared" si="9"/>
        <v>13</v>
      </c>
      <c r="T24" s="334"/>
      <c r="U24" s="348">
        <v>148041</v>
      </c>
      <c r="V24" s="348"/>
      <c r="W24" s="334">
        <v>148041</v>
      </c>
      <c r="AC24" s="334" t="e">
        <f t="shared" ca="1" si="0"/>
        <v>#NAME?</v>
      </c>
      <c r="AD24" s="348" t="e">
        <f t="shared" ca="1" si="1"/>
        <v>#NAME?</v>
      </c>
      <c r="AE24" s="348" t="e">
        <f t="shared" ca="1" si="2"/>
        <v>#NAME?</v>
      </c>
      <c r="AF24" s="334" t="e">
        <f t="shared" ca="1" si="3"/>
        <v>#NAME?</v>
      </c>
      <c r="AH24" s="334" t="e">
        <f t="shared" ca="1" si="4"/>
        <v>#NAME?</v>
      </c>
      <c r="AI24" s="348" t="e">
        <f t="shared" ca="1" si="5"/>
        <v>#NAME?</v>
      </c>
      <c r="AJ24" s="348" t="e">
        <f t="shared" ca="1" si="6"/>
        <v>#NAME?</v>
      </c>
      <c r="AK24" s="334" t="e">
        <f t="shared" ca="1" si="7"/>
        <v>#NAME?</v>
      </c>
    </row>
    <row r="25" spans="1:37" ht="26.25">
      <c r="A25" s="316" t="s">
        <v>664</v>
      </c>
      <c r="B25" s="317"/>
      <c r="O25" t="e">
        <f t="shared" ca="1" si="8"/>
        <v>#NAME?</v>
      </c>
      <c r="Q25" s="331" t="s">
        <v>980</v>
      </c>
      <c r="R25" s="400" t="s">
        <v>1146</v>
      </c>
      <c r="S25" s="333">
        <f t="shared" si="9"/>
        <v>14</v>
      </c>
      <c r="T25" s="334">
        <v>91086</v>
      </c>
      <c r="U25" s="348">
        <v>73508</v>
      </c>
      <c r="V25" s="348"/>
      <c r="W25" s="334">
        <v>164594</v>
      </c>
      <c r="AC25" s="334" t="e">
        <f t="shared" ca="1" si="0"/>
        <v>#NAME?</v>
      </c>
      <c r="AD25" s="348" t="e">
        <f t="shared" ca="1" si="1"/>
        <v>#NAME?</v>
      </c>
      <c r="AE25" s="348" t="e">
        <f t="shared" ca="1" si="2"/>
        <v>#NAME?</v>
      </c>
      <c r="AF25" s="334" t="e">
        <f t="shared" ca="1" si="3"/>
        <v>#NAME?</v>
      </c>
      <c r="AH25" s="334" t="e">
        <f t="shared" ca="1" si="4"/>
        <v>#NAME?</v>
      </c>
      <c r="AI25" s="348" t="e">
        <f t="shared" ca="1" si="5"/>
        <v>#NAME?</v>
      </c>
      <c r="AJ25" s="348" t="e">
        <f t="shared" ca="1" si="6"/>
        <v>#NAME?</v>
      </c>
      <c r="AK25" s="334" t="e">
        <f t="shared" ca="1" si="7"/>
        <v>#NAME?</v>
      </c>
    </row>
    <row r="26" spans="1:37" ht="30">
      <c r="A26" s="316" t="s">
        <v>666</v>
      </c>
      <c r="B26" s="317"/>
      <c r="O26" t="e">
        <f t="shared" ca="1" si="8"/>
        <v>#NAME?</v>
      </c>
      <c r="Q26" s="331" t="s">
        <v>981</v>
      </c>
      <c r="R26" s="399" t="s">
        <v>1147</v>
      </c>
      <c r="S26" s="381">
        <f t="shared" si="9"/>
        <v>15</v>
      </c>
      <c r="T26" s="350"/>
      <c r="U26" s="350"/>
      <c r="V26" s="350"/>
      <c r="W26" s="350"/>
      <c r="AC26" s="350" t="e">
        <f t="shared" ca="1" si="0"/>
        <v>#NAME?</v>
      </c>
      <c r="AD26" s="350" t="e">
        <f t="shared" ca="1" si="1"/>
        <v>#NAME?</v>
      </c>
      <c r="AE26" s="350" t="e">
        <f t="shared" ca="1" si="2"/>
        <v>#NAME?</v>
      </c>
      <c r="AF26" s="350" t="e">
        <f t="shared" ca="1" si="3"/>
        <v>#NAME?</v>
      </c>
      <c r="AH26" s="350" t="e">
        <f t="shared" ca="1" si="4"/>
        <v>#NAME?</v>
      </c>
      <c r="AI26" s="350" t="e">
        <f t="shared" ca="1" si="5"/>
        <v>#NAME?</v>
      </c>
      <c r="AJ26" s="350" t="e">
        <f t="shared" ca="1" si="6"/>
        <v>#NAME?</v>
      </c>
      <c r="AK26" s="350" t="e">
        <f t="shared" ca="1" si="7"/>
        <v>#NAME?</v>
      </c>
    </row>
    <row r="27" spans="1:37" ht="15">
      <c r="A27" s="316" t="s">
        <v>667</v>
      </c>
      <c r="B27" s="317"/>
      <c r="O27" t="e">
        <f t="shared" ca="1" si="8"/>
        <v>#NAME?</v>
      </c>
      <c r="Q27" s="331" t="s">
        <v>982</v>
      </c>
      <c r="R27" s="400" t="s">
        <v>1148</v>
      </c>
      <c r="S27" s="333">
        <f t="shared" si="9"/>
        <v>16</v>
      </c>
      <c r="T27" s="334"/>
      <c r="U27" s="348"/>
      <c r="V27" s="348"/>
      <c r="W27" s="334"/>
      <c r="AC27" s="334" t="e">
        <f t="shared" ca="1" si="0"/>
        <v>#NAME?</v>
      </c>
      <c r="AD27" s="348" t="e">
        <f t="shared" ca="1" si="1"/>
        <v>#NAME?</v>
      </c>
      <c r="AE27" s="348" t="e">
        <f t="shared" ca="1" si="2"/>
        <v>#NAME?</v>
      </c>
      <c r="AF27" s="334" t="e">
        <f t="shared" ca="1" si="3"/>
        <v>#NAME?</v>
      </c>
      <c r="AH27" s="334" t="e">
        <f t="shared" ca="1" si="4"/>
        <v>#NAME?</v>
      </c>
      <c r="AI27" s="348" t="e">
        <f t="shared" ca="1" si="5"/>
        <v>#NAME?</v>
      </c>
      <c r="AJ27" s="348" t="e">
        <f t="shared" ca="1" si="6"/>
        <v>#NAME?</v>
      </c>
      <c r="AK27" s="334" t="e">
        <f t="shared" ca="1" si="7"/>
        <v>#NAME?</v>
      </c>
    </row>
    <row r="28" spans="1:37" ht="15">
      <c r="A28" s="316" t="s">
        <v>668</v>
      </c>
      <c r="B28" s="317"/>
      <c r="F28" s="345"/>
      <c r="O28" t="e">
        <f t="shared" ca="1" si="8"/>
        <v>#NAME?</v>
      </c>
      <c r="Q28" s="331" t="s">
        <v>983</v>
      </c>
      <c r="R28" s="400" t="s">
        <v>1149</v>
      </c>
      <c r="S28" s="333">
        <f t="shared" si="9"/>
        <v>17</v>
      </c>
      <c r="T28" s="334"/>
      <c r="U28" s="348"/>
      <c r="V28" s="348"/>
      <c r="W28" s="334"/>
      <c r="AC28" s="334" t="e">
        <f t="shared" ca="1" si="0"/>
        <v>#NAME?</v>
      </c>
      <c r="AD28" s="348" t="e">
        <f t="shared" ca="1" si="1"/>
        <v>#NAME?</v>
      </c>
      <c r="AE28" s="348" t="e">
        <f t="shared" ca="1" si="2"/>
        <v>#NAME?</v>
      </c>
      <c r="AF28" s="334" t="e">
        <f t="shared" ca="1" si="3"/>
        <v>#NAME?</v>
      </c>
      <c r="AH28" s="334" t="e">
        <f t="shared" ca="1" si="4"/>
        <v>#NAME?</v>
      </c>
      <c r="AI28" s="348" t="e">
        <f t="shared" ca="1" si="5"/>
        <v>#NAME?</v>
      </c>
      <c r="AJ28" s="348" t="e">
        <f t="shared" ca="1" si="6"/>
        <v>#NAME?</v>
      </c>
      <c r="AK28" s="334" t="e">
        <f t="shared" ca="1" si="7"/>
        <v>#NAME?</v>
      </c>
    </row>
    <row r="29" spans="1:37" ht="15">
      <c r="A29" s="316" t="s">
        <v>669</v>
      </c>
      <c r="B29" s="317" t="s">
        <v>670</v>
      </c>
      <c r="F29" s="345"/>
      <c r="O29" t="e">
        <f t="shared" ca="1" si="8"/>
        <v>#NAME?</v>
      </c>
      <c r="Q29" s="331" t="s">
        <v>984</v>
      </c>
      <c r="R29" s="400" t="s">
        <v>1150</v>
      </c>
      <c r="S29" s="333">
        <f t="shared" si="9"/>
        <v>18</v>
      </c>
      <c r="T29" s="334"/>
      <c r="U29" s="348"/>
      <c r="V29" s="348"/>
      <c r="W29" s="334"/>
      <c r="AC29" s="334" t="e">
        <f t="shared" ca="1" si="0"/>
        <v>#NAME?</v>
      </c>
      <c r="AD29" s="348" t="e">
        <f t="shared" ca="1" si="1"/>
        <v>#NAME?</v>
      </c>
      <c r="AE29" s="348" t="e">
        <f t="shared" ca="1" si="2"/>
        <v>#NAME?</v>
      </c>
      <c r="AF29" s="334" t="e">
        <f t="shared" ca="1" si="3"/>
        <v>#NAME?</v>
      </c>
      <c r="AH29" s="334" t="e">
        <f t="shared" ca="1" si="4"/>
        <v>#NAME?</v>
      </c>
      <c r="AI29" s="348" t="e">
        <f t="shared" ca="1" si="5"/>
        <v>#NAME?</v>
      </c>
      <c r="AJ29" s="348" t="e">
        <f t="shared" ca="1" si="6"/>
        <v>#NAME?</v>
      </c>
      <c r="AK29" s="334" t="e">
        <f t="shared" ca="1" si="7"/>
        <v>#NAME?</v>
      </c>
    </row>
    <row r="30" spans="1:37" ht="15">
      <c r="A30" s="316" t="s">
        <v>671</v>
      </c>
      <c r="B30" s="317" t="s">
        <v>670</v>
      </c>
      <c r="F30" s="345"/>
      <c r="O30" t="e">
        <f t="shared" ca="1" si="8"/>
        <v>#NAME?</v>
      </c>
      <c r="Q30" s="331" t="s">
        <v>985</v>
      </c>
      <c r="R30" s="400" t="s">
        <v>1151</v>
      </c>
      <c r="S30" s="333">
        <f t="shared" si="9"/>
        <v>19</v>
      </c>
      <c r="T30" s="334"/>
      <c r="U30" s="348"/>
      <c r="V30" s="348"/>
      <c r="W30" s="334"/>
      <c r="AC30" s="334" t="e">
        <f t="shared" ca="1" si="0"/>
        <v>#NAME?</v>
      </c>
      <c r="AD30" s="348" t="e">
        <f t="shared" ca="1" si="1"/>
        <v>#NAME?</v>
      </c>
      <c r="AE30" s="348" t="e">
        <f t="shared" ca="1" si="2"/>
        <v>#NAME?</v>
      </c>
      <c r="AF30" s="334" t="e">
        <f t="shared" ca="1" si="3"/>
        <v>#NAME?</v>
      </c>
      <c r="AH30" s="334" t="e">
        <f t="shared" ca="1" si="4"/>
        <v>#NAME?</v>
      </c>
      <c r="AI30" s="348" t="e">
        <f t="shared" ca="1" si="5"/>
        <v>#NAME?</v>
      </c>
      <c r="AJ30" s="348" t="e">
        <f t="shared" ca="1" si="6"/>
        <v>#NAME?</v>
      </c>
      <c r="AK30" s="334" t="e">
        <f t="shared" ca="1" si="7"/>
        <v>#NAME?</v>
      </c>
    </row>
    <row r="31" spans="1:37" ht="26.25">
      <c r="A31" s="316" t="s">
        <v>672</v>
      </c>
      <c r="B31" s="317"/>
      <c r="F31" s="345"/>
      <c r="O31" t="e">
        <f t="shared" ca="1" si="8"/>
        <v>#NAME?</v>
      </c>
      <c r="Q31" s="331" t="s">
        <v>986</v>
      </c>
      <c r="R31" s="400" t="s">
        <v>1152</v>
      </c>
      <c r="S31" s="333">
        <f t="shared" si="9"/>
        <v>20</v>
      </c>
      <c r="T31" s="334"/>
      <c r="U31" s="348"/>
      <c r="V31" s="348"/>
      <c r="W31" s="334"/>
      <c r="AC31" s="334" t="e">
        <f t="shared" ca="1" si="0"/>
        <v>#NAME?</v>
      </c>
      <c r="AD31" s="348" t="e">
        <f t="shared" ca="1" si="1"/>
        <v>#NAME?</v>
      </c>
      <c r="AE31" s="348" t="e">
        <f t="shared" ca="1" si="2"/>
        <v>#NAME?</v>
      </c>
      <c r="AF31" s="334" t="e">
        <f t="shared" ca="1" si="3"/>
        <v>#NAME?</v>
      </c>
      <c r="AH31" s="334" t="e">
        <f t="shared" ca="1" si="4"/>
        <v>#NAME?</v>
      </c>
      <c r="AI31" s="348" t="e">
        <f t="shared" ca="1" si="5"/>
        <v>#NAME?</v>
      </c>
      <c r="AJ31" s="348" t="e">
        <f t="shared" ca="1" si="6"/>
        <v>#NAME?</v>
      </c>
      <c r="AK31" s="334" t="e">
        <f t="shared" ca="1" si="7"/>
        <v>#NAME?</v>
      </c>
    </row>
    <row r="32" spans="1:37" ht="15">
      <c r="A32" s="316" t="s">
        <v>673</v>
      </c>
      <c r="B32" s="317"/>
      <c r="F32" s="345"/>
      <c r="O32" t="e">
        <f t="shared" ca="1" si="8"/>
        <v>#NAME?</v>
      </c>
      <c r="Q32" s="331" t="s">
        <v>987</v>
      </c>
      <c r="R32" s="400" t="s">
        <v>1153</v>
      </c>
      <c r="S32" s="333">
        <f t="shared" si="9"/>
        <v>21</v>
      </c>
      <c r="T32" s="334"/>
      <c r="U32" s="348"/>
      <c r="V32" s="348"/>
      <c r="W32" s="334"/>
      <c r="AC32" s="334" t="e">
        <f t="shared" ca="1" si="0"/>
        <v>#NAME?</v>
      </c>
      <c r="AD32" s="348" t="e">
        <f t="shared" ca="1" si="1"/>
        <v>#NAME?</v>
      </c>
      <c r="AE32" s="348" t="e">
        <f t="shared" ca="1" si="2"/>
        <v>#NAME?</v>
      </c>
      <c r="AF32" s="334" t="e">
        <f t="shared" ca="1" si="3"/>
        <v>#NAME?</v>
      </c>
      <c r="AH32" s="334" t="e">
        <f t="shared" ca="1" si="4"/>
        <v>#NAME?</v>
      </c>
      <c r="AI32" s="348" t="e">
        <f t="shared" ca="1" si="5"/>
        <v>#NAME?</v>
      </c>
      <c r="AJ32" s="348" t="e">
        <f t="shared" ca="1" si="6"/>
        <v>#NAME?</v>
      </c>
      <c r="AK32" s="334" t="e">
        <f t="shared" ca="1" si="7"/>
        <v>#NAME?</v>
      </c>
    </row>
    <row r="33" spans="1:37" ht="15">
      <c r="A33" s="316" t="s">
        <v>675</v>
      </c>
      <c r="B33" s="317"/>
      <c r="F33" s="345"/>
      <c r="O33" t="e">
        <f t="shared" ca="1" si="8"/>
        <v>#NAME?</v>
      </c>
      <c r="Q33" s="331" t="s">
        <v>988</v>
      </c>
      <c r="R33" s="400" t="s">
        <v>1154</v>
      </c>
      <c r="S33" s="333">
        <f t="shared" si="9"/>
        <v>22</v>
      </c>
      <c r="T33" s="334"/>
      <c r="U33" s="348"/>
      <c r="V33" s="348"/>
      <c r="W33" s="334"/>
      <c r="AC33" s="334" t="e">
        <f t="shared" ca="1" si="0"/>
        <v>#NAME?</v>
      </c>
      <c r="AD33" s="348" t="e">
        <f t="shared" ca="1" si="1"/>
        <v>#NAME?</v>
      </c>
      <c r="AE33" s="348" t="e">
        <f t="shared" ca="1" si="2"/>
        <v>#NAME?</v>
      </c>
      <c r="AF33" s="334" t="e">
        <f t="shared" ca="1" si="3"/>
        <v>#NAME?</v>
      </c>
      <c r="AH33" s="334" t="e">
        <f t="shared" ca="1" si="4"/>
        <v>#NAME?</v>
      </c>
      <c r="AI33" s="348" t="e">
        <f t="shared" ca="1" si="5"/>
        <v>#NAME?</v>
      </c>
      <c r="AJ33" s="348" t="e">
        <f t="shared" ca="1" si="6"/>
        <v>#NAME?</v>
      </c>
      <c r="AK33" s="334" t="e">
        <f t="shared" ca="1" si="7"/>
        <v>#NAME?</v>
      </c>
    </row>
    <row r="34" spans="1:37" ht="15">
      <c r="A34" s="316" t="s">
        <v>676</v>
      </c>
      <c r="B34" s="317"/>
      <c r="F34" s="345"/>
      <c r="O34" t="e">
        <f t="shared" ca="1" si="8"/>
        <v>#NAME?</v>
      </c>
      <c r="Q34" s="331" t="s">
        <v>989</v>
      </c>
      <c r="R34" s="400" t="s">
        <v>1155</v>
      </c>
      <c r="S34" s="333">
        <f t="shared" si="9"/>
        <v>23</v>
      </c>
      <c r="T34" s="334"/>
      <c r="U34" s="348"/>
      <c r="V34" s="348"/>
      <c r="W34" s="334"/>
      <c r="AC34" s="334" t="e">
        <f t="shared" ca="1" si="0"/>
        <v>#NAME?</v>
      </c>
      <c r="AD34" s="348" t="e">
        <f t="shared" ca="1" si="1"/>
        <v>#NAME?</v>
      </c>
      <c r="AE34" s="348" t="e">
        <f t="shared" ca="1" si="2"/>
        <v>#NAME?</v>
      </c>
      <c r="AF34" s="334" t="e">
        <f t="shared" ca="1" si="3"/>
        <v>#NAME?</v>
      </c>
      <c r="AH34" s="334" t="e">
        <f t="shared" ca="1" si="4"/>
        <v>#NAME?</v>
      </c>
      <c r="AI34" s="348" t="e">
        <f t="shared" ca="1" si="5"/>
        <v>#NAME?</v>
      </c>
      <c r="AJ34" s="348" t="e">
        <f t="shared" ca="1" si="6"/>
        <v>#NAME?</v>
      </c>
      <c r="AK34" s="334" t="e">
        <f t="shared" ca="1" si="7"/>
        <v>#NAME?</v>
      </c>
    </row>
    <row r="35" spans="1:37" ht="26.25">
      <c r="A35" s="316" t="s">
        <v>677</v>
      </c>
      <c r="B35" s="317"/>
      <c r="O35" t="e">
        <f t="shared" ca="1" si="8"/>
        <v>#NAME?</v>
      </c>
      <c r="Q35" s="331" t="s">
        <v>990</v>
      </c>
      <c r="R35" s="400" t="s">
        <v>1156</v>
      </c>
      <c r="S35" s="333">
        <f t="shared" si="9"/>
        <v>24</v>
      </c>
      <c r="T35" s="334"/>
      <c r="U35" s="348"/>
      <c r="V35" s="348"/>
      <c r="W35" s="334"/>
      <c r="AC35" s="334" t="e">
        <f t="shared" ca="1" si="0"/>
        <v>#NAME?</v>
      </c>
      <c r="AD35" s="348" t="e">
        <f t="shared" ca="1" si="1"/>
        <v>#NAME?</v>
      </c>
      <c r="AE35" s="348" t="e">
        <f t="shared" ca="1" si="2"/>
        <v>#NAME?</v>
      </c>
      <c r="AF35" s="334" t="e">
        <f t="shared" ca="1" si="3"/>
        <v>#NAME?</v>
      </c>
      <c r="AH35" s="334" t="e">
        <f t="shared" ca="1" si="4"/>
        <v>#NAME?</v>
      </c>
      <c r="AI35" s="348" t="e">
        <f t="shared" ca="1" si="5"/>
        <v>#NAME?</v>
      </c>
      <c r="AJ35" s="348" t="e">
        <f t="shared" ca="1" si="6"/>
        <v>#NAME?</v>
      </c>
      <c r="AK35" s="334" t="e">
        <f t="shared" ca="1" si="7"/>
        <v>#NAME?</v>
      </c>
    </row>
    <row r="36" spans="1:37" ht="15">
      <c r="A36" s="316" t="s">
        <v>678</v>
      </c>
      <c r="B36" s="317"/>
      <c r="O36" t="e">
        <f t="shared" ca="1" si="8"/>
        <v>#NAME?</v>
      </c>
      <c r="Q36" s="331" t="s">
        <v>991</v>
      </c>
      <c r="R36" s="400" t="s">
        <v>1157</v>
      </c>
      <c r="S36" s="333">
        <f t="shared" si="9"/>
        <v>25</v>
      </c>
      <c r="T36" s="334"/>
      <c r="U36" s="348"/>
      <c r="V36" s="348"/>
      <c r="W36" s="334"/>
      <c r="AC36" s="334" t="e">
        <f t="shared" ca="1" si="0"/>
        <v>#NAME?</v>
      </c>
      <c r="AD36" s="348" t="e">
        <f t="shared" ca="1" si="1"/>
        <v>#NAME?</v>
      </c>
      <c r="AE36" s="348" t="e">
        <f t="shared" ca="1" si="2"/>
        <v>#NAME?</v>
      </c>
      <c r="AF36" s="334" t="e">
        <f t="shared" ca="1" si="3"/>
        <v>#NAME?</v>
      </c>
      <c r="AH36" s="334" t="e">
        <f t="shared" ca="1" si="4"/>
        <v>#NAME?</v>
      </c>
      <c r="AI36" s="348" t="e">
        <f t="shared" ca="1" si="5"/>
        <v>#NAME?</v>
      </c>
      <c r="AJ36" s="348" t="e">
        <f t="shared" ca="1" si="6"/>
        <v>#NAME?</v>
      </c>
      <c r="AK36" s="334" t="e">
        <f t="shared" ca="1" si="7"/>
        <v>#NAME?</v>
      </c>
    </row>
    <row r="37" spans="1:37" ht="15">
      <c r="A37" s="316" t="s">
        <v>679</v>
      </c>
      <c r="B37" s="317"/>
      <c r="O37" t="e">
        <f t="shared" ca="1" si="8"/>
        <v>#NAME?</v>
      </c>
      <c r="Q37" s="331" t="s">
        <v>992</v>
      </c>
      <c r="R37" s="400" t="s">
        <v>1158</v>
      </c>
      <c r="S37" s="333">
        <f t="shared" si="9"/>
        <v>26</v>
      </c>
      <c r="T37" s="334"/>
      <c r="U37" s="348"/>
      <c r="V37" s="348"/>
      <c r="W37" s="334"/>
      <c r="AC37" s="334" t="e">
        <f t="shared" ca="1" si="0"/>
        <v>#NAME?</v>
      </c>
      <c r="AD37" s="348" t="e">
        <f t="shared" ca="1" si="1"/>
        <v>#NAME?</v>
      </c>
      <c r="AE37" s="348" t="e">
        <f t="shared" ca="1" si="2"/>
        <v>#NAME?</v>
      </c>
      <c r="AF37" s="334" t="e">
        <f t="shared" ca="1" si="3"/>
        <v>#NAME?</v>
      </c>
      <c r="AH37" s="334" t="e">
        <f t="shared" ca="1" si="4"/>
        <v>#NAME?</v>
      </c>
      <c r="AI37" s="348" t="e">
        <f t="shared" ca="1" si="5"/>
        <v>#NAME?</v>
      </c>
      <c r="AJ37" s="348" t="e">
        <f t="shared" ca="1" si="6"/>
        <v>#NAME?</v>
      </c>
      <c r="AK37" s="334" t="e">
        <f t="shared" ca="1" si="7"/>
        <v>#NAME?</v>
      </c>
    </row>
    <row r="38" spans="1:37" ht="26.25">
      <c r="A38" s="316" t="s">
        <v>680</v>
      </c>
      <c r="B38" s="317"/>
      <c r="O38" t="e">
        <f t="shared" ca="1" si="8"/>
        <v>#NAME?</v>
      </c>
      <c r="Q38" s="331" t="s">
        <v>993</v>
      </c>
      <c r="R38" s="400" t="s">
        <v>1159</v>
      </c>
      <c r="S38" s="333">
        <f t="shared" si="9"/>
        <v>27</v>
      </c>
      <c r="T38" s="334"/>
      <c r="U38" s="348"/>
      <c r="V38" s="348"/>
      <c r="W38" s="334"/>
      <c r="AC38" s="334" t="e">
        <f t="shared" ca="1" si="0"/>
        <v>#NAME?</v>
      </c>
      <c r="AD38" s="348" t="e">
        <f t="shared" ca="1" si="1"/>
        <v>#NAME?</v>
      </c>
      <c r="AE38" s="348" t="e">
        <f t="shared" ca="1" si="2"/>
        <v>#NAME?</v>
      </c>
      <c r="AF38" s="334" t="e">
        <f t="shared" ca="1" si="3"/>
        <v>#NAME?</v>
      </c>
      <c r="AH38" s="334" t="e">
        <f t="shared" ca="1" si="4"/>
        <v>#NAME?</v>
      </c>
      <c r="AI38" s="348" t="e">
        <f t="shared" ca="1" si="5"/>
        <v>#NAME?</v>
      </c>
      <c r="AJ38" s="348" t="e">
        <f t="shared" ca="1" si="6"/>
        <v>#NAME?</v>
      </c>
      <c r="AK38" s="334" t="e">
        <f t="shared" ca="1" si="7"/>
        <v>#NAME?</v>
      </c>
    </row>
    <row r="39" spans="1:37" ht="26.25">
      <c r="A39" s="316" t="s">
        <v>681</v>
      </c>
      <c r="B39" s="317"/>
      <c r="O39" t="e">
        <f t="shared" ca="1" si="8"/>
        <v>#NAME?</v>
      </c>
      <c r="Q39" s="331" t="s">
        <v>994</v>
      </c>
      <c r="R39" s="400" t="s">
        <v>1160</v>
      </c>
      <c r="S39" s="333">
        <f t="shared" si="9"/>
        <v>28</v>
      </c>
      <c r="T39" s="334"/>
      <c r="U39" s="348"/>
      <c r="V39" s="348"/>
      <c r="W39" s="334"/>
      <c r="AC39" s="334" t="e">
        <f t="shared" ca="1" si="0"/>
        <v>#NAME?</v>
      </c>
      <c r="AD39" s="348" t="e">
        <f t="shared" ca="1" si="1"/>
        <v>#NAME?</v>
      </c>
      <c r="AE39" s="348" t="e">
        <f t="shared" ca="1" si="2"/>
        <v>#NAME?</v>
      </c>
      <c r="AF39" s="334" t="e">
        <f t="shared" ca="1" si="3"/>
        <v>#NAME?</v>
      </c>
      <c r="AH39" s="334" t="e">
        <f t="shared" ca="1" si="4"/>
        <v>#NAME?</v>
      </c>
      <c r="AI39" s="348" t="e">
        <f t="shared" ca="1" si="5"/>
        <v>#NAME?</v>
      </c>
      <c r="AJ39" s="348" t="e">
        <f t="shared" ca="1" si="6"/>
        <v>#NAME?</v>
      </c>
      <c r="AK39" s="334" t="e">
        <f t="shared" ca="1" si="7"/>
        <v>#NAME?</v>
      </c>
    </row>
    <row r="40" spans="1:37" ht="15">
      <c r="A40" s="316" t="s">
        <v>682</v>
      </c>
      <c r="B40" s="317"/>
      <c r="O40" t="e">
        <f t="shared" ca="1" si="8"/>
        <v>#NAME?</v>
      </c>
      <c r="Q40" s="331" t="s">
        <v>995</v>
      </c>
      <c r="R40" s="398" t="s">
        <v>1161</v>
      </c>
      <c r="S40" s="333">
        <f t="shared" si="9"/>
        <v>29</v>
      </c>
      <c r="T40" s="334"/>
      <c r="U40" s="348">
        <v>1050</v>
      </c>
      <c r="V40" s="348"/>
      <c r="W40" s="334">
        <v>1050</v>
      </c>
      <c r="AC40" s="334" t="e">
        <f t="shared" ca="1" si="0"/>
        <v>#NAME?</v>
      </c>
      <c r="AD40" s="348" t="e">
        <f t="shared" ca="1" si="1"/>
        <v>#NAME?</v>
      </c>
      <c r="AE40" s="348" t="e">
        <f t="shared" ca="1" si="2"/>
        <v>#NAME?</v>
      </c>
      <c r="AF40" s="334" t="e">
        <f t="shared" ca="1" si="3"/>
        <v>#NAME?</v>
      </c>
      <c r="AH40" s="334" t="e">
        <f t="shared" ca="1" si="4"/>
        <v>#NAME?</v>
      </c>
      <c r="AI40" s="348" t="e">
        <f t="shared" ca="1" si="5"/>
        <v>#NAME?</v>
      </c>
      <c r="AJ40" s="348" t="e">
        <f t="shared" ca="1" si="6"/>
        <v>#NAME?</v>
      </c>
      <c r="AK40" s="334" t="e">
        <f t="shared" ca="1" si="7"/>
        <v>#NAME?</v>
      </c>
    </row>
    <row r="41" spans="1:37" ht="26.25">
      <c r="A41" s="316" t="s">
        <v>683</v>
      </c>
      <c r="B41" s="317"/>
      <c r="O41" t="e">
        <f t="shared" ca="1" si="8"/>
        <v>#NAME?</v>
      </c>
      <c r="Q41" s="331" t="s">
        <v>996</v>
      </c>
      <c r="R41" s="398" t="s">
        <v>1162</v>
      </c>
      <c r="S41" s="333">
        <f t="shared" si="9"/>
        <v>30</v>
      </c>
      <c r="T41" s="334"/>
      <c r="U41" s="348"/>
      <c r="V41" s="348"/>
      <c r="W41" s="334"/>
      <c r="AC41" s="334" t="e">
        <f t="shared" ca="1" si="0"/>
        <v>#NAME?</v>
      </c>
      <c r="AD41" s="348" t="e">
        <f t="shared" ca="1" si="1"/>
        <v>#NAME?</v>
      </c>
      <c r="AE41" s="348" t="e">
        <f t="shared" ca="1" si="2"/>
        <v>#NAME?</v>
      </c>
      <c r="AF41" s="334" t="e">
        <f t="shared" ca="1" si="3"/>
        <v>#NAME?</v>
      </c>
      <c r="AH41" s="334" t="e">
        <f t="shared" ca="1" si="4"/>
        <v>#NAME?</v>
      </c>
      <c r="AI41" s="348" t="e">
        <f t="shared" ca="1" si="5"/>
        <v>#NAME?</v>
      </c>
      <c r="AJ41" s="348" t="e">
        <f t="shared" ca="1" si="6"/>
        <v>#NAME?</v>
      </c>
      <c r="AK41" s="334" t="e">
        <f t="shared" ca="1" si="7"/>
        <v>#NAME?</v>
      </c>
    </row>
    <row r="42" spans="1:37">
      <c r="O42" t="e">
        <f t="shared" ca="1" si="8"/>
        <v>#NAME?</v>
      </c>
      <c r="Q42" s="331" t="s">
        <v>997</v>
      </c>
      <c r="R42" s="398" t="s">
        <v>1163</v>
      </c>
      <c r="S42" s="333">
        <f t="shared" si="9"/>
        <v>31</v>
      </c>
      <c r="T42" s="334">
        <v>269128</v>
      </c>
      <c r="U42" s="348">
        <v>4445177</v>
      </c>
      <c r="V42" s="348"/>
      <c r="W42" s="334">
        <v>4714305</v>
      </c>
      <c r="AC42" s="334" t="e">
        <f t="shared" ca="1" si="0"/>
        <v>#NAME?</v>
      </c>
      <c r="AD42" s="348" t="e">
        <f t="shared" ca="1" si="1"/>
        <v>#NAME?</v>
      </c>
      <c r="AE42" s="348" t="e">
        <f t="shared" ca="1" si="2"/>
        <v>#NAME?</v>
      </c>
      <c r="AF42" s="334" t="e">
        <f t="shared" ca="1" si="3"/>
        <v>#NAME?</v>
      </c>
      <c r="AH42" s="334" t="e">
        <f t="shared" ca="1" si="4"/>
        <v>#NAME?</v>
      </c>
      <c r="AI42" s="348" t="e">
        <f t="shared" ca="1" si="5"/>
        <v>#NAME?</v>
      </c>
      <c r="AJ42" s="348" t="e">
        <f t="shared" ca="1" si="6"/>
        <v>#NAME?</v>
      </c>
      <c r="AK42" s="334" t="e">
        <f t="shared" ca="1" si="7"/>
        <v>#NAME?</v>
      </c>
    </row>
    <row r="43" spans="1:37" ht="15">
      <c r="O43" t="e">
        <f t="shared" ca="1" si="8"/>
        <v>#NAME?</v>
      </c>
      <c r="Q43" s="331" t="s">
        <v>998</v>
      </c>
      <c r="R43" s="399" t="s">
        <v>1164</v>
      </c>
      <c r="S43" s="381">
        <f t="shared" si="9"/>
        <v>32</v>
      </c>
      <c r="T43" s="350">
        <v>140</v>
      </c>
      <c r="U43" s="350">
        <v>964339</v>
      </c>
      <c r="V43" s="350"/>
      <c r="W43" s="350">
        <v>964479</v>
      </c>
      <c r="AC43" s="350" t="e">
        <f t="shared" ca="1" si="0"/>
        <v>#NAME?</v>
      </c>
      <c r="AD43" s="350" t="e">
        <f t="shared" ca="1" si="1"/>
        <v>#NAME?</v>
      </c>
      <c r="AE43" s="350" t="e">
        <f t="shared" ca="1" si="2"/>
        <v>#NAME?</v>
      </c>
      <c r="AF43" s="350" t="e">
        <f t="shared" ca="1" si="3"/>
        <v>#NAME?</v>
      </c>
      <c r="AH43" s="350" t="e">
        <f t="shared" ca="1" si="4"/>
        <v>#NAME?</v>
      </c>
      <c r="AI43" s="350" t="e">
        <f t="shared" ca="1" si="5"/>
        <v>#NAME?</v>
      </c>
      <c r="AJ43" s="350" t="e">
        <f t="shared" ca="1" si="6"/>
        <v>#NAME?</v>
      </c>
      <c r="AK43" s="350" t="e">
        <f t="shared" ca="1" si="7"/>
        <v>#NAME?</v>
      </c>
    </row>
    <row r="44" spans="1:37">
      <c r="M44" s="401" t="e">
        <f ca="1">EV_COM(R44,EV_APP(),Q44,$D$2,$D$3,$D$4,"M3_NONE","M4_NONE","F_NONE","NON_GROUP","YTD","LC",$D$11,"I_NONE")</f>
        <v>#NAME?</v>
      </c>
      <c r="N44" t="s">
        <v>999</v>
      </c>
      <c r="O44" t="e">
        <f t="shared" ca="1" si="8"/>
        <v>#NAME?</v>
      </c>
      <c r="Q44" s="331" t="s">
        <v>1000</v>
      </c>
      <c r="R44" s="402"/>
      <c r="S44" s="403">
        <f t="shared" si="9"/>
        <v>33</v>
      </c>
      <c r="T44" s="334">
        <v>140</v>
      </c>
      <c r="U44" s="348">
        <v>964339</v>
      </c>
      <c r="V44" s="348"/>
      <c r="W44" s="334">
        <v>964479</v>
      </c>
      <c r="AC44" s="334" t="e">
        <f t="shared" ref="AC44:AC75" ca="1" si="10">IF(EV_PRO($D$1,Q44,"HLEVEL")="4",AC43+1,AC43)</f>
        <v>#NAME?</v>
      </c>
      <c r="AD44" s="348" t="e">
        <f t="shared" ref="AD44:AD75" ca="1" si="11">IF(EV_PRO($D$1,R44,"HLEVEL")="4",AD43+1,AD43)</f>
        <v>#NAME?</v>
      </c>
      <c r="AE44" s="348" t="e">
        <f t="shared" ref="AE44:AE75" ca="1" si="12">IF(EV_PRO($D$1,S44,"HLEVEL")="4",AE43+1,AE43)</f>
        <v>#NAME?</v>
      </c>
      <c r="AF44" s="334" t="e">
        <f t="shared" ref="AF44:AF75" ca="1" si="13">IF(EV_PRO($D$1,T44,"HLEVEL")="4",AF43+1,AF43)</f>
        <v>#NAME?</v>
      </c>
      <c r="AH44" s="334" t="e">
        <f t="shared" ref="AH44:AH75" ca="1" si="14">IF(EV_PRO($D$1,Q44,"HLEVEL")="5",IF(AH43+1=3,1,AH43+1),AH43)</f>
        <v>#NAME?</v>
      </c>
      <c r="AI44" s="348" t="e">
        <f t="shared" ref="AI44:AI75" ca="1" si="15">IF(EV_PRO($D$1,R44,"HLEVEL")="5",IF(AI43+1=3,1,AI43+1),AI43)</f>
        <v>#NAME?</v>
      </c>
      <c r="AJ44" s="348" t="e">
        <f t="shared" ref="AJ44:AJ75" ca="1" si="16">IF(EV_PRO($D$1,S44,"HLEVEL")="5",IF(AJ43+1=3,1,AJ43+1),AJ43)</f>
        <v>#NAME?</v>
      </c>
      <c r="AK44" s="334" t="e">
        <f t="shared" ref="AK44:AK75" ca="1" si="17">IF(EV_PRO($D$1,T44,"HLEVEL")="5",IF(AK43+1=3,1,AK43+1),AK43)</f>
        <v>#NAME?</v>
      </c>
    </row>
    <row r="45" spans="1:37" ht="15">
      <c r="A45" s="356" t="s">
        <v>706</v>
      </c>
      <c r="B45" s="357" t="s">
        <v>707</v>
      </c>
      <c r="C45" s="357" t="s">
        <v>708</v>
      </c>
      <c r="D45" s="357" t="s">
        <v>709</v>
      </c>
      <c r="E45" s="357" t="s">
        <v>710</v>
      </c>
      <c r="F45" s="358" t="s">
        <v>711</v>
      </c>
      <c r="M45" s="401" t="e">
        <f ca="1">EV_COM(R45,EV_APP(),Q45,$D$2,$D$3,$D$4,"M3_NONE","M4_NONE","F_NONE","NON_GROUP","YTD","LC",$D$11,"I_NONE")</f>
        <v>#NAME?</v>
      </c>
      <c r="N45" t="s">
        <v>999</v>
      </c>
      <c r="O45" t="e">
        <f t="shared" ref="O45:O76" ca="1" si="18">EV_PRO("LEGAL",Q67,"HLEVEL")</f>
        <v>#NAME?</v>
      </c>
      <c r="Q45" s="331" t="s">
        <v>1001</v>
      </c>
      <c r="R45" s="402"/>
      <c r="S45" s="403">
        <f t="shared" si="9"/>
        <v>34</v>
      </c>
      <c r="T45" s="334"/>
      <c r="U45" s="348"/>
      <c r="V45" s="348"/>
      <c r="W45" s="334"/>
      <c r="AC45" s="334" t="e">
        <f t="shared" ca="1" si="10"/>
        <v>#NAME?</v>
      </c>
      <c r="AD45" s="348" t="e">
        <f t="shared" ca="1" si="11"/>
        <v>#NAME?</v>
      </c>
      <c r="AE45" s="348" t="e">
        <f t="shared" ca="1" si="12"/>
        <v>#NAME?</v>
      </c>
      <c r="AF45" s="334" t="e">
        <f t="shared" ca="1" si="13"/>
        <v>#NAME?</v>
      </c>
      <c r="AH45" s="334" t="e">
        <f t="shared" ca="1" si="14"/>
        <v>#NAME?</v>
      </c>
      <c r="AI45" s="348" t="e">
        <f t="shared" ca="1" si="15"/>
        <v>#NAME?</v>
      </c>
      <c r="AJ45" s="348" t="e">
        <f t="shared" ca="1" si="16"/>
        <v>#NAME?</v>
      </c>
      <c r="AK45" s="334" t="e">
        <f t="shared" ca="1" si="17"/>
        <v>#NAME?</v>
      </c>
    </row>
    <row r="46" spans="1:37">
      <c r="A46" s="359"/>
      <c r="B46" s="360"/>
      <c r="C46" s="360"/>
      <c r="D46" s="360"/>
      <c r="E46" s="360"/>
      <c r="F46" s="361"/>
      <c r="M46" s="401" t="e">
        <f ca="1">EV_COM(R46,EV_APP(),Q46,$D$2,$D$3,$D$4,"M3_NONE","M4_NONE","F_NONE","NON_GROUP","YTD","LC",$D$11,"I_NONE")</f>
        <v>#NAME?</v>
      </c>
      <c r="N46" t="s">
        <v>999</v>
      </c>
      <c r="O46" t="e">
        <f t="shared" ca="1" si="18"/>
        <v>#NAME?</v>
      </c>
      <c r="Q46" s="331" t="s">
        <v>1002</v>
      </c>
      <c r="R46" s="402"/>
      <c r="S46" s="403">
        <f t="shared" si="9"/>
        <v>35</v>
      </c>
      <c r="T46" s="334"/>
      <c r="U46" s="348"/>
      <c r="V46" s="348"/>
      <c r="W46" s="334"/>
      <c r="AC46" s="334" t="e">
        <f t="shared" ca="1" si="10"/>
        <v>#NAME?</v>
      </c>
      <c r="AD46" s="348" t="e">
        <f t="shared" ca="1" si="11"/>
        <v>#NAME?</v>
      </c>
      <c r="AE46" s="348" t="e">
        <f t="shared" ca="1" si="12"/>
        <v>#NAME?</v>
      </c>
      <c r="AF46" s="334" t="e">
        <f t="shared" ca="1" si="13"/>
        <v>#NAME?</v>
      </c>
      <c r="AH46" s="334" t="e">
        <f t="shared" ca="1" si="14"/>
        <v>#NAME?</v>
      </c>
      <c r="AI46" s="348" t="e">
        <f t="shared" ca="1" si="15"/>
        <v>#NAME?</v>
      </c>
      <c r="AJ46" s="348" t="e">
        <f t="shared" ca="1" si="16"/>
        <v>#NAME?</v>
      </c>
      <c r="AK46" s="334" t="e">
        <f t="shared" ca="1" si="17"/>
        <v>#NAME?</v>
      </c>
    </row>
    <row r="47" spans="1:37">
      <c r="A47" s="362" t="s">
        <v>712</v>
      </c>
      <c r="B47" s="342"/>
      <c r="C47" s="363">
        <v>342</v>
      </c>
      <c r="D47" s="342" t="s">
        <v>713</v>
      </c>
      <c r="E47" s="342"/>
      <c r="F47" s="364" t="s">
        <v>714</v>
      </c>
      <c r="M47" s="401" t="e">
        <f ca="1">EV_COM(R47,EV_APP(),Q47,$D$2,$D$3,$D$4,"M3_NONE","M4_NONE","F_NONE","NON_GROUP","YTD","LC",$D$11,"I_NONE")</f>
        <v>#NAME?</v>
      </c>
      <c r="N47" t="s">
        <v>999</v>
      </c>
      <c r="O47" t="e">
        <f t="shared" ca="1" si="18"/>
        <v>#NAME?</v>
      </c>
      <c r="Q47" s="331" t="s">
        <v>1003</v>
      </c>
      <c r="R47" s="402"/>
      <c r="S47" s="403">
        <f t="shared" si="9"/>
        <v>36</v>
      </c>
      <c r="T47" s="334"/>
      <c r="U47" s="348"/>
      <c r="V47" s="348"/>
      <c r="W47" s="334"/>
      <c r="AC47" s="334" t="e">
        <f t="shared" ca="1" si="10"/>
        <v>#NAME?</v>
      </c>
      <c r="AD47" s="348" t="e">
        <f t="shared" ca="1" si="11"/>
        <v>#NAME?</v>
      </c>
      <c r="AE47" s="348" t="e">
        <f t="shared" ca="1" si="12"/>
        <v>#NAME?</v>
      </c>
      <c r="AF47" s="334" t="e">
        <f t="shared" ca="1" si="13"/>
        <v>#NAME?</v>
      </c>
      <c r="AH47" s="334" t="e">
        <f t="shared" ca="1" si="14"/>
        <v>#NAME?</v>
      </c>
      <c r="AI47" s="348" t="e">
        <f t="shared" ca="1" si="15"/>
        <v>#NAME?</v>
      </c>
      <c r="AJ47" s="348" t="e">
        <f t="shared" ca="1" si="16"/>
        <v>#NAME?</v>
      </c>
      <c r="AK47" s="334" t="e">
        <f t="shared" ca="1" si="17"/>
        <v>#NAME?</v>
      </c>
    </row>
    <row r="48" spans="1:37">
      <c r="A48" s="362"/>
      <c r="B48" s="342"/>
      <c r="C48" s="342"/>
      <c r="D48" s="342"/>
      <c r="E48" s="342"/>
      <c r="F48" s="364"/>
      <c r="M48" s="401" t="e">
        <f ca="1">EV_COM(R48,EV_APP(),Q48,$D$2,$D$3,$D$4,"M3_NONE","M4_NONE","F_NONE","NON_GROUP","YTD","LC",$D$11,"I_NONE")</f>
        <v>#NAME?</v>
      </c>
      <c r="N48" t="s">
        <v>999</v>
      </c>
      <c r="O48" t="e">
        <f t="shared" ca="1" si="18"/>
        <v>#NAME?</v>
      </c>
      <c r="Q48" s="331" t="s">
        <v>1004</v>
      </c>
      <c r="R48" s="402"/>
      <c r="S48" s="403">
        <f t="shared" si="9"/>
        <v>37</v>
      </c>
      <c r="T48" s="334"/>
      <c r="U48" s="348"/>
      <c r="V48" s="348"/>
      <c r="W48" s="334"/>
      <c r="AC48" s="334" t="e">
        <f t="shared" ca="1" si="10"/>
        <v>#NAME?</v>
      </c>
      <c r="AD48" s="348" t="e">
        <f t="shared" ca="1" si="11"/>
        <v>#NAME?</v>
      </c>
      <c r="AE48" s="348" t="e">
        <f t="shared" ca="1" si="12"/>
        <v>#NAME?</v>
      </c>
      <c r="AF48" s="334" t="e">
        <f t="shared" ca="1" si="13"/>
        <v>#NAME?</v>
      </c>
      <c r="AH48" s="334" t="e">
        <f t="shared" ca="1" si="14"/>
        <v>#NAME?</v>
      </c>
      <c r="AI48" s="348" t="e">
        <f t="shared" ca="1" si="15"/>
        <v>#NAME?</v>
      </c>
      <c r="AJ48" s="348" t="e">
        <f t="shared" ca="1" si="16"/>
        <v>#NAME?</v>
      </c>
      <c r="AK48" s="334" t="e">
        <f t="shared" ca="1" si="17"/>
        <v>#NAME?</v>
      </c>
    </row>
    <row r="49" spans="1:37">
      <c r="A49" s="362" t="s">
        <v>712</v>
      </c>
      <c r="B49" s="342" t="s">
        <v>644</v>
      </c>
      <c r="C49" s="332">
        <v>12345</v>
      </c>
      <c r="D49" s="342"/>
      <c r="E49" s="342"/>
      <c r="F49" s="364" t="s">
        <v>716</v>
      </c>
      <c r="M49" s="401" t="e">
        <f ca="1">EV_COM(R49,EV_APP(),Q49,$D$2,$D$3,$D$4,"M3_NONE","M4_NONE","F_NONE","NON_GROUP","YTD","LC",$D$11,"I_NONE")</f>
        <v>#NAME?</v>
      </c>
      <c r="N49" t="s">
        <v>999</v>
      </c>
      <c r="O49" t="e">
        <f t="shared" ca="1" si="18"/>
        <v>#NAME?</v>
      </c>
      <c r="Q49" s="331" t="s">
        <v>1005</v>
      </c>
      <c r="R49" s="402"/>
      <c r="S49" s="403">
        <f t="shared" si="9"/>
        <v>38</v>
      </c>
      <c r="T49" s="334"/>
      <c r="U49" s="348"/>
      <c r="V49" s="348"/>
      <c r="W49" s="334"/>
      <c r="AC49" s="334" t="e">
        <f t="shared" ca="1" si="10"/>
        <v>#NAME?</v>
      </c>
      <c r="AD49" s="348" t="e">
        <f t="shared" ca="1" si="11"/>
        <v>#NAME?</v>
      </c>
      <c r="AE49" s="348" t="e">
        <f t="shared" ca="1" si="12"/>
        <v>#NAME?</v>
      </c>
      <c r="AF49" s="334" t="e">
        <f t="shared" ca="1" si="13"/>
        <v>#NAME?</v>
      </c>
      <c r="AH49" s="334" t="e">
        <f t="shared" ca="1" si="14"/>
        <v>#NAME?</v>
      </c>
      <c r="AI49" s="348" t="e">
        <f t="shared" ca="1" si="15"/>
        <v>#NAME?</v>
      </c>
      <c r="AJ49" s="348" t="e">
        <f t="shared" ca="1" si="16"/>
        <v>#NAME?</v>
      </c>
      <c r="AK49" s="334" t="e">
        <f t="shared" ca="1" si="17"/>
        <v>#NAME?</v>
      </c>
    </row>
    <row r="50" spans="1:37">
      <c r="A50" s="362"/>
      <c r="B50" s="342"/>
      <c r="C50" s="342"/>
      <c r="D50" s="342"/>
      <c r="E50" s="342"/>
      <c r="F50" s="364"/>
      <c r="M50" s="401" t="e">
        <f ca="1">EV_COM(R50,EV_APP(),Q50,$D$2,$D$3,$D$4,"M3_NONE","M4_NONE","F_NONE","NON_GROUP","YTD","LC",$D$11,"I_NONE")</f>
        <v>#NAME?</v>
      </c>
      <c r="N50" t="s">
        <v>999</v>
      </c>
      <c r="O50" t="e">
        <f t="shared" ca="1" si="18"/>
        <v>#NAME?</v>
      </c>
      <c r="Q50" s="331" t="s">
        <v>1006</v>
      </c>
      <c r="R50" s="402"/>
      <c r="S50" s="403">
        <f t="shared" si="9"/>
        <v>39</v>
      </c>
      <c r="T50" s="334"/>
      <c r="U50" s="348"/>
      <c r="V50" s="348"/>
      <c r="W50" s="334"/>
      <c r="AC50" s="334" t="e">
        <f t="shared" ca="1" si="10"/>
        <v>#NAME?</v>
      </c>
      <c r="AD50" s="348" t="e">
        <f t="shared" ca="1" si="11"/>
        <v>#NAME?</v>
      </c>
      <c r="AE50" s="348" t="e">
        <f t="shared" ca="1" si="12"/>
        <v>#NAME?</v>
      </c>
      <c r="AF50" s="334" t="e">
        <f t="shared" ca="1" si="13"/>
        <v>#NAME?</v>
      </c>
      <c r="AH50" s="334" t="e">
        <f t="shared" ca="1" si="14"/>
        <v>#NAME?</v>
      </c>
      <c r="AI50" s="348" t="e">
        <f t="shared" ca="1" si="15"/>
        <v>#NAME?</v>
      </c>
      <c r="AJ50" s="348" t="e">
        <f t="shared" ca="1" si="16"/>
        <v>#NAME?</v>
      </c>
      <c r="AK50" s="334" t="e">
        <f t="shared" ca="1" si="17"/>
        <v>#NAME?</v>
      </c>
    </row>
    <row r="51" spans="1:37" ht="15">
      <c r="A51" s="362" t="s">
        <v>717</v>
      </c>
      <c r="B51" s="366" t="s">
        <v>644</v>
      </c>
      <c r="C51" s="343" t="s">
        <v>718</v>
      </c>
      <c r="D51" s="365"/>
      <c r="E51" s="365"/>
      <c r="F51" s="367" t="s">
        <v>716</v>
      </c>
      <c r="M51" s="401" t="e">
        <f ca="1">EV_COM(R51,EV_APP(),Q51,$D$2,$D$3,$D$4,"M3_NONE","M4_NONE","F_NONE","NON_GROUP","YTD","LC",$D$11,"I_NONE")</f>
        <v>#NAME?</v>
      </c>
      <c r="N51" t="s">
        <v>999</v>
      </c>
      <c r="O51" t="e">
        <f t="shared" ca="1" si="18"/>
        <v>#NAME?</v>
      </c>
      <c r="Q51" s="331" t="s">
        <v>1007</v>
      </c>
      <c r="R51" s="402"/>
      <c r="S51" s="403">
        <f t="shared" si="9"/>
        <v>40</v>
      </c>
      <c r="T51" s="334"/>
      <c r="U51" s="348"/>
      <c r="V51" s="348"/>
      <c r="W51" s="334"/>
      <c r="AC51" s="334" t="e">
        <f t="shared" ca="1" si="10"/>
        <v>#NAME?</v>
      </c>
      <c r="AD51" s="348" t="e">
        <f t="shared" ca="1" si="11"/>
        <v>#NAME?</v>
      </c>
      <c r="AE51" s="348" t="e">
        <f t="shared" ca="1" si="12"/>
        <v>#NAME?</v>
      </c>
      <c r="AF51" s="334" t="e">
        <f t="shared" ca="1" si="13"/>
        <v>#NAME?</v>
      </c>
      <c r="AH51" s="334" t="e">
        <f t="shared" ca="1" si="14"/>
        <v>#NAME?</v>
      </c>
      <c r="AI51" s="348" t="e">
        <f t="shared" ca="1" si="15"/>
        <v>#NAME?</v>
      </c>
      <c r="AJ51" s="348" t="e">
        <f t="shared" ca="1" si="16"/>
        <v>#NAME?</v>
      </c>
      <c r="AK51" s="334" t="e">
        <f t="shared" ca="1" si="17"/>
        <v>#NAME?</v>
      </c>
    </row>
    <row r="52" spans="1:37" ht="15">
      <c r="A52" s="362"/>
      <c r="B52" s="342"/>
      <c r="C52" s="342"/>
      <c r="D52" s="342"/>
      <c r="E52" s="342"/>
      <c r="F52" s="364"/>
      <c r="O52" t="e">
        <f t="shared" ca="1" si="18"/>
        <v>#NAME?</v>
      </c>
      <c r="Q52" s="331" t="s">
        <v>895</v>
      </c>
      <c r="R52" s="397" t="s">
        <v>1165</v>
      </c>
      <c r="S52" s="381">
        <f t="shared" si="9"/>
        <v>41</v>
      </c>
      <c r="T52" s="350">
        <v>-21229804</v>
      </c>
      <c r="U52" s="350">
        <v>-77134718</v>
      </c>
      <c r="V52" s="350">
        <v>-2265864</v>
      </c>
      <c r="W52" s="350">
        <v>-100630386</v>
      </c>
      <c r="AC52" s="350" t="e">
        <f t="shared" ca="1" si="10"/>
        <v>#NAME?</v>
      </c>
      <c r="AD52" s="350" t="e">
        <f t="shared" ca="1" si="11"/>
        <v>#NAME?</v>
      </c>
      <c r="AE52" s="350" t="e">
        <f t="shared" ca="1" si="12"/>
        <v>#NAME?</v>
      </c>
      <c r="AF52" s="350" t="e">
        <f t="shared" ca="1" si="13"/>
        <v>#NAME?</v>
      </c>
      <c r="AH52" s="350" t="e">
        <f t="shared" ca="1" si="14"/>
        <v>#NAME?</v>
      </c>
      <c r="AI52" s="350" t="e">
        <f t="shared" ca="1" si="15"/>
        <v>#NAME?</v>
      </c>
      <c r="AJ52" s="350" t="e">
        <f t="shared" ca="1" si="16"/>
        <v>#NAME?</v>
      </c>
      <c r="AK52" s="350" t="e">
        <f t="shared" ca="1" si="17"/>
        <v>#NAME?</v>
      </c>
    </row>
    <row r="53" spans="1:37" ht="15">
      <c r="A53" s="362" t="s">
        <v>712</v>
      </c>
      <c r="B53" s="342" t="s">
        <v>643</v>
      </c>
      <c r="C53" s="325">
        <v>12345</v>
      </c>
      <c r="D53" s="342"/>
      <c r="E53" s="342"/>
      <c r="F53" s="364" t="s">
        <v>716</v>
      </c>
      <c r="O53" t="e">
        <f t="shared" ca="1" si="18"/>
        <v>#NAME?</v>
      </c>
      <c r="Q53" s="331" t="s">
        <v>1008</v>
      </c>
      <c r="R53" s="398" t="s">
        <v>70</v>
      </c>
      <c r="S53" s="333">
        <f t="shared" si="9"/>
        <v>42</v>
      </c>
      <c r="T53" s="334">
        <v>-16359648</v>
      </c>
      <c r="U53" s="348">
        <v>-46426659</v>
      </c>
      <c r="V53" s="348"/>
      <c r="W53" s="334">
        <v>-62786307</v>
      </c>
      <c r="AC53" s="334" t="e">
        <f t="shared" ca="1" si="10"/>
        <v>#NAME?</v>
      </c>
      <c r="AD53" s="348" t="e">
        <f t="shared" ca="1" si="11"/>
        <v>#NAME?</v>
      </c>
      <c r="AE53" s="348" t="e">
        <f t="shared" ca="1" si="12"/>
        <v>#NAME?</v>
      </c>
      <c r="AF53" s="334" t="e">
        <f t="shared" ca="1" si="13"/>
        <v>#NAME?</v>
      </c>
      <c r="AH53" s="334" t="e">
        <f t="shared" ca="1" si="14"/>
        <v>#NAME?</v>
      </c>
      <c r="AI53" s="348" t="e">
        <f t="shared" ca="1" si="15"/>
        <v>#NAME?</v>
      </c>
      <c r="AJ53" s="348" t="e">
        <f t="shared" ca="1" si="16"/>
        <v>#NAME?</v>
      </c>
      <c r="AK53" s="334" t="e">
        <f t="shared" ca="1" si="17"/>
        <v>#NAME?</v>
      </c>
    </row>
    <row r="54" spans="1:37">
      <c r="A54" s="362"/>
      <c r="B54" s="342"/>
      <c r="C54" s="342"/>
      <c r="D54" s="342"/>
      <c r="E54" s="342"/>
      <c r="F54" s="364"/>
      <c r="O54" t="e">
        <f t="shared" ca="1" si="18"/>
        <v>#NAME?</v>
      </c>
      <c r="Q54" s="331" t="s">
        <v>1009</v>
      </c>
      <c r="R54" s="398" t="s">
        <v>1166</v>
      </c>
      <c r="S54" s="333">
        <f t="shared" si="9"/>
        <v>43</v>
      </c>
      <c r="T54" s="334">
        <v>-82070</v>
      </c>
      <c r="U54" s="348">
        <v>-2096272</v>
      </c>
      <c r="V54" s="348"/>
      <c r="W54" s="334">
        <v>-2178342</v>
      </c>
      <c r="AC54" s="334" t="e">
        <f t="shared" ca="1" si="10"/>
        <v>#NAME?</v>
      </c>
      <c r="AD54" s="348" t="e">
        <f t="shared" ca="1" si="11"/>
        <v>#NAME?</v>
      </c>
      <c r="AE54" s="348" t="e">
        <f t="shared" ca="1" si="12"/>
        <v>#NAME?</v>
      </c>
      <c r="AF54" s="334" t="e">
        <f t="shared" ca="1" si="13"/>
        <v>#NAME?</v>
      </c>
      <c r="AH54" s="334" t="e">
        <f t="shared" ca="1" si="14"/>
        <v>#NAME?</v>
      </c>
      <c r="AI54" s="348" t="e">
        <f t="shared" ca="1" si="15"/>
        <v>#NAME?</v>
      </c>
      <c r="AJ54" s="348" t="e">
        <f t="shared" ca="1" si="16"/>
        <v>#NAME?</v>
      </c>
      <c r="AK54" s="334" t="e">
        <f t="shared" ca="1" si="17"/>
        <v>#NAME?</v>
      </c>
    </row>
    <row r="55" spans="1:37">
      <c r="A55" s="362"/>
      <c r="B55" s="342"/>
      <c r="C55" s="342"/>
      <c r="D55" s="342"/>
      <c r="E55" s="342"/>
      <c r="F55" s="364"/>
      <c r="O55" t="e">
        <f t="shared" ca="1" si="18"/>
        <v>#NAME?</v>
      </c>
      <c r="Q55" s="331" t="s">
        <v>1010</v>
      </c>
      <c r="R55" s="398" t="s">
        <v>1167</v>
      </c>
      <c r="S55" s="333">
        <f t="shared" si="9"/>
        <v>44</v>
      </c>
      <c r="T55" s="334"/>
      <c r="U55" s="348">
        <v>-14389974</v>
      </c>
      <c r="V55" s="348"/>
      <c r="W55" s="334">
        <v>-14389974</v>
      </c>
      <c r="AC55" s="334" t="e">
        <f t="shared" ca="1" si="10"/>
        <v>#NAME?</v>
      </c>
      <c r="AD55" s="348" t="e">
        <f t="shared" ca="1" si="11"/>
        <v>#NAME?</v>
      </c>
      <c r="AE55" s="348" t="e">
        <f t="shared" ca="1" si="12"/>
        <v>#NAME?</v>
      </c>
      <c r="AF55" s="334" t="e">
        <f t="shared" ca="1" si="13"/>
        <v>#NAME?</v>
      </c>
      <c r="AH55" s="334" t="e">
        <f t="shared" ca="1" si="14"/>
        <v>#NAME?</v>
      </c>
      <c r="AI55" s="348" t="e">
        <f t="shared" ca="1" si="15"/>
        <v>#NAME?</v>
      </c>
      <c r="AJ55" s="348" t="e">
        <f t="shared" ca="1" si="16"/>
        <v>#NAME?</v>
      </c>
      <c r="AK55" s="334" t="e">
        <f t="shared" ca="1" si="17"/>
        <v>#NAME?</v>
      </c>
    </row>
    <row r="56" spans="1:37" ht="15">
      <c r="A56" s="362" t="s">
        <v>719</v>
      </c>
      <c r="B56" s="342"/>
      <c r="C56" s="368"/>
      <c r="D56" s="342" t="s">
        <v>720</v>
      </c>
      <c r="E56" s="342"/>
      <c r="F56" s="364" t="s">
        <v>721</v>
      </c>
      <c r="O56" t="e">
        <f t="shared" ca="1" si="18"/>
        <v>#NAME?</v>
      </c>
      <c r="Q56" s="331" t="s">
        <v>1011</v>
      </c>
      <c r="R56" s="399" t="s">
        <v>1168</v>
      </c>
      <c r="S56" s="381">
        <f t="shared" si="9"/>
        <v>45</v>
      </c>
      <c r="T56" s="350">
        <v>-4788086</v>
      </c>
      <c r="U56" s="350">
        <v>-2663220</v>
      </c>
      <c r="V56" s="350">
        <v>-2265864</v>
      </c>
      <c r="W56" s="350">
        <v>-9717170</v>
      </c>
      <c r="AC56" s="350" t="e">
        <f t="shared" ca="1" si="10"/>
        <v>#NAME?</v>
      </c>
      <c r="AD56" s="350" t="e">
        <f t="shared" ca="1" si="11"/>
        <v>#NAME?</v>
      </c>
      <c r="AE56" s="350" t="e">
        <f t="shared" ca="1" si="12"/>
        <v>#NAME?</v>
      </c>
      <c r="AF56" s="350" t="e">
        <f t="shared" ca="1" si="13"/>
        <v>#NAME?</v>
      </c>
      <c r="AH56" s="350" t="e">
        <f t="shared" ca="1" si="14"/>
        <v>#NAME?</v>
      </c>
      <c r="AI56" s="350" t="e">
        <f t="shared" ca="1" si="15"/>
        <v>#NAME?</v>
      </c>
      <c r="AJ56" s="350" t="e">
        <f t="shared" ca="1" si="16"/>
        <v>#NAME?</v>
      </c>
      <c r="AK56" s="350" t="e">
        <f t="shared" ca="1" si="17"/>
        <v>#NAME?</v>
      </c>
    </row>
    <row r="57" spans="1:37">
      <c r="A57" s="362"/>
      <c r="B57" s="342"/>
      <c r="C57" s="342"/>
      <c r="D57" s="342"/>
      <c r="E57" s="342"/>
      <c r="F57" s="364"/>
      <c r="O57" t="e">
        <f t="shared" ca="1" si="18"/>
        <v>#NAME?</v>
      </c>
      <c r="Q57" s="331" t="s">
        <v>1012</v>
      </c>
      <c r="R57" s="400" t="s">
        <v>1169</v>
      </c>
      <c r="S57" s="333">
        <f t="shared" si="9"/>
        <v>46</v>
      </c>
      <c r="T57" s="334">
        <v>-4788086</v>
      </c>
      <c r="U57" s="348">
        <v>-2563630</v>
      </c>
      <c r="V57" s="348">
        <v>-521645</v>
      </c>
      <c r="W57" s="334">
        <v>-7873361</v>
      </c>
      <c r="AC57" s="334" t="e">
        <f t="shared" ca="1" si="10"/>
        <v>#NAME?</v>
      </c>
      <c r="AD57" s="348" t="e">
        <f t="shared" ca="1" si="11"/>
        <v>#NAME?</v>
      </c>
      <c r="AE57" s="348" t="e">
        <f t="shared" ca="1" si="12"/>
        <v>#NAME?</v>
      </c>
      <c r="AF57" s="334" t="e">
        <f t="shared" ca="1" si="13"/>
        <v>#NAME?</v>
      </c>
      <c r="AH57" s="334" t="e">
        <f t="shared" ca="1" si="14"/>
        <v>#NAME?</v>
      </c>
      <c r="AI57" s="348" t="e">
        <f t="shared" ca="1" si="15"/>
        <v>#NAME?</v>
      </c>
      <c r="AJ57" s="348" t="e">
        <f t="shared" ca="1" si="16"/>
        <v>#NAME?</v>
      </c>
      <c r="AK57" s="334" t="e">
        <f t="shared" ca="1" si="17"/>
        <v>#NAME?</v>
      </c>
    </row>
    <row r="58" spans="1:37" ht="25.5">
      <c r="A58" s="362" t="s">
        <v>712</v>
      </c>
      <c r="B58" s="342"/>
      <c r="C58" s="348">
        <v>12345</v>
      </c>
      <c r="D58" s="342"/>
      <c r="E58" s="342"/>
      <c r="F58" s="364" t="s">
        <v>721</v>
      </c>
      <c r="O58" t="e">
        <f t="shared" ca="1" si="18"/>
        <v>#NAME?</v>
      </c>
      <c r="Q58" s="331" t="s">
        <v>1013</v>
      </c>
      <c r="R58" s="400" t="s">
        <v>1170</v>
      </c>
      <c r="S58" s="333">
        <f t="shared" si="9"/>
        <v>47</v>
      </c>
      <c r="T58" s="334"/>
      <c r="U58" s="348">
        <v>-99590</v>
      </c>
      <c r="V58" s="348">
        <v>-1744219</v>
      </c>
      <c r="W58" s="334">
        <v>-1843809</v>
      </c>
      <c r="AC58" s="334" t="e">
        <f t="shared" ca="1" si="10"/>
        <v>#NAME?</v>
      </c>
      <c r="AD58" s="348" t="e">
        <f t="shared" ca="1" si="11"/>
        <v>#NAME?</v>
      </c>
      <c r="AE58" s="348" t="e">
        <f t="shared" ca="1" si="12"/>
        <v>#NAME?</v>
      </c>
      <c r="AF58" s="334" t="e">
        <f t="shared" ca="1" si="13"/>
        <v>#NAME?</v>
      </c>
      <c r="AH58" s="334" t="e">
        <f t="shared" ca="1" si="14"/>
        <v>#NAME?</v>
      </c>
      <c r="AI58" s="348" t="e">
        <f t="shared" ca="1" si="15"/>
        <v>#NAME?</v>
      </c>
      <c r="AJ58" s="348" t="e">
        <f t="shared" ca="1" si="16"/>
        <v>#NAME?</v>
      </c>
      <c r="AK58" s="334" t="e">
        <f t="shared" ca="1" si="17"/>
        <v>#NAME?</v>
      </c>
    </row>
    <row r="59" spans="1:37" ht="25.5">
      <c r="A59" s="362"/>
      <c r="B59" s="342"/>
      <c r="C59" s="342"/>
      <c r="D59" s="342"/>
      <c r="E59" s="342"/>
      <c r="F59" s="364"/>
      <c r="O59" t="e">
        <f t="shared" ca="1" si="18"/>
        <v>#NAME?</v>
      </c>
      <c r="Q59" s="331" t="s">
        <v>1014</v>
      </c>
      <c r="R59" s="400" t="s">
        <v>1171</v>
      </c>
      <c r="S59" s="333">
        <f t="shared" si="9"/>
        <v>48</v>
      </c>
      <c r="T59" s="334"/>
      <c r="U59" s="348"/>
      <c r="V59" s="348"/>
      <c r="W59" s="334"/>
      <c r="AC59" s="334" t="e">
        <f t="shared" ca="1" si="10"/>
        <v>#NAME?</v>
      </c>
      <c r="AD59" s="348" t="e">
        <f t="shared" ca="1" si="11"/>
        <v>#NAME?</v>
      </c>
      <c r="AE59" s="348" t="e">
        <f t="shared" ca="1" si="12"/>
        <v>#NAME?</v>
      </c>
      <c r="AF59" s="334" t="e">
        <f t="shared" ca="1" si="13"/>
        <v>#NAME?</v>
      </c>
      <c r="AH59" s="334" t="e">
        <f t="shared" ca="1" si="14"/>
        <v>#NAME?</v>
      </c>
      <c r="AI59" s="348" t="e">
        <f t="shared" ca="1" si="15"/>
        <v>#NAME?</v>
      </c>
      <c r="AJ59" s="348" t="e">
        <f t="shared" ca="1" si="16"/>
        <v>#NAME?</v>
      </c>
      <c r="AK59" s="334" t="e">
        <f t="shared" ca="1" si="17"/>
        <v>#NAME?</v>
      </c>
    </row>
    <row r="60" spans="1:37" ht="25.5">
      <c r="A60" s="362" t="s">
        <v>717</v>
      </c>
      <c r="B60" s="342"/>
      <c r="C60" s="334">
        <v>12345</v>
      </c>
      <c r="D60" s="342"/>
      <c r="E60" s="342"/>
      <c r="F60" s="364" t="s">
        <v>721</v>
      </c>
      <c r="O60" t="e">
        <f t="shared" ca="1" si="18"/>
        <v>#NAME?</v>
      </c>
      <c r="Q60" s="331" t="s">
        <v>1015</v>
      </c>
      <c r="R60" s="400" t="s">
        <v>1172</v>
      </c>
      <c r="S60" s="333">
        <f t="shared" si="9"/>
        <v>49</v>
      </c>
      <c r="T60" s="334"/>
      <c r="U60" s="348"/>
      <c r="V60" s="348"/>
      <c r="W60" s="334"/>
      <c r="AC60" s="334" t="e">
        <f t="shared" ca="1" si="10"/>
        <v>#NAME?</v>
      </c>
      <c r="AD60" s="348" t="e">
        <f t="shared" ca="1" si="11"/>
        <v>#NAME?</v>
      </c>
      <c r="AE60" s="348" t="e">
        <f t="shared" ca="1" si="12"/>
        <v>#NAME?</v>
      </c>
      <c r="AF60" s="334" t="e">
        <f t="shared" ca="1" si="13"/>
        <v>#NAME?</v>
      </c>
      <c r="AH60" s="334" t="e">
        <f t="shared" ca="1" si="14"/>
        <v>#NAME?</v>
      </c>
      <c r="AI60" s="348" t="e">
        <f t="shared" ca="1" si="15"/>
        <v>#NAME?</v>
      </c>
      <c r="AJ60" s="348" t="e">
        <f t="shared" ca="1" si="16"/>
        <v>#NAME?</v>
      </c>
      <c r="AK60" s="334" t="e">
        <f t="shared" ca="1" si="17"/>
        <v>#NAME?</v>
      </c>
    </row>
    <row r="61" spans="1:37" ht="25.5">
      <c r="A61" s="362" t="e">
        <f ca="1">"TIME.ID="&amp;PreviousPeriod</f>
        <v>#NAME?</v>
      </c>
      <c r="B61" s="342" t="s">
        <v>643</v>
      </c>
      <c r="C61" s="369">
        <v>12345</v>
      </c>
      <c r="D61" s="342"/>
      <c r="E61" s="342"/>
      <c r="F61" s="364" t="s">
        <v>721</v>
      </c>
      <c r="O61" t="e">
        <f t="shared" ca="1" si="18"/>
        <v>#NAME?</v>
      </c>
      <c r="Q61" s="331" t="s">
        <v>1016</v>
      </c>
      <c r="R61" s="400" t="s">
        <v>1173</v>
      </c>
      <c r="S61" s="333">
        <f t="shared" si="9"/>
        <v>50</v>
      </c>
      <c r="T61" s="334"/>
      <c r="U61" s="348"/>
      <c r="V61" s="348"/>
      <c r="W61" s="334"/>
      <c r="AC61" s="334" t="e">
        <f t="shared" ca="1" si="10"/>
        <v>#NAME?</v>
      </c>
      <c r="AD61" s="348" t="e">
        <f t="shared" ca="1" si="11"/>
        <v>#NAME?</v>
      </c>
      <c r="AE61" s="348" t="e">
        <f t="shared" ca="1" si="12"/>
        <v>#NAME?</v>
      </c>
      <c r="AF61" s="334" t="e">
        <f t="shared" ca="1" si="13"/>
        <v>#NAME?</v>
      </c>
      <c r="AH61" s="334" t="e">
        <f t="shared" ca="1" si="14"/>
        <v>#NAME?</v>
      </c>
      <c r="AI61" s="348" t="e">
        <f t="shared" ca="1" si="15"/>
        <v>#NAME?</v>
      </c>
      <c r="AJ61" s="348" t="e">
        <f t="shared" ca="1" si="16"/>
        <v>#NAME?</v>
      </c>
      <c r="AK61" s="334" t="e">
        <f t="shared" ca="1" si="17"/>
        <v>#NAME?</v>
      </c>
    </row>
    <row r="62" spans="1:37" ht="26.25">
      <c r="A62" s="362" t="s">
        <v>717</v>
      </c>
      <c r="B62" s="366" t="s">
        <v>644</v>
      </c>
      <c r="C62" s="350">
        <v>12345</v>
      </c>
      <c r="D62" s="365"/>
      <c r="E62" s="365"/>
      <c r="F62" s="367" t="s">
        <v>721</v>
      </c>
      <c r="O62" t="e">
        <f t="shared" ca="1" si="18"/>
        <v>#NAME?</v>
      </c>
      <c r="Q62" s="331" t="s">
        <v>1017</v>
      </c>
      <c r="R62" s="400" t="s">
        <v>1174</v>
      </c>
      <c r="S62" s="333">
        <f t="shared" si="9"/>
        <v>51</v>
      </c>
      <c r="T62" s="334"/>
      <c r="U62" s="348"/>
      <c r="V62" s="348"/>
      <c r="W62" s="334"/>
      <c r="AC62" s="334" t="e">
        <f t="shared" ca="1" si="10"/>
        <v>#NAME?</v>
      </c>
      <c r="AD62" s="348" t="e">
        <f t="shared" ca="1" si="11"/>
        <v>#NAME?</v>
      </c>
      <c r="AE62" s="348" t="e">
        <f t="shared" ca="1" si="12"/>
        <v>#NAME?</v>
      </c>
      <c r="AF62" s="334" t="e">
        <f t="shared" ca="1" si="13"/>
        <v>#NAME?</v>
      </c>
      <c r="AH62" s="334" t="e">
        <f t="shared" ca="1" si="14"/>
        <v>#NAME?</v>
      </c>
      <c r="AI62" s="348" t="e">
        <f t="shared" ca="1" si="15"/>
        <v>#NAME?</v>
      </c>
      <c r="AJ62" s="348" t="e">
        <f t="shared" ca="1" si="16"/>
        <v>#NAME?</v>
      </c>
      <c r="AK62" s="334" t="e">
        <f t="shared" ca="1" si="17"/>
        <v>#NAME?</v>
      </c>
    </row>
    <row r="63" spans="1:37">
      <c r="A63" s="362"/>
      <c r="B63" s="342"/>
      <c r="C63" s="342"/>
      <c r="D63" s="342"/>
      <c r="E63" s="342"/>
      <c r="F63" s="364"/>
      <c r="O63" t="e">
        <f t="shared" ca="1" si="18"/>
        <v>#NAME?</v>
      </c>
      <c r="Q63" s="331" t="s">
        <v>1018</v>
      </c>
      <c r="R63" s="400" t="s">
        <v>1175</v>
      </c>
      <c r="S63" s="333">
        <f t="shared" si="9"/>
        <v>52</v>
      </c>
      <c r="T63" s="334"/>
      <c r="U63" s="348"/>
      <c r="V63" s="348"/>
      <c r="W63" s="334"/>
      <c r="AC63" s="334" t="e">
        <f t="shared" ca="1" si="10"/>
        <v>#NAME?</v>
      </c>
      <c r="AD63" s="348" t="e">
        <f t="shared" ca="1" si="11"/>
        <v>#NAME?</v>
      </c>
      <c r="AE63" s="348" t="e">
        <f t="shared" ca="1" si="12"/>
        <v>#NAME?</v>
      </c>
      <c r="AF63" s="334" t="e">
        <f t="shared" ca="1" si="13"/>
        <v>#NAME?</v>
      </c>
      <c r="AH63" s="334" t="e">
        <f t="shared" ca="1" si="14"/>
        <v>#NAME?</v>
      </c>
      <c r="AI63" s="348" t="e">
        <f t="shared" ca="1" si="15"/>
        <v>#NAME?</v>
      </c>
      <c r="AJ63" s="348" t="e">
        <f t="shared" ca="1" si="16"/>
        <v>#NAME?</v>
      </c>
      <c r="AK63" s="334" t="e">
        <f t="shared" ca="1" si="17"/>
        <v>#NAME?</v>
      </c>
    </row>
    <row r="64" spans="1:37" ht="25.5">
      <c r="A64" s="362"/>
      <c r="B64" s="342"/>
      <c r="C64" s="342"/>
      <c r="D64" s="342"/>
      <c r="E64" s="342"/>
      <c r="F64" s="364"/>
      <c r="O64" t="e">
        <f t="shared" ca="1" si="18"/>
        <v>#NAME?</v>
      </c>
      <c r="Q64" s="331" t="s">
        <v>1019</v>
      </c>
      <c r="R64" s="400" t="s">
        <v>1176</v>
      </c>
      <c r="S64" s="333">
        <f t="shared" si="9"/>
        <v>53</v>
      </c>
      <c r="T64" s="334"/>
      <c r="U64" s="348"/>
      <c r="V64" s="348"/>
      <c r="W64" s="334"/>
      <c r="AC64" s="334" t="e">
        <f t="shared" ca="1" si="10"/>
        <v>#NAME?</v>
      </c>
      <c r="AD64" s="348" t="e">
        <f t="shared" ca="1" si="11"/>
        <v>#NAME?</v>
      </c>
      <c r="AE64" s="348" t="e">
        <f t="shared" ca="1" si="12"/>
        <v>#NAME?</v>
      </c>
      <c r="AF64" s="334" t="e">
        <f t="shared" ca="1" si="13"/>
        <v>#NAME?</v>
      </c>
      <c r="AH64" s="334" t="e">
        <f t="shared" ca="1" si="14"/>
        <v>#NAME?</v>
      </c>
      <c r="AI64" s="348" t="e">
        <f t="shared" ca="1" si="15"/>
        <v>#NAME?</v>
      </c>
      <c r="AJ64" s="348" t="e">
        <f t="shared" ca="1" si="16"/>
        <v>#NAME?</v>
      </c>
      <c r="AK64" s="334" t="e">
        <f t="shared" ca="1" si="17"/>
        <v>#NAME?</v>
      </c>
    </row>
    <row r="65" spans="1:37">
      <c r="A65" s="362" t="s">
        <v>892</v>
      </c>
      <c r="B65" s="342" t="s">
        <v>643</v>
      </c>
      <c r="C65" s="348">
        <v>12345</v>
      </c>
      <c r="D65" s="342"/>
      <c r="E65" s="342"/>
      <c r="F65" s="364" t="s">
        <v>721</v>
      </c>
      <c r="O65" t="e">
        <f t="shared" ca="1" si="18"/>
        <v>#NAME?</v>
      </c>
      <c r="Q65" s="331" t="s">
        <v>1020</v>
      </c>
      <c r="R65" s="398" t="s">
        <v>1177</v>
      </c>
      <c r="S65" s="333">
        <f t="shared" si="9"/>
        <v>54</v>
      </c>
      <c r="T65" s="334"/>
      <c r="U65" s="348">
        <v>-3457488</v>
      </c>
      <c r="V65" s="348"/>
      <c r="W65" s="334">
        <v>-3457488</v>
      </c>
      <c r="AC65" s="334" t="e">
        <f t="shared" ca="1" si="10"/>
        <v>#NAME?</v>
      </c>
      <c r="AD65" s="348" t="e">
        <f t="shared" ca="1" si="11"/>
        <v>#NAME?</v>
      </c>
      <c r="AE65" s="348" t="e">
        <f t="shared" ca="1" si="12"/>
        <v>#NAME?</v>
      </c>
      <c r="AF65" s="334" t="e">
        <f t="shared" ca="1" si="13"/>
        <v>#NAME?</v>
      </c>
      <c r="AH65" s="334" t="e">
        <f t="shared" ca="1" si="14"/>
        <v>#NAME?</v>
      </c>
      <c r="AI65" s="348" t="e">
        <f t="shared" ca="1" si="15"/>
        <v>#NAME?</v>
      </c>
      <c r="AJ65" s="348" t="e">
        <f t="shared" ca="1" si="16"/>
        <v>#NAME?</v>
      </c>
      <c r="AK65" s="334" t="e">
        <f t="shared" ca="1" si="17"/>
        <v>#NAME?</v>
      </c>
    </row>
    <row r="66" spans="1:37">
      <c r="A66" s="362" t="e">
        <f ca="1">"TIME.ID="&amp;PreviousPeriod&amp;" AND INTCO.ID=I_29"</f>
        <v>#NAME?</v>
      </c>
      <c r="B66" s="342" t="s">
        <v>643</v>
      </c>
      <c r="C66" s="334">
        <v>12345</v>
      </c>
      <c r="D66" s="342"/>
      <c r="E66" s="342"/>
      <c r="F66" s="364" t="s">
        <v>721</v>
      </c>
      <c r="O66" t="e">
        <f t="shared" ca="1" si="18"/>
        <v>#NAME?</v>
      </c>
      <c r="Q66" s="331" t="s">
        <v>1021</v>
      </c>
      <c r="R66" s="398" t="s">
        <v>1178</v>
      </c>
      <c r="S66" s="333">
        <f t="shared" si="9"/>
        <v>55</v>
      </c>
      <c r="T66" s="334"/>
      <c r="U66" s="348">
        <v>-6533776</v>
      </c>
      <c r="V66" s="348"/>
      <c r="W66" s="334">
        <v>-6533776</v>
      </c>
      <c r="AC66" s="334" t="e">
        <f t="shared" ca="1" si="10"/>
        <v>#NAME?</v>
      </c>
      <c r="AD66" s="348" t="e">
        <f t="shared" ca="1" si="11"/>
        <v>#NAME?</v>
      </c>
      <c r="AE66" s="348" t="e">
        <f t="shared" ca="1" si="12"/>
        <v>#NAME?</v>
      </c>
      <c r="AF66" s="334" t="e">
        <f t="shared" ca="1" si="13"/>
        <v>#NAME?</v>
      </c>
      <c r="AH66" s="334" t="e">
        <f t="shared" ca="1" si="14"/>
        <v>#NAME?</v>
      </c>
      <c r="AI66" s="348" t="e">
        <f t="shared" ca="1" si="15"/>
        <v>#NAME?</v>
      </c>
      <c r="AJ66" s="348" t="e">
        <f t="shared" ca="1" si="16"/>
        <v>#NAME?</v>
      </c>
      <c r="AK66" s="334" t="e">
        <f t="shared" ca="1" si="17"/>
        <v>#NAME?</v>
      </c>
    </row>
    <row r="67" spans="1:37" ht="30">
      <c r="A67" s="362" t="s">
        <v>893</v>
      </c>
      <c r="B67" s="342" t="s">
        <v>643</v>
      </c>
      <c r="C67" s="334">
        <v>12345</v>
      </c>
      <c r="D67" s="342"/>
      <c r="E67" s="342"/>
      <c r="F67" s="364" t="s">
        <v>721</v>
      </c>
      <c r="O67" t="e">
        <f t="shared" ca="1" si="18"/>
        <v>#NAME?</v>
      </c>
      <c r="Q67" s="331" t="s">
        <v>1022</v>
      </c>
      <c r="R67" s="399" t="s">
        <v>1179</v>
      </c>
      <c r="S67" s="381">
        <f t="shared" si="9"/>
        <v>56</v>
      </c>
      <c r="T67" s="350"/>
      <c r="U67" s="350"/>
      <c r="V67" s="350"/>
      <c r="W67" s="350"/>
      <c r="AC67" s="350" t="e">
        <f t="shared" ca="1" si="10"/>
        <v>#NAME?</v>
      </c>
      <c r="AD67" s="350" t="e">
        <f t="shared" ca="1" si="11"/>
        <v>#NAME?</v>
      </c>
      <c r="AE67" s="350" t="e">
        <f t="shared" ca="1" si="12"/>
        <v>#NAME?</v>
      </c>
      <c r="AF67" s="350" t="e">
        <f t="shared" ca="1" si="13"/>
        <v>#NAME?</v>
      </c>
      <c r="AH67" s="350" t="e">
        <f t="shared" ca="1" si="14"/>
        <v>#NAME?</v>
      </c>
      <c r="AI67" s="350" t="e">
        <f t="shared" ca="1" si="15"/>
        <v>#NAME?</v>
      </c>
      <c r="AJ67" s="350" t="e">
        <f t="shared" ca="1" si="16"/>
        <v>#NAME?</v>
      </c>
      <c r="AK67" s="350" t="e">
        <f t="shared" ca="1" si="17"/>
        <v>#NAME?</v>
      </c>
    </row>
    <row r="68" spans="1:37">
      <c r="A68" s="362"/>
      <c r="B68" s="342"/>
      <c r="C68" s="342"/>
      <c r="D68" s="342"/>
      <c r="E68" s="342"/>
      <c r="F68" s="364"/>
      <c r="O68" t="e">
        <f t="shared" ca="1" si="18"/>
        <v>#NAME?</v>
      </c>
      <c r="Q68" s="331" t="s">
        <v>1023</v>
      </c>
      <c r="R68" s="400" t="s">
        <v>1180</v>
      </c>
      <c r="S68" s="333">
        <f t="shared" si="9"/>
        <v>57</v>
      </c>
      <c r="T68" s="334"/>
      <c r="U68" s="348"/>
      <c r="V68" s="348"/>
      <c r="W68" s="334"/>
      <c r="AC68" s="334" t="e">
        <f t="shared" ca="1" si="10"/>
        <v>#NAME?</v>
      </c>
      <c r="AD68" s="348" t="e">
        <f t="shared" ca="1" si="11"/>
        <v>#NAME?</v>
      </c>
      <c r="AE68" s="348" t="e">
        <f t="shared" ca="1" si="12"/>
        <v>#NAME?</v>
      </c>
      <c r="AF68" s="334" t="e">
        <f t="shared" ca="1" si="13"/>
        <v>#NAME?</v>
      </c>
      <c r="AH68" s="334" t="e">
        <f t="shared" ca="1" si="14"/>
        <v>#NAME?</v>
      </c>
      <c r="AI68" s="348" t="e">
        <f t="shared" ca="1" si="15"/>
        <v>#NAME?</v>
      </c>
      <c r="AJ68" s="348" t="e">
        <f t="shared" ca="1" si="16"/>
        <v>#NAME?</v>
      </c>
      <c r="AK68" s="334" t="e">
        <f t="shared" ca="1" si="17"/>
        <v>#NAME?</v>
      </c>
    </row>
    <row r="69" spans="1:37" ht="15">
      <c r="A69" s="362" t="s">
        <v>717</v>
      </c>
      <c r="B69" s="366" t="s">
        <v>644</v>
      </c>
      <c r="C69" s="350">
        <v>12345</v>
      </c>
      <c r="D69" s="365"/>
      <c r="E69" s="365"/>
      <c r="F69" s="367" t="s">
        <v>721</v>
      </c>
      <c r="O69" t="e">
        <f t="shared" ca="1" si="18"/>
        <v>#NAME?</v>
      </c>
      <c r="Q69" s="331" t="s">
        <v>1024</v>
      </c>
      <c r="R69" s="400" t="s">
        <v>1181</v>
      </c>
      <c r="S69" s="333">
        <f t="shared" si="9"/>
        <v>58</v>
      </c>
      <c r="T69" s="334"/>
      <c r="U69" s="348"/>
      <c r="V69" s="348"/>
      <c r="W69" s="334"/>
      <c r="AC69" s="334" t="e">
        <f t="shared" ca="1" si="10"/>
        <v>#NAME?</v>
      </c>
      <c r="AD69" s="348" t="e">
        <f t="shared" ca="1" si="11"/>
        <v>#NAME?</v>
      </c>
      <c r="AE69" s="348" t="e">
        <f t="shared" ca="1" si="12"/>
        <v>#NAME?</v>
      </c>
      <c r="AF69" s="334" t="e">
        <f t="shared" ca="1" si="13"/>
        <v>#NAME?</v>
      </c>
      <c r="AH69" s="334" t="e">
        <f t="shared" ca="1" si="14"/>
        <v>#NAME?</v>
      </c>
      <c r="AI69" s="348" t="e">
        <f t="shared" ca="1" si="15"/>
        <v>#NAME?</v>
      </c>
      <c r="AJ69" s="348" t="e">
        <f t="shared" ca="1" si="16"/>
        <v>#NAME?</v>
      </c>
      <c r="AK69" s="334" t="e">
        <f t="shared" ca="1" si="17"/>
        <v>#NAME?</v>
      </c>
    </row>
    <row r="70" spans="1:37" ht="15">
      <c r="A70" s="362" t="s">
        <v>717</v>
      </c>
      <c r="B70" s="366" t="s">
        <v>644</v>
      </c>
      <c r="C70" s="349" t="s">
        <v>718</v>
      </c>
      <c r="D70" s="365"/>
      <c r="E70" s="365"/>
      <c r="F70" s="367" t="s">
        <v>716</v>
      </c>
      <c r="O70" t="e">
        <f t="shared" ca="1" si="18"/>
        <v>#NAME?</v>
      </c>
      <c r="Q70" s="331" t="s">
        <v>1025</v>
      </c>
      <c r="R70" s="400" t="s">
        <v>1182</v>
      </c>
      <c r="S70" s="333">
        <f t="shared" si="9"/>
        <v>59</v>
      </c>
      <c r="T70" s="334"/>
      <c r="U70" s="348"/>
      <c r="V70" s="348"/>
      <c r="W70" s="334"/>
      <c r="AC70" s="334" t="e">
        <f t="shared" ca="1" si="10"/>
        <v>#NAME?</v>
      </c>
      <c r="AD70" s="348" t="e">
        <f t="shared" ca="1" si="11"/>
        <v>#NAME?</v>
      </c>
      <c r="AE70" s="348" t="e">
        <f t="shared" ca="1" si="12"/>
        <v>#NAME?</v>
      </c>
      <c r="AF70" s="334" t="e">
        <f t="shared" ca="1" si="13"/>
        <v>#NAME?</v>
      </c>
      <c r="AH70" s="334" t="e">
        <f t="shared" ca="1" si="14"/>
        <v>#NAME?</v>
      </c>
      <c r="AI70" s="348" t="e">
        <f t="shared" ca="1" si="15"/>
        <v>#NAME?</v>
      </c>
      <c r="AJ70" s="348" t="e">
        <f t="shared" ca="1" si="16"/>
        <v>#NAME?</v>
      </c>
      <c r="AK70" s="334" t="e">
        <f t="shared" ca="1" si="17"/>
        <v>#NAME?</v>
      </c>
    </row>
    <row r="71" spans="1:37" ht="25.5">
      <c r="A71" s="362" t="s">
        <v>731</v>
      </c>
      <c r="B71" s="342"/>
      <c r="C71" s="376">
        <v>12345</v>
      </c>
      <c r="D71" s="342" t="s">
        <v>732</v>
      </c>
      <c r="E71" s="342"/>
      <c r="F71" s="364" t="s">
        <v>721</v>
      </c>
      <c r="M71" s="352"/>
      <c r="O71" t="e">
        <f t="shared" ca="1" si="18"/>
        <v>#NAME?</v>
      </c>
      <c r="Q71" s="331" t="s">
        <v>1026</v>
      </c>
      <c r="R71" s="400" t="s">
        <v>1183</v>
      </c>
      <c r="S71" s="333">
        <f t="shared" si="9"/>
        <v>60</v>
      </c>
      <c r="T71" s="334"/>
      <c r="U71" s="348"/>
      <c r="V71" s="348"/>
      <c r="W71" s="334"/>
      <c r="AC71" s="334" t="e">
        <f t="shared" ca="1" si="10"/>
        <v>#NAME?</v>
      </c>
      <c r="AD71" s="348" t="e">
        <f t="shared" ca="1" si="11"/>
        <v>#NAME?</v>
      </c>
      <c r="AE71" s="348" t="e">
        <f t="shared" ca="1" si="12"/>
        <v>#NAME?</v>
      </c>
      <c r="AF71" s="334" t="e">
        <f t="shared" ca="1" si="13"/>
        <v>#NAME?</v>
      </c>
      <c r="AH71" s="334" t="e">
        <f t="shared" ca="1" si="14"/>
        <v>#NAME?</v>
      </c>
      <c r="AI71" s="348" t="e">
        <f t="shared" ca="1" si="15"/>
        <v>#NAME?</v>
      </c>
      <c r="AJ71" s="348" t="e">
        <f t="shared" ca="1" si="16"/>
        <v>#NAME?</v>
      </c>
      <c r="AK71" s="334" t="e">
        <f t="shared" ca="1" si="17"/>
        <v>#NAME?</v>
      </c>
    </row>
    <row r="72" spans="1:37">
      <c r="A72" s="362" t="s">
        <v>723</v>
      </c>
      <c r="B72" s="366" t="s">
        <v>644</v>
      </c>
      <c r="C72" s="404" t="s">
        <v>718</v>
      </c>
      <c r="D72" s="342" t="s">
        <v>724</v>
      </c>
      <c r="E72" s="342"/>
      <c r="F72" s="364" t="s">
        <v>716</v>
      </c>
      <c r="M72" s="352"/>
      <c r="O72" t="e">
        <f t="shared" ca="1" si="18"/>
        <v>#NAME?</v>
      </c>
      <c r="Q72" s="331" t="s">
        <v>1027</v>
      </c>
      <c r="R72" s="400" t="s">
        <v>1184</v>
      </c>
      <c r="S72" s="333">
        <f t="shared" si="9"/>
        <v>61</v>
      </c>
      <c r="T72" s="334"/>
      <c r="U72" s="348"/>
      <c r="V72" s="348"/>
      <c r="W72" s="334"/>
      <c r="AC72" s="334" t="e">
        <f t="shared" ca="1" si="10"/>
        <v>#NAME?</v>
      </c>
      <c r="AD72" s="348" t="e">
        <f t="shared" ca="1" si="11"/>
        <v>#NAME?</v>
      </c>
      <c r="AE72" s="348" t="e">
        <f t="shared" ca="1" si="12"/>
        <v>#NAME?</v>
      </c>
      <c r="AF72" s="334" t="e">
        <f t="shared" ca="1" si="13"/>
        <v>#NAME?</v>
      </c>
      <c r="AH72" s="334" t="e">
        <f t="shared" ca="1" si="14"/>
        <v>#NAME?</v>
      </c>
      <c r="AI72" s="348" t="e">
        <f t="shared" ca="1" si="15"/>
        <v>#NAME?</v>
      </c>
      <c r="AJ72" s="348" t="e">
        <f t="shared" ca="1" si="16"/>
        <v>#NAME?</v>
      </c>
      <c r="AK72" s="334" t="e">
        <f t="shared" ca="1" si="17"/>
        <v>#NAME?</v>
      </c>
    </row>
    <row r="73" spans="1:37" ht="25.5">
      <c r="A73" s="362" t="s">
        <v>725</v>
      </c>
      <c r="B73" s="366" t="s">
        <v>644</v>
      </c>
      <c r="C73" s="405" t="s">
        <v>718</v>
      </c>
      <c r="D73" s="342" t="s">
        <v>724</v>
      </c>
      <c r="E73" s="342"/>
      <c r="F73" s="364" t="s">
        <v>716</v>
      </c>
      <c r="O73" t="e">
        <f t="shared" ca="1" si="18"/>
        <v>#NAME?</v>
      </c>
      <c r="Q73" s="331" t="s">
        <v>1028</v>
      </c>
      <c r="R73" s="400" t="s">
        <v>1185</v>
      </c>
      <c r="S73" s="333">
        <f t="shared" si="9"/>
        <v>62</v>
      </c>
      <c r="T73" s="334"/>
      <c r="U73" s="348"/>
      <c r="V73" s="348"/>
      <c r="W73" s="334"/>
      <c r="AC73" s="334" t="e">
        <f t="shared" ca="1" si="10"/>
        <v>#NAME?</v>
      </c>
      <c r="AD73" s="348" t="e">
        <f t="shared" ca="1" si="11"/>
        <v>#NAME?</v>
      </c>
      <c r="AE73" s="348" t="e">
        <f t="shared" ca="1" si="12"/>
        <v>#NAME?</v>
      </c>
      <c r="AF73" s="334" t="e">
        <f t="shared" ca="1" si="13"/>
        <v>#NAME?</v>
      </c>
      <c r="AH73" s="334" t="e">
        <f t="shared" ca="1" si="14"/>
        <v>#NAME?</v>
      </c>
      <c r="AI73" s="348" t="e">
        <f t="shared" ca="1" si="15"/>
        <v>#NAME?</v>
      </c>
      <c r="AJ73" s="348" t="e">
        <f t="shared" ca="1" si="16"/>
        <v>#NAME?</v>
      </c>
      <c r="AK73" s="334" t="e">
        <f t="shared" ca="1" si="17"/>
        <v>#NAME?</v>
      </c>
    </row>
    <row r="74" spans="1:37" ht="25.5">
      <c r="A74" s="362" t="s">
        <v>726</v>
      </c>
      <c r="B74" s="366" t="s">
        <v>644</v>
      </c>
      <c r="C74" s="406" t="s">
        <v>718</v>
      </c>
      <c r="D74" s="342" t="s">
        <v>724</v>
      </c>
      <c r="E74" s="342"/>
      <c r="F74" s="364" t="s">
        <v>716</v>
      </c>
      <c r="O74" t="e">
        <f t="shared" ca="1" si="18"/>
        <v>#NAME?</v>
      </c>
      <c r="Q74" s="331" t="s">
        <v>1029</v>
      </c>
      <c r="R74" s="400" t="s">
        <v>1186</v>
      </c>
      <c r="S74" s="333">
        <f t="shared" si="9"/>
        <v>63</v>
      </c>
      <c r="T74" s="334"/>
      <c r="U74" s="348"/>
      <c r="V74" s="348"/>
      <c r="W74" s="334"/>
      <c r="AC74" s="334" t="e">
        <f t="shared" ca="1" si="10"/>
        <v>#NAME?</v>
      </c>
      <c r="AD74" s="348" t="e">
        <f t="shared" ca="1" si="11"/>
        <v>#NAME?</v>
      </c>
      <c r="AE74" s="348" t="e">
        <f t="shared" ca="1" si="12"/>
        <v>#NAME?</v>
      </c>
      <c r="AF74" s="334" t="e">
        <f t="shared" ca="1" si="13"/>
        <v>#NAME?</v>
      </c>
      <c r="AH74" s="334" t="e">
        <f t="shared" ca="1" si="14"/>
        <v>#NAME?</v>
      </c>
      <c r="AI74" s="348" t="e">
        <f t="shared" ca="1" si="15"/>
        <v>#NAME?</v>
      </c>
      <c r="AJ74" s="348" t="e">
        <f t="shared" ca="1" si="16"/>
        <v>#NAME?</v>
      </c>
      <c r="AK74" s="334" t="e">
        <f t="shared" ca="1" si="17"/>
        <v>#NAME?</v>
      </c>
    </row>
    <row r="75" spans="1:37" ht="25.5">
      <c r="A75" s="362" t="s">
        <v>727</v>
      </c>
      <c r="B75" s="366" t="s">
        <v>644</v>
      </c>
      <c r="C75" s="407" t="s">
        <v>718</v>
      </c>
      <c r="D75" s="342" t="s">
        <v>724</v>
      </c>
      <c r="E75" s="342"/>
      <c r="F75" s="364" t="s">
        <v>716</v>
      </c>
      <c r="O75" t="e">
        <f t="shared" ca="1" si="18"/>
        <v>#NAME?</v>
      </c>
      <c r="Q75" s="331" t="s">
        <v>1030</v>
      </c>
      <c r="R75" s="400" t="s">
        <v>1187</v>
      </c>
      <c r="S75" s="333">
        <f t="shared" si="9"/>
        <v>64</v>
      </c>
      <c r="T75" s="334"/>
      <c r="U75" s="348"/>
      <c r="V75" s="348"/>
      <c r="W75" s="334"/>
      <c r="AC75" s="334" t="e">
        <f t="shared" ca="1" si="10"/>
        <v>#NAME?</v>
      </c>
      <c r="AD75" s="348" t="e">
        <f t="shared" ca="1" si="11"/>
        <v>#NAME?</v>
      </c>
      <c r="AE75" s="348" t="e">
        <f t="shared" ca="1" si="12"/>
        <v>#NAME?</v>
      </c>
      <c r="AF75" s="334" t="e">
        <f t="shared" ca="1" si="13"/>
        <v>#NAME?</v>
      </c>
      <c r="AH75" s="334" t="e">
        <f t="shared" ca="1" si="14"/>
        <v>#NAME?</v>
      </c>
      <c r="AI75" s="348" t="e">
        <f t="shared" ca="1" si="15"/>
        <v>#NAME?</v>
      </c>
      <c r="AJ75" s="348" t="e">
        <f t="shared" ca="1" si="16"/>
        <v>#NAME?</v>
      </c>
      <c r="AK75" s="334" t="e">
        <f t="shared" ca="1" si="17"/>
        <v>#NAME?</v>
      </c>
    </row>
    <row r="76" spans="1:37" ht="25.5">
      <c r="A76" s="362" t="s">
        <v>728</v>
      </c>
      <c r="B76" s="366" t="s">
        <v>644</v>
      </c>
      <c r="C76" s="408" t="s">
        <v>718</v>
      </c>
      <c r="D76" s="342" t="s">
        <v>724</v>
      </c>
      <c r="E76" s="342"/>
      <c r="F76" s="364" t="s">
        <v>716</v>
      </c>
      <c r="O76" t="e">
        <f t="shared" ca="1" si="18"/>
        <v>#NAME?</v>
      </c>
      <c r="Q76" s="331" t="s">
        <v>1031</v>
      </c>
      <c r="R76" s="400" t="s">
        <v>1188</v>
      </c>
      <c r="S76" s="333">
        <f t="shared" si="9"/>
        <v>65</v>
      </c>
      <c r="T76" s="334"/>
      <c r="U76" s="348"/>
      <c r="V76" s="348"/>
      <c r="W76" s="334"/>
      <c r="AC76" s="334" t="e">
        <f t="shared" ref="AC76:AC107" ca="1" si="19">IF(EV_PRO($D$1,Q76,"HLEVEL")="4",AC75+1,AC75)</f>
        <v>#NAME?</v>
      </c>
      <c r="AD76" s="348" t="e">
        <f t="shared" ref="AD76:AD107" ca="1" si="20">IF(EV_PRO($D$1,R76,"HLEVEL")="4",AD75+1,AD75)</f>
        <v>#NAME?</v>
      </c>
      <c r="AE76" s="348" t="e">
        <f t="shared" ref="AE76:AE107" ca="1" si="21">IF(EV_PRO($D$1,S76,"HLEVEL")="4",AE75+1,AE75)</f>
        <v>#NAME?</v>
      </c>
      <c r="AF76" s="334" t="e">
        <f t="shared" ref="AF76:AF107" ca="1" si="22">IF(EV_PRO($D$1,T76,"HLEVEL")="4",AF75+1,AF75)</f>
        <v>#NAME?</v>
      </c>
      <c r="AH76" s="334" t="e">
        <f t="shared" ref="AH76:AH107" ca="1" si="23">IF(EV_PRO($D$1,Q76,"HLEVEL")="5",IF(AH75+1=3,1,AH75+1),AH75)</f>
        <v>#NAME?</v>
      </c>
      <c r="AI76" s="348" t="e">
        <f t="shared" ref="AI76:AI107" ca="1" si="24">IF(EV_PRO($D$1,R76,"HLEVEL")="5",IF(AI75+1=3,1,AI75+1),AI75)</f>
        <v>#NAME?</v>
      </c>
      <c r="AJ76" s="348" t="e">
        <f t="shared" ref="AJ76:AJ107" ca="1" si="25">IF(EV_PRO($D$1,S76,"HLEVEL")="5",IF(AJ75+1=3,1,AJ75+1),AJ75)</f>
        <v>#NAME?</v>
      </c>
      <c r="AK76" s="334" t="e">
        <f t="shared" ref="AK76:AK107" ca="1" si="26">IF(EV_PRO($D$1,T76,"HLEVEL")="5",IF(AK75+1=3,1,AK75+1),AK75)</f>
        <v>#NAME?</v>
      </c>
    </row>
    <row r="77" spans="1:37" ht="25.5">
      <c r="A77" s="409" t="s">
        <v>729</v>
      </c>
      <c r="B77" s="410" t="s">
        <v>644</v>
      </c>
      <c r="C77" s="411" t="s">
        <v>718</v>
      </c>
      <c r="D77" s="412" t="s">
        <v>724</v>
      </c>
      <c r="E77" s="412"/>
      <c r="F77" s="413" t="s">
        <v>716</v>
      </c>
      <c r="O77" t="e">
        <f t="shared" ref="O77:O108" ca="1" si="27">EV_PRO("LEGAL",Q99,"HLEVEL")</f>
        <v>#NAME?</v>
      </c>
      <c r="Q77" s="331" t="s">
        <v>1032</v>
      </c>
      <c r="R77" s="400" t="s">
        <v>1189</v>
      </c>
      <c r="S77" s="333">
        <f t="shared" ref="S77:S140" si="28">IF(Q77&lt;&gt;"",IF(S76="№ Строки",1,S76+1),S76)</f>
        <v>66</v>
      </c>
      <c r="T77" s="334"/>
      <c r="U77" s="348"/>
      <c r="V77" s="348"/>
      <c r="W77" s="334"/>
      <c r="AC77" s="334" t="e">
        <f t="shared" ca="1" si="19"/>
        <v>#NAME?</v>
      </c>
      <c r="AD77" s="348" t="e">
        <f t="shared" ca="1" si="20"/>
        <v>#NAME?</v>
      </c>
      <c r="AE77" s="348" t="e">
        <f t="shared" ca="1" si="21"/>
        <v>#NAME?</v>
      </c>
      <c r="AF77" s="334" t="e">
        <f t="shared" ca="1" si="22"/>
        <v>#NAME?</v>
      </c>
      <c r="AH77" s="334" t="e">
        <f t="shared" ca="1" si="23"/>
        <v>#NAME?</v>
      </c>
      <c r="AI77" s="348" t="e">
        <f t="shared" ca="1" si="24"/>
        <v>#NAME?</v>
      </c>
      <c r="AJ77" s="348" t="e">
        <f t="shared" ca="1" si="25"/>
        <v>#NAME?</v>
      </c>
      <c r="AK77" s="334" t="e">
        <f t="shared" ca="1" si="26"/>
        <v>#NAME?</v>
      </c>
    </row>
    <row r="78" spans="1:37" ht="25.5">
      <c r="A78" s="311" t="s">
        <v>1033</v>
      </c>
      <c r="B78" s="410" t="s">
        <v>644</v>
      </c>
      <c r="C78" s="402">
        <v>12345</v>
      </c>
      <c r="D78" s="342"/>
      <c r="F78" s="413" t="s">
        <v>716</v>
      </c>
      <c r="O78" t="e">
        <f t="shared" ca="1" si="27"/>
        <v>#NAME?</v>
      </c>
      <c r="Q78" s="331" t="s">
        <v>1034</v>
      </c>
      <c r="R78" s="400" t="s">
        <v>1190</v>
      </c>
      <c r="S78" s="333">
        <f t="shared" si="28"/>
        <v>67</v>
      </c>
      <c r="T78" s="334"/>
      <c r="U78" s="348"/>
      <c r="V78" s="348"/>
      <c r="W78" s="334"/>
      <c r="AC78" s="334" t="e">
        <f t="shared" ca="1" si="19"/>
        <v>#NAME?</v>
      </c>
      <c r="AD78" s="348" t="e">
        <f t="shared" ca="1" si="20"/>
        <v>#NAME?</v>
      </c>
      <c r="AE78" s="348" t="e">
        <f t="shared" ca="1" si="21"/>
        <v>#NAME?</v>
      </c>
      <c r="AF78" s="334" t="e">
        <f t="shared" ca="1" si="22"/>
        <v>#NAME?</v>
      </c>
      <c r="AH78" s="334" t="e">
        <f t="shared" ca="1" si="23"/>
        <v>#NAME?</v>
      </c>
      <c r="AI78" s="348" t="e">
        <f t="shared" ca="1" si="24"/>
        <v>#NAME?</v>
      </c>
      <c r="AJ78" s="348" t="e">
        <f t="shared" ca="1" si="25"/>
        <v>#NAME?</v>
      </c>
      <c r="AK78" s="334" t="e">
        <f t="shared" ca="1" si="26"/>
        <v>#NAME?</v>
      </c>
    </row>
    <row r="79" spans="1:37" ht="25.5">
      <c r="A79" s="311" t="s">
        <v>1035</v>
      </c>
      <c r="B79" s="410" t="s">
        <v>644</v>
      </c>
      <c r="C79" s="402">
        <v>12345</v>
      </c>
      <c r="D79" s="342"/>
      <c r="F79" s="413" t="s">
        <v>716</v>
      </c>
      <c r="O79" t="e">
        <f t="shared" ca="1" si="27"/>
        <v>#NAME?</v>
      </c>
      <c r="Q79" s="331" t="s">
        <v>1036</v>
      </c>
      <c r="R79" s="400" t="s">
        <v>1191</v>
      </c>
      <c r="S79" s="333">
        <f t="shared" si="28"/>
        <v>68</v>
      </c>
      <c r="T79" s="334"/>
      <c r="U79" s="348"/>
      <c r="V79" s="348"/>
      <c r="W79" s="334"/>
      <c r="AC79" s="334" t="e">
        <f t="shared" ca="1" si="19"/>
        <v>#NAME?</v>
      </c>
      <c r="AD79" s="348" t="e">
        <f t="shared" ca="1" si="20"/>
        <v>#NAME?</v>
      </c>
      <c r="AE79" s="348" t="e">
        <f t="shared" ca="1" si="21"/>
        <v>#NAME?</v>
      </c>
      <c r="AF79" s="334" t="e">
        <f t="shared" ca="1" si="22"/>
        <v>#NAME?</v>
      </c>
      <c r="AH79" s="334" t="e">
        <f t="shared" ca="1" si="23"/>
        <v>#NAME?</v>
      </c>
      <c r="AI79" s="348" t="e">
        <f t="shared" ca="1" si="24"/>
        <v>#NAME?</v>
      </c>
      <c r="AJ79" s="348" t="e">
        <f t="shared" ca="1" si="25"/>
        <v>#NAME?</v>
      </c>
      <c r="AK79" s="334" t="e">
        <f t="shared" ca="1" si="26"/>
        <v>#NAME?</v>
      </c>
    </row>
    <row r="80" spans="1:37">
      <c r="A80"/>
      <c r="B80"/>
      <c r="C80"/>
      <c r="D80"/>
      <c r="E80"/>
      <c r="F80"/>
      <c r="O80" t="e">
        <f t="shared" ca="1" si="27"/>
        <v>#NAME?</v>
      </c>
      <c r="Q80" s="331" t="s">
        <v>1037</v>
      </c>
      <c r="R80" s="398" t="s">
        <v>1192</v>
      </c>
      <c r="S80" s="333">
        <f t="shared" si="28"/>
        <v>69</v>
      </c>
      <c r="T80" s="334"/>
      <c r="U80" s="348">
        <v>-742</v>
      </c>
      <c r="V80" s="348"/>
      <c r="W80" s="334">
        <v>-742</v>
      </c>
      <c r="AC80" s="334" t="e">
        <f t="shared" ca="1" si="19"/>
        <v>#NAME?</v>
      </c>
      <c r="AD80" s="348" t="e">
        <f t="shared" ca="1" si="20"/>
        <v>#NAME?</v>
      </c>
      <c r="AE80" s="348" t="e">
        <f t="shared" ca="1" si="21"/>
        <v>#NAME?</v>
      </c>
      <c r="AF80" s="334" t="e">
        <f t="shared" ca="1" si="22"/>
        <v>#NAME?</v>
      </c>
      <c r="AH80" s="334" t="e">
        <f t="shared" ca="1" si="23"/>
        <v>#NAME?</v>
      </c>
      <c r="AI80" s="348" t="e">
        <f t="shared" ca="1" si="24"/>
        <v>#NAME?</v>
      </c>
      <c r="AJ80" s="348" t="e">
        <f t="shared" ca="1" si="25"/>
        <v>#NAME?</v>
      </c>
      <c r="AK80" s="334" t="e">
        <f t="shared" ca="1" si="26"/>
        <v>#NAME?</v>
      </c>
    </row>
    <row r="81" spans="1:37" ht="25.5">
      <c r="A81"/>
      <c r="B81"/>
      <c r="C81"/>
      <c r="D81"/>
      <c r="E81"/>
      <c r="F81"/>
      <c r="O81" t="e">
        <f t="shared" ca="1" si="27"/>
        <v>#NAME?</v>
      </c>
      <c r="Q81" s="331" t="s">
        <v>1038</v>
      </c>
      <c r="R81" s="398" t="s">
        <v>1193</v>
      </c>
      <c r="S81" s="333">
        <f t="shared" si="28"/>
        <v>70</v>
      </c>
      <c r="T81" s="334"/>
      <c r="U81" s="348"/>
      <c r="V81" s="348"/>
      <c r="W81" s="334"/>
      <c r="AC81" s="334" t="e">
        <f t="shared" ca="1" si="19"/>
        <v>#NAME?</v>
      </c>
      <c r="AD81" s="348" t="e">
        <f t="shared" ca="1" si="20"/>
        <v>#NAME?</v>
      </c>
      <c r="AE81" s="348" t="e">
        <f t="shared" ca="1" si="21"/>
        <v>#NAME?</v>
      </c>
      <c r="AF81" s="334" t="e">
        <f t="shared" ca="1" si="22"/>
        <v>#NAME?</v>
      </c>
      <c r="AH81" s="334" t="e">
        <f t="shared" ca="1" si="23"/>
        <v>#NAME?</v>
      </c>
      <c r="AI81" s="348" t="e">
        <f t="shared" ca="1" si="24"/>
        <v>#NAME?</v>
      </c>
      <c r="AJ81" s="348" t="e">
        <f t="shared" ca="1" si="25"/>
        <v>#NAME?</v>
      </c>
      <c r="AK81" s="334" t="e">
        <f t="shared" ca="1" si="26"/>
        <v>#NAME?</v>
      </c>
    </row>
    <row r="82" spans="1:37" ht="15">
      <c r="A82"/>
      <c r="B82"/>
      <c r="C82"/>
      <c r="D82"/>
      <c r="E82"/>
      <c r="F82"/>
      <c r="O82" t="e">
        <f t="shared" ca="1" si="27"/>
        <v>#NAME?</v>
      </c>
      <c r="Q82" s="331" t="s">
        <v>1039</v>
      </c>
      <c r="R82" s="399" t="s">
        <v>1194</v>
      </c>
      <c r="S82" s="381">
        <f t="shared" si="28"/>
        <v>71</v>
      </c>
      <c r="T82" s="350"/>
      <c r="U82" s="350">
        <v>-1566587</v>
      </c>
      <c r="V82" s="350"/>
      <c r="W82" s="350">
        <v>-1566587</v>
      </c>
      <c r="AC82" s="350" t="e">
        <f t="shared" ca="1" si="19"/>
        <v>#NAME?</v>
      </c>
      <c r="AD82" s="350" t="e">
        <f t="shared" ca="1" si="20"/>
        <v>#NAME?</v>
      </c>
      <c r="AE82" s="350" t="e">
        <f t="shared" ca="1" si="21"/>
        <v>#NAME?</v>
      </c>
      <c r="AF82" s="350" t="e">
        <f t="shared" ca="1" si="22"/>
        <v>#NAME?</v>
      </c>
      <c r="AH82" s="350" t="e">
        <f t="shared" ca="1" si="23"/>
        <v>#NAME?</v>
      </c>
      <c r="AI82" s="350" t="e">
        <f t="shared" ca="1" si="24"/>
        <v>#NAME?</v>
      </c>
      <c r="AJ82" s="350" t="e">
        <f t="shared" ca="1" si="25"/>
        <v>#NAME?</v>
      </c>
      <c r="AK82" s="350" t="e">
        <f t="shared" ca="1" si="26"/>
        <v>#NAME?</v>
      </c>
    </row>
    <row r="83" spans="1:37">
      <c r="A83"/>
      <c r="B83"/>
      <c r="C83"/>
      <c r="D83"/>
      <c r="E83"/>
      <c r="F83"/>
      <c r="M83" s="401" t="e">
        <f ca="1">EV_COM(R83,EV_APP(),Q83,$D$2,$D$3,$D$4,"M3_NONE","M4_NONE","F_NONE","NON_GROUP","YTD","LC",$D$11,"I_NONE")</f>
        <v>#NAME?</v>
      </c>
      <c r="N83" t="s">
        <v>999</v>
      </c>
      <c r="O83" t="e">
        <f t="shared" ca="1" si="27"/>
        <v>#NAME?</v>
      </c>
      <c r="Q83" s="331" t="s">
        <v>1040</v>
      </c>
      <c r="R83" s="402"/>
      <c r="S83" s="403">
        <f t="shared" si="28"/>
        <v>72</v>
      </c>
      <c r="T83" s="334"/>
      <c r="U83" s="348">
        <v>-1566587</v>
      </c>
      <c r="V83" s="348"/>
      <c r="W83" s="334">
        <v>-1566587</v>
      </c>
      <c r="AC83" s="334" t="e">
        <f t="shared" ca="1" si="19"/>
        <v>#NAME?</v>
      </c>
      <c r="AD83" s="348" t="e">
        <f t="shared" ca="1" si="20"/>
        <v>#NAME?</v>
      </c>
      <c r="AE83" s="348" t="e">
        <f t="shared" ca="1" si="21"/>
        <v>#NAME?</v>
      </c>
      <c r="AF83" s="334" t="e">
        <f t="shared" ca="1" si="22"/>
        <v>#NAME?</v>
      </c>
      <c r="AH83" s="334" t="e">
        <f t="shared" ca="1" si="23"/>
        <v>#NAME?</v>
      </c>
      <c r="AI83" s="348" t="e">
        <f t="shared" ca="1" si="24"/>
        <v>#NAME?</v>
      </c>
      <c r="AJ83" s="348" t="e">
        <f t="shared" ca="1" si="25"/>
        <v>#NAME?</v>
      </c>
      <c r="AK83" s="334" t="e">
        <f t="shared" ca="1" si="26"/>
        <v>#NAME?</v>
      </c>
    </row>
    <row r="84" spans="1:37">
      <c r="A84"/>
      <c r="B84"/>
      <c r="C84"/>
      <c r="D84"/>
      <c r="E84"/>
      <c r="F84"/>
      <c r="M84" s="401" t="e">
        <f ca="1">EV_COM(R84,EV_APP(),Q84,$D$2,$D$3,$D$4,"M3_NONE","M4_NONE","F_NONE","NON_GROUP","YTD","LC",$D$11,"I_NONE")</f>
        <v>#NAME?</v>
      </c>
      <c r="N84" t="s">
        <v>999</v>
      </c>
      <c r="O84" t="e">
        <f t="shared" ca="1" si="27"/>
        <v>#NAME?</v>
      </c>
      <c r="Q84" s="331" t="s">
        <v>1041</v>
      </c>
      <c r="R84" s="402"/>
      <c r="S84" s="403">
        <f t="shared" si="28"/>
        <v>73</v>
      </c>
      <c r="T84" s="334"/>
      <c r="U84" s="348"/>
      <c r="V84" s="348"/>
      <c r="W84" s="334"/>
      <c r="AC84" s="334" t="e">
        <f t="shared" ca="1" si="19"/>
        <v>#NAME?</v>
      </c>
      <c r="AD84" s="348" t="e">
        <f t="shared" ca="1" si="20"/>
        <v>#NAME?</v>
      </c>
      <c r="AE84" s="348" t="e">
        <f t="shared" ca="1" si="21"/>
        <v>#NAME?</v>
      </c>
      <c r="AF84" s="334" t="e">
        <f t="shared" ca="1" si="22"/>
        <v>#NAME?</v>
      </c>
      <c r="AH84" s="334" t="e">
        <f t="shared" ca="1" si="23"/>
        <v>#NAME?</v>
      </c>
      <c r="AI84" s="348" t="e">
        <f t="shared" ca="1" si="24"/>
        <v>#NAME?</v>
      </c>
      <c r="AJ84" s="348" t="e">
        <f t="shared" ca="1" si="25"/>
        <v>#NAME?</v>
      </c>
      <c r="AK84" s="334" t="e">
        <f t="shared" ca="1" si="26"/>
        <v>#NAME?</v>
      </c>
    </row>
    <row r="85" spans="1:37">
      <c r="M85" s="401" t="e">
        <f ca="1">EV_COM(R85,EV_APP(),Q85,$D$2,$D$3,$D$4,"M3_NONE","M4_NONE","F_NONE","NON_GROUP","YTD","LC",$D$11,"I_NONE")</f>
        <v>#NAME?</v>
      </c>
      <c r="N85" t="s">
        <v>999</v>
      </c>
      <c r="O85" t="e">
        <f t="shared" ca="1" si="27"/>
        <v>#NAME?</v>
      </c>
      <c r="Q85" s="331" t="s">
        <v>1042</v>
      </c>
      <c r="R85" s="402"/>
      <c r="S85" s="403">
        <f t="shared" si="28"/>
        <v>74</v>
      </c>
      <c r="T85" s="334"/>
      <c r="U85" s="348"/>
      <c r="V85" s="348"/>
      <c r="W85" s="334"/>
      <c r="AC85" s="334" t="e">
        <f t="shared" ca="1" si="19"/>
        <v>#NAME?</v>
      </c>
      <c r="AD85" s="348" t="e">
        <f t="shared" ca="1" si="20"/>
        <v>#NAME?</v>
      </c>
      <c r="AE85" s="348" t="e">
        <f t="shared" ca="1" si="21"/>
        <v>#NAME?</v>
      </c>
      <c r="AF85" s="334" t="e">
        <f t="shared" ca="1" si="22"/>
        <v>#NAME?</v>
      </c>
      <c r="AH85" s="334" t="e">
        <f t="shared" ca="1" si="23"/>
        <v>#NAME?</v>
      </c>
      <c r="AI85" s="348" t="e">
        <f t="shared" ca="1" si="24"/>
        <v>#NAME?</v>
      </c>
      <c r="AJ85" s="348" t="e">
        <f t="shared" ca="1" si="25"/>
        <v>#NAME?</v>
      </c>
      <c r="AK85" s="334" t="e">
        <f t="shared" ca="1" si="26"/>
        <v>#NAME?</v>
      </c>
    </row>
    <row r="86" spans="1:37" ht="15">
      <c r="A86" s="303" t="e">
        <f>_xll.EVDRE($D$1,A89:B96,A100:D106)</f>
        <v>#VALUE!</v>
      </c>
      <c r="B86" s="304" t="s">
        <v>597</v>
      </c>
      <c r="C86" s="305" t="s">
        <v>598</v>
      </c>
      <c r="D86" s="306" t="s">
        <v>599</v>
      </c>
      <c r="M86" s="401" t="e">
        <f ca="1">EV_COM(R86,EV_APP(),Q86,$D$2,$D$3,$D$4,"M3_NONE","M4_NONE","F_NONE","NON_GROUP","YTD","LC",$D$11,"I_NONE")</f>
        <v>#NAME?</v>
      </c>
      <c r="N86" t="s">
        <v>999</v>
      </c>
      <c r="O86" t="e">
        <f t="shared" ca="1" si="27"/>
        <v>#NAME?</v>
      </c>
      <c r="Q86" s="331" t="s">
        <v>1043</v>
      </c>
      <c r="R86" s="402"/>
      <c r="S86" s="403">
        <f t="shared" si="28"/>
        <v>75</v>
      </c>
      <c r="T86" s="334"/>
      <c r="U86" s="348"/>
      <c r="V86" s="348"/>
      <c r="W86" s="334"/>
      <c r="AC86" s="334" t="e">
        <f t="shared" ca="1" si="19"/>
        <v>#NAME?</v>
      </c>
      <c r="AD86" s="348" t="e">
        <f t="shared" ca="1" si="20"/>
        <v>#NAME?</v>
      </c>
      <c r="AE86" s="348" t="e">
        <f t="shared" ca="1" si="21"/>
        <v>#NAME?</v>
      </c>
      <c r="AF86" s="334" t="e">
        <f t="shared" ca="1" si="22"/>
        <v>#NAME?</v>
      </c>
      <c r="AH86" s="334" t="e">
        <f t="shared" ca="1" si="23"/>
        <v>#NAME?</v>
      </c>
      <c r="AI86" s="348" t="e">
        <f t="shared" ca="1" si="24"/>
        <v>#NAME?</v>
      </c>
      <c r="AJ86" s="348" t="e">
        <f t="shared" ca="1" si="25"/>
        <v>#NAME?</v>
      </c>
      <c r="AK86" s="334" t="e">
        <f t="shared" ca="1" si="26"/>
        <v>#NAME?</v>
      </c>
    </row>
    <row r="87" spans="1:37" ht="15">
      <c r="C87" s="305" t="s">
        <v>649</v>
      </c>
      <c r="D87" s="307">
        <v>101000000</v>
      </c>
      <c r="M87" s="401" t="e">
        <f ca="1">EV_COM(R87,EV_APP(),Q87,$D$2,$D$3,$D$4,"M3_NONE","M4_NONE","F_NONE","NON_GROUP","YTD","LC",$D$11,"I_NONE")</f>
        <v>#NAME?</v>
      </c>
      <c r="N87" t="s">
        <v>999</v>
      </c>
      <c r="O87" t="e">
        <f t="shared" ca="1" si="27"/>
        <v>#NAME?</v>
      </c>
      <c r="Q87" s="331" t="s">
        <v>1044</v>
      </c>
      <c r="R87" s="402"/>
      <c r="S87" s="403">
        <f t="shared" si="28"/>
        <v>76</v>
      </c>
      <c r="T87" s="334"/>
      <c r="U87" s="348"/>
      <c r="V87" s="348"/>
      <c r="W87" s="334"/>
      <c r="AC87" s="334" t="e">
        <f t="shared" ca="1" si="19"/>
        <v>#NAME?</v>
      </c>
      <c r="AD87" s="348" t="e">
        <f t="shared" ca="1" si="20"/>
        <v>#NAME?</v>
      </c>
      <c r="AE87" s="348" t="e">
        <f t="shared" ca="1" si="21"/>
        <v>#NAME?</v>
      </c>
      <c r="AF87" s="334" t="e">
        <f t="shared" ca="1" si="22"/>
        <v>#NAME?</v>
      </c>
      <c r="AH87" s="334" t="e">
        <f t="shared" ca="1" si="23"/>
        <v>#NAME?</v>
      </c>
      <c r="AI87" s="348" t="e">
        <f t="shared" ca="1" si="24"/>
        <v>#NAME?</v>
      </c>
      <c r="AJ87" s="348" t="e">
        <f t="shared" ca="1" si="25"/>
        <v>#NAME?</v>
      </c>
      <c r="AK87" s="334" t="e">
        <f t="shared" ca="1" si="26"/>
        <v>#NAME?</v>
      </c>
    </row>
    <row r="88" spans="1:37" ht="15">
      <c r="A88" s="313" t="s">
        <v>602</v>
      </c>
      <c r="B88" s="314" t="s">
        <v>603</v>
      </c>
      <c r="C88" s="305" t="s">
        <v>601</v>
      </c>
      <c r="D88" s="307" t="e">
        <f ca="1">EV_CVW($D$1,C88)</f>
        <v>#NAME?</v>
      </c>
      <c r="M88" s="401" t="e">
        <f ca="1">EV_COM(R88,EV_APP(),Q88,$D$2,$D$3,$D$4,"M3_NONE","M4_NONE","F_NONE","NON_GROUP","YTD","LC",$D$11,"I_NONE")</f>
        <v>#NAME?</v>
      </c>
      <c r="N88" t="s">
        <v>999</v>
      </c>
      <c r="O88" t="e">
        <f t="shared" ca="1" si="27"/>
        <v>#NAME?</v>
      </c>
      <c r="Q88" s="331" t="s">
        <v>1045</v>
      </c>
      <c r="R88" s="402"/>
      <c r="S88" s="403">
        <f t="shared" si="28"/>
        <v>77</v>
      </c>
      <c r="T88" s="334"/>
      <c r="U88" s="348"/>
      <c r="V88" s="348"/>
      <c r="W88" s="334"/>
      <c r="AC88" s="334" t="e">
        <f t="shared" ca="1" si="19"/>
        <v>#NAME?</v>
      </c>
      <c r="AD88" s="348" t="e">
        <f t="shared" ca="1" si="20"/>
        <v>#NAME?</v>
      </c>
      <c r="AE88" s="348" t="e">
        <f t="shared" ca="1" si="21"/>
        <v>#NAME?</v>
      </c>
      <c r="AF88" s="334" t="e">
        <f t="shared" ca="1" si="22"/>
        <v>#NAME?</v>
      </c>
      <c r="AH88" s="334" t="e">
        <f t="shared" ca="1" si="23"/>
        <v>#NAME?</v>
      </c>
      <c r="AI88" s="348" t="e">
        <f t="shared" ca="1" si="24"/>
        <v>#NAME?</v>
      </c>
      <c r="AJ88" s="348" t="e">
        <f t="shared" ca="1" si="25"/>
        <v>#NAME?</v>
      </c>
      <c r="AK88" s="334" t="e">
        <f t="shared" ca="1" si="26"/>
        <v>#NAME?</v>
      </c>
    </row>
    <row r="89" spans="1:37" ht="15">
      <c r="A89" s="316" t="s">
        <v>605</v>
      </c>
      <c r="B89" s="317" t="str">
        <f>_xll.EVRNG(D87:D96)</f>
        <v>'Ф3'!$D$87:$D$96</v>
      </c>
      <c r="C89" s="305" t="s">
        <v>604</v>
      </c>
      <c r="D89" s="307" t="e">
        <f ca="1">EV_CVW($D$1,C89)</f>
        <v>#NAME?</v>
      </c>
      <c r="M89" s="401" t="e">
        <f ca="1">EV_COM(R89,EV_APP(),Q89,$D$2,$D$3,$D$4,"M3_NONE","M4_NONE","F_NONE","NON_GROUP","YTD","LC",$D$11,"I_NONE")</f>
        <v>#NAME?</v>
      </c>
      <c r="N89" t="s">
        <v>999</v>
      </c>
      <c r="O89" t="e">
        <f t="shared" ca="1" si="27"/>
        <v>#NAME?</v>
      </c>
      <c r="Q89" s="331" t="s">
        <v>1046</v>
      </c>
      <c r="R89" s="402"/>
      <c r="S89" s="403">
        <f t="shared" si="28"/>
        <v>78</v>
      </c>
      <c r="T89" s="334"/>
      <c r="U89" s="348"/>
      <c r="V89" s="348"/>
      <c r="W89" s="334"/>
      <c r="AC89" s="334" t="e">
        <f t="shared" ca="1" si="19"/>
        <v>#NAME?</v>
      </c>
      <c r="AD89" s="348" t="e">
        <f t="shared" ca="1" si="20"/>
        <v>#NAME?</v>
      </c>
      <c r="AE89" s="348" t="e">
        <f t="shared" ca="1" si="21"/>
        <v>#NAME?</v>
      </c>
      <c r="AF89" s="334" t="e">
        <f t="shared" ca="1" si="22"/>
        <v>#NAME?</v>
      </c>
      <c r="AH89" s="334" t="e">
        <f t="shared" ca="1" si="23"/>
        <v>#NAME?</v>
      </c>
      <c r="AI89" s="348" t="e">
        <f t="shared" ca="1" si="24"/>
        <v>#NAME?</v>
      </c>
      <c r="AJ89" s="348" t="e">
        <f t="shared" ca="1" si="25"/>
        <v>#NAME?</v>
      </c>
      <c r="AK89" s="334" t="e">
        <f t="shared" ca="1" si="26"/>
        <v>#NAME?</v>
      </c>
    </row>
    <row r="90" spans="1:37" ht="15">
      <c r="A90" s="316" t="s">
        <v>608</v>
      </c>
      <c r="B90" s="317" t="str">
        <f>_xll.EVRNG(T167:W168,AC167:AF168,)</f>
        <v>'Ф3'!$T$167:$W$168,'Ф3'!$AC$167:$AF$168</v>
      </c>
      <c r="C90" s="305" t="s">
        <v>606</v>
      </c>
      <c r="D90" s="307" t="e">
        <f ca="1">EV_CVW($D$1,C90)</f>
        <v>#NAME?</v>
      </c>
      <c r="E90" s="311" t="e">
        <f ca="1">D90</f>
        <v>#NAME?</v>
      </c>
      <c r="M90" s="401" t="e">
        <f ca="1">EV_COM(R90,EV_APP(),Q90,$D$2,$D$3,$D$4,"M3_NONE","M4_NONE","F_NONE","NON_GROUP","YTD","LC",$D$11,"I_NONE")</f>
        <v>#NAME?</v>
      </c>
      <c r="N90" t="s">
        <v>999</v>
      </c>
      <c r="O90" t="e">
        <f t="shared" ca="1" si="27"/>
        <v>#NAME?</v>
      </c>
      <c r="Q90" s="331" t="s">
        <v>1047</v>
      </c>
      <c r="R90" s="402"/>
      <c r="S90" s="403">
        <f t="shared" si="28"/>
        <v>79</v>
      </c>
      <c r="T90" s="334"/>
      <c r="U90" s="348"/>
      <c r="V90" s="348"/>
      <c r="W90" s="334"/>
      <c r="AC90" s="334" t="e">
        <f t="shared" ca="1" si="19"/>
        <v>#NAME?</v>
      </c>
      <c r="AD90" s="348" t="e">
        <f t="shared" ca="1" si="20"/>
        <v>#NAME?</v>
      </c>
      <c r="AE90" s="348" t="e">
        <f t="shared" ca="1" si="21"/>
        <v>#NAME?</v>
      </c>
      <c r="AF90" s="334" t="e">
        <f t="shared" ca="1" si="22"/>
        <v>#NAME?</v>
      </c>
      <c r="AH90" s="334" t="e">
        <f t="shared" ca="1" si="23"/>
        <v>#NAME?</v>
      </c>
      <c r="AI90" s="348" t="e">
        <f t="shared" ca="1" si="24"/>
        <v>#NAME?</v>
      </c>
      <c r="AJ90" s="348" t="e">
        <f t="shared" ca="1" si="25"/>
        <v>#NAME?</v>
      </c>
      <c r="AK90" s="334" t="e">
        <f t="shared" ca="1" si="26"/>
        <v>#NAME?</v>
      </c>
    </row>
    <row r="91" spans="1:37" ht="30">
      <c r="A91" s="316" t="s">
        <v>611</v>
      </c>
      <c r="B91" s="317" t="str">
        <f>_xll.EVRNG(Q169:Q171)</f>
        <v>'Ф3'!$Q$169:$Q$171</v>
      </c>
      <c r="C91" s="305" t="s">
        <v>609</v>
      </c>
      <c r="D91" s="319" t="s">
        <v>653</v>
      </c>
      <c r="O91" t="e">
        <f t="shared" ca="1" si="27"/>
        <v>#NAME?</v>
      </c>
      <c r="Q91" s="331" t="s">
        <v>1048</v>
      </c>
      <c r="R91" s="385" t="s">
        <v>1195</v>
      </c>
      <c r="S91" s="381">
        <f t="shared" si="28"/>
        <v>80</v>
      </c>
      <c r="T91" s="350">
        <v>-14641</v>
      </c>
      <c r="U91" s="350">
        <v>-61786360</v>
      </c>
      <c r="V91" s="350">
        <v>3297984</v>
      </c>
      <c r="W91" s="350">
        <v>-58503017</v>
      </c>
      <c r="AC91" s="350" t="e">
        <f t="shared" ca="1" si="19"/>
        <v>#NAME?</v>
      </c>
      <c r="AD91" s="350" t="e">
        <f t="shared" ca="1" si="20"/>
        <v>#NAME?</v>
      </c>
      <c r="AE91" s="350" t="e">
        <f t="shared" ca="1" si="21"/>
        <v>#NAME?</v>
      </c>
      <c r="AF91" s="350" t="e">
        <f t="shared" ca="1" si="22"/>
        <v>#NAME?</v>
      </c>
      <c r="AH91" s="350" t="e">
        <f t="shared" ca="1" si="23"/>
        <v>#NAME?</v>
      </c>
      <c r="AI91" s="350" t="e">
        <f t="shared" ca="1" si="24"/>
        <v>#NAME?</v>
      </c>
      <c r="AJ91" s="350" t="e">
        <f t="shared" ca="1" si="25"/>
        <v>#NAME?</v>
      </c>
      <c r="AK91" s="350" t="e">
        <f t="shared" ca="1" si="26"/>
        <v>#NAME?</v>
      </c>
    </row>
    <row r="92" spans="1:37" ht="15">
      <c r="A92" s="316" t="s">
        <v>615</v>
      </c>
      <c r="B92" s="317"/>
      <c r="C92" s="305" t="s">
        <v>612</v>
      </c>
      <c r="D92" s="319" t="s">
        <v>652</v>
      </c>
      <c r="O92" t="e">
        <f t="shared" ca="1" si="27"/>
        <v>#NAME?</v>
      </c>
      <c r="Q92" s="331" t="s">
        <v>1049</v>
      </c>
      <c r="R92" s="397" t="s">
        <v>1196</v>
      </c>
      <c r="S92" s="381">
        <f t="shared" si="28"/>
        <v>81</v>
      </c>
      <c r="T92" s="350">
        <v>2297</v>
      </c>
      <c r="U92" s="350">
        <v>20260166</v>
      </c>
      <c r="V92" s="350">
        <v>3303400</v>
      </c>
      <c r="W92" s="350">
        <v>23565863</v>
      </c>
      <c r="AC92" s="350" t="e">
        <f t="shared" ca="1" si="19"/>
        <v>#NAME?</v>
      </c>
      <c r="AD92" s="350" t="e">
        <f t="shared" ca="1" si="20"/>
        <v>#NAME?</v>
      </c>
      <c r="AE92" s="350" t="e">
        <f t="shared" ca="1" si="21"/>
        <v>#NAME?</v>
      </c>
      <c r="AF92" s="350" t="e">
        <f t="shared" ca="1" si="22"/>
        <v>#NAME?</v>
      </c>
      <c r="AH92" s="350" t="e">
        <f t="shared" ca="1" si="23"/>
        <v>#NAME?</v>
      </c>
      <c r="AI92" s="350" t="e">
        <f t="shared" ca="1" si="24"/>
        <v>#NAME?</v>
      </c>
      <c r="AJ92" s="350" t="e">
        <f t="shared" ca="1" si="25"/>
        <v>#NAME?</v>
      </c>
      <c r="AK92" s="350" t="e">
        <f t="shared" ca="1" si="26"/>
        <v>#NAME?</v>
      </c>
    </row>
    <row r="93" spans="1:37" ht="15">
      <c r="A93" s="316" t="s">
        <v>622</v>
      </c>
      <c r="B93" s="317"/>
      <c r="C93" s="305" t="s">
        <v>623</v>
      </c>
      <c r="D93" s="319" t="s">
        <v>624</v>
      </c>
      <c r="O93" t="e">
        <f t="shared" ca="1" si="27"/>
        <v>#NAME?</v>
      </c>
      <c r="Q93" s="331" t="s">
        <v>1050</v>
      </c>
      <c r="R93" s="398" t="s">
        <v>1197</v>
      </c>
      <c r="S93" s="333">
        <f t="shared" si="28"/>
        <v>82</v>
      </c>
      <c r="T93" s="334"/>
      <c r="U93" s="348"/>
      <c r="V93" s="348">
        <v>15950</v>
      </c>
      <c r="W93" s="334">
        <v>15950</v>
      </c>
      <c r="AC93" s="334" t="e">
        <f t="shared" ca="1" si="19"/>
        <v>#NAME?</v>
      </c>
      <c r="AD93" s="348" t="e">
        <f t="shared" ca="1" si="20"/>
        <v>#NAME?</v>
      </c>
      <c r="AE93" s="348" t="e">
        <f t="shared" ca="1" si="21"/>
        <v>#NAME?</v>
      </c>
      <c r="AF93" s="334" t="e">
        <f t="shared" ca="1" si="22"/>
        <v>#NAME?</v>
      </c>
      <c r="AH93" s="334" t="e">
        <f t="shared" ca="1" si="23"/>
        <v>#NAME?</v>
      </c>
      <c r="AI93" s="348" t="e">
        <f t="shared" ca="1" si="24"/>
        <v>#NAME?</v>
      </c>
      <c r="AJ93" s="348" t="e">
        <f t="shared" ca="1" si="25"/>
        <v>#NAME?</v>
      </c>
      <c r="AK93" s="334" t="e">
        <f t="shared" ca="1" si="26"/>
        <v>#NAME?</v>
      </c>
    </row>
    <row r="94" spans="1:37" ht="15">
      <c r="A94" s="316" t="s">
        <v>626</v>
      </c>
      <c r="B94" s="317" t="str">
        <f>_xll.EVRNG($A$110:$F$157)</f>
        <v>'Ф3'!$A$110:$F$157</v>
      </c>
      <c r="C94" s="305" t="s">
        <v>627</v>
      </c>
      <c r="D94" s="319" t="s">
        <v>628</v>
      </c>
      <c r="O94" t="e">
        <f t="shared" ca="1" si="27"/>
        <v>#NAME?</v>
      </c>
      <c r="Q94" s="331" t="s">
        <v>1051</v>
      </c>
      <c r="R94" s="398" t="s">
        <v>1198</v>
      </c>
      <c r="S94" s="333">
        <f t="shared" si="28"/>
        <v>83</v>
      </c>
      <c r="T94" s="334"/>
      <c r="U94" s="348"/>
      <c r="V94" s="348"/>
      <c r="W94" s="334"/>
      <c r="AC94" s="334" t="e">
        <f t="shared" ca="1" si="19"/>
        <v>#NAME?</v>
      </c>
      <c r="AD94" s="348" t="e">
        <f t="shared" ca="1" si="20"/>
        <v>#NAME?</v>
      </c>
      <c r="AE94" s="348" t="e">
        <f t="shared" ca="1" si="21"/>
        <v>#NAME?</v>
      </c>
      <c r="AF94" s="334" t="e">
        <f t="shared" ca="1" si="22"/>
        <v>#NAME?</v>
      </c>
      <c r="AH94" s="334" t="e">
        <f t="shared" ca="1" si="23"/>
        <v>#NAME?</v>
      </c>
      <c r="AI94" s="348" t="e">
        <f t="shared" ca="1" si="24"/>
        <v>#NAME?</v>
      </c>
      <c r="AJ94" s="348" t="e">
        <f t="shared" ca="1" si="25"/>
        <v>#NAME?</v>
      </c>
      <c r="AK94" s="334" t="e">
        <f t="shared" ca="1" si="26"/>
        <v>#NAME?</v>
      </c>
    </row>
    <row r="95" spans="1:37" ht="15">
      <c r="A95" s="316" t="s">
        <v>630</v>
      </c>
      <c r="B95" s="317" t="str">
        <f>_xll.EVRNG($A$165:$B$181)</f>
        <v>'Ф3'!$A$165:$B$181</v>
      </c>
      <c r="C95" s="305" t="s">
        <v>631</v>
      </c>
      <c r="D95" s="319" t="s">
        <v>632</v>
      </c>
      <c r="O95" t="e">
        <f t="shared" ca="1" si="27"/>
        <v>#NAME?</v>
      </c>
      <c r="Q95" s="331" t="s">
        <v>1052</v>
      </c>
      <c r="R95" s="398" t="s">
        <v>1199</v>
      </c>
      <c r="S95" s="333">
        <f t="shared" si="28"/>
        <v>84</v>
      </c>
      <c r="T95" s="334"/>
      <c r="U95" s="348"/>
      <c r="V95" s="348"/>
      <c r="W95" s="334"/>
      <c r="AC95" s="334" t="e">
        <f t="shared" ca="1" si="19"/>
        <v>#NAME?</v>
      </c>
      <c r="AD95" s="348" t="e">
        <f t="shared" ca="1" si="20"/>
        <v>#NAME?</v>
      </c>
      <c r="AE95" s="348" t="e">
        <f t="shared" ca="1" si="21"/>
        <v>#NAME?</v>
      </c>
      <c r="AF95" s="334" t="e">
        <f t="shared" ca="1" si="22"/>
        <v>#NAME?</v>
      </c>
      <c r="AH95" s="334" t="e">
        <f t="shared" ca="1" si="23"/>
        <v>#NAME?</v>
      </c>
      <c r="AI95" s="348" t="e">
        <f t="shared" ca="1" si="24"/>
        <v>#NAME?</v>
      </c>
      <c r="AJ95" s="348" t="e">
        <f t="shared" ca="1" si="25"/>
        <v>#NAME?</v>
      </c>
      <c r="AK95" s="334" t="e">
        <f t="shared" ca="1" si="26"/>
        <v>#NAME?</v>
      </c>
    </row>
    <row r="96" spans="1:37" ht="15">
      <c r="A96" s="316" t="s">
        <v>635</v>
      </c>
      <c r="B96" s="317"/>
      <c r="C96" s="305" t="s">
        <v>636</v>
      </c>
      <c r="D96" s="307" t="e">
        <f ca="1">EV_CVW($D$1,C96)</f>
        <v>#NAME?</v>
      </c>
      <c r="E96" s="311" t="e">
        <f ca="1">EV_TIM(D86,D96,-1,"Year")</f>
        <v>#NAME?</v>
      </c>
      <c r="O96" t="e">
        <f t="shared" ca="1" si="27"/>
        <v>#NAME?</v>
      </c>
      <c r="Q96" s="331" t="s">
        <v>1053</v>
      </c>
      <c r="R96" s="398" t="s">
        <v>1200</v>
      </c>
      <c r="S96" s="333">
        <f t="shared" si="28"/>
        <v>85</v>
      </c>
      <c r="T96" s="334"/>
      <c r="U96" s="348"/>
      <c r="V96" s="348"/>
      <c r="W96" s="334"/>
      <c r="AC96" s="334" t="e">
        <f t="shared" ca="1" si="19"/>
        <v>#NAME?</v>
      </c>
      <c r="AD96" s="348" t="e">
        <f t="shared" ca="1" si="20"/>
        <v>#NAME?</v>
      </c>
      <c r="AE96" s="348" t="e">
        <f t="shared" ca="1" si="21"/>
        <v>#NAME?</v>
      </c>
      <c r="AF96" s="334" t="e">
        <f t="shared" ca="1" si="22"/>
        <v>#NAME?</v>
      </c>
      <c r="AH96" s="334" t="e">
        <f t="shared" ca="1" si="23"/>
        <v>#NAME?</v>
      </c>
      <c r="AI96" s="348" t="e">
        <f t="shared" ca="1" si="24"/>
        <v>#NAME?</v>
      </c>
      <c r="AJ96" s="348" t="e">
        <f t="shared" ca="1" si="25"/>
        <v>#NAME?</v>
      </c>
      <c r="AK96" s="334" t="e">
        <f t="shared" ca="1" si="26"/>
        <v>#NAME?</v>
      </c>
    </row>
    <row r="97" spans="1:37" ht="25.5">
      <c r="O97" t="e">
        <f t="shared" ca="1" si="27"/>
        <v>#NAME?</v>
      </c>
      <c r="Q97" s="331" t="s">
        <v>1054</v>
      </c>
      <c r="R97" s="398" t="s">
        <v>1201</v>
      </c>
      <c r="S97" s="333">
        <f t="shared" si="28"/>
        <v>86</v>
      </c>
      <c r="T97" s="334"/>
      <c r="U97" s="348"/>
      <c r="V97" s="348"/>
      <c r="W97" s="334"/>
      <c r="AC97" s="334" t="e">
        <f t="shared" ca="1" si="19"/>
        <v>#NAME?</v>
      </c>
      <c r="AD97" s="348" t="e">
        <f t="shared" ca="1" si="20"/>
        <v>#NAME?</v>
      </c>
      <c r="AE97" s="348" t="e">
        <f t="shared" ca="1" si="21"/>
        <v>#NAME?</v>
      </c>
      <c r="AF97" s="334" t="e">
        <f t="shared" ca="1" si="22"/>
        <v>#NAME?</v>
      </c>
      <c r="AH97" s="334" t="e">
        <f t="shared" ca="1" si="23"/>
        <v>#NAME?</v>
      </c>
      <c r="AI97" s="348" t="e">
        <f t="shared" ca="1" si="24"/>
        <v>#NAME?</v>
      </c>
      <c r="AJ97" s="348" t="e">
        <f t="shared" ca="1" si="25"/>
        <v>#NAME?</v>
      </c>
      <c r="AK97" s="334" t="e">
        <f t="shared" ca="1" si="26"/>
        <v>#NAME?</v>
      </c>
    </row>
    <row r="98" spans="1:37" ht="25.5">
      <c r="A98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B98" s="311" t="s">
        <v>1055</v>
      </c>
      <c r="O98" t="e">
        <f t="shared" ca="1" si="27"/>
        <v>#NAME?</v>
      </c>
      <c r="Q98" s="331" t="s">
        <v>1056</v>
      </c>
      <c r="R98" s="398" t="s">
        <v>1202</v>
      </c>
      <c r="S98" s="333">
        <f t="shared" si="28"/>
        <v>87</v>
      </c>
      <c r="T98" s="334"/>
      <c r="U98" s="348">
        <v>370396</v>
      </c>
      <c r="V98" s="348"/>
      <c r="W98" s="334">
        <v>370396</v>
      </c>
      <c r="AC98" s="334" t="e">
        <f t="shared" ca="1" si="19"/>
        <v>#NAME?</v>
      </c>
      <c r="AD98" s="348" t="e">
        <f t="shared" ca="1" si="20"/>
        <v>#NAME?</v>
      </c>
      <c r="AE98" s="348" t="e">
        <f t="shared" ca="1" si="21"/>
        <v>#NAME?</v>
      </c>
      <c r="AF98" s="334" t="e">
        <f t="shared" ca="1" si="22"/>
        <v>#NAME?</v>
      </c>
      <c r="AH98" s="334" t="e">
        <f t="shared" ca="1" si="23"/>
        <v>#NAME?</v>
      </c>
      <c r="AI98" s="348" t="e">
        <f t="shared" ca="1" si="24"/>
        <v>#NAME?</v>
      </c>
      <c r="AJ98" s="348" t="e">
        <f t="shared" ca="1" si="25"/>
        <v>#NAME?</v>
      </c>
      <c r="AK98" s="334" t="e">
        <f t="shared" ca="1" si="26"/>
        <v>#NAME?</v>
      </c>
    </row>
    <row r="99" spans="1:37" ht="26.25">
      <c r="A99" s="313" t="s">
        <v>638</v>
      </c>
      <c r="B99" s="335" t="s">
        <v>639</v>
      </c>
      <c r="C99" s="314" t="s">
        <v>640</v>
      </c>
      <c r="D99" s="314" t="s">
        <v>641</v>
      </c>
      <c r="O99" t="e">
        <f t="shared" ca="1" si="27"/>
        <v>#NAME?</v>
      </c>
      <c r="Q99" s="331" t="s">
        <v>1057</v>
      </c>
      <c r="R99" s="398" t="s">
        <v>1203</v>
      </c>
      <c r="S99" s="333">
        <f t="shared" si="28"/>
        <v>88</v>
      </c>
      <c r="T99" s="334"/>
      <c r="U99" s="348"/>
      <c r="V99" s="348"/>
      <c r="W99" s="334"/>
      <c r="AC99" s="334" t="e">
        <f t="shared" ca="1" si="19"/>
        <v>#NAME?</v>
      </c>
      <c r="AD99" s="348" t="e">
        <f t="shared" ca="1" si="20"/>
        <v>#NAME?</v>
      </c>
      <c r="AE99" s="348" t="e">
        <f t="shared" ca="1" si="21"/>
        <v>#NAME?</v>
      </c>
      <c r="AF99" s="334" t="e">
        <f t="shared" ca="1" si="22"/>
        <v>#NAME?</v>
      </c>
      <c r="AH99" s="334" t="e">
        <f t="shared" ca="1" si="23"/>
        <v>#NAME?</v>
      </c>
      <c r="AI99" s="348" t="e">
        <f t="shared" ca="1" si="24"/>
        <v>#NAME?</v>
      </c>
      <c r="AJ99" s="348" t="e">
        <f t="shared" ca="1" si="25"/>
        <v>#NAME?</v>
      </c>
      <c r="AK99" s="334" t="e">
        <f t="shared" ca="1" si="26"/>
        <v>#NAME?</v>
      </c>
    </row>
    <row r="100" spans="1:37" ht="15">
      <c r="A100" s="336" t="s">
        <v>642</v>
      </c>
      <c r="B100" s="337" t="s">
        <v>643</v>
      </c>
      <c r="C100" s="337" t="s">
        <v>643</v>
      </c>
      <c r="D100" s="337" t="s">
        <v>644</v>
      </c>
      <c r="O100" t="e">
        <f t="shared" ca="1" si="27"/>
        <v>#NAME?</v>
      </c>
      <c r="Q100" s="331" t="s">
        <v>1058</v>
      </c>
      <c r="R100" s="398" t="s">
        <v>1204</v>
      </c>
      <c r="S100" s="333">
        <f t="shared" si="28"/>
        <v>89</v>
      </c>
      <c r="T100" s="334"/>
      <c r="U100" s="348"/>
      <c r="V100" s="348"/>
      <c r="W100" s="334"/>
      <c r="AC100" s="334" t="e">
        <f t="shared" ca="1" si="19"/>
        <v>#NAME?</v>
      </c>
      <c r="AD100" s="348" t="e">
        <f t="shared" ca="1" si="20"/>
        <v>#NAME?</v>
      </c>
      <c r="AE100" s="348" t="e">
        <f t="shared" ca="1" si="21"/>
        <v>#NAME?</v>
      </c>
      <c r="AF100" s="334" t="e">
        <f t="shared" ca="1" si="22"/>
        <v>#NAME?</v>
      </c>
      <c r="AH100" s="334" t="e">
        <f t="shared" ca="1" si="23"/>
        <v>#NAME?</v>
      </c>
      <c r="AI100" s="348" t="e">
        <f t="shared" ca="1" si="24"/>
        <v>#NAME?</v>
      </c>
      <c r="AJ100" s="348" t="e">
        <f t="shared" ca="1" si="25"/>
        <v>#NAME?</v>
      </c>
      <c r="AK100" s="334" t="e">
        <f t="shared" ca="1" si="26"/>
        <v>#NAME?</v>
      </c>
    </row>
    <row r="101" spans="1:37" ht="15">
      <c r="A101" s="336" t="s">
        <v>647</v>
      </c>
      <c r="B101" s="330" t="s">
        <v>648</v>
      </c>
      <c r="C101" s="337" t="s">
        <v>636</v>
      </c>
      <c r="D101" s="337" t="s">
        <v>616</v>
      </c>
      <c r="O101" t="e">
        <f t="shared" ca="1" si="27"/>
        <v>#NAME?</v>
      </c>
      <c r="Q101" s="331" t="s">
        <v>1059</v>
      </c>
      <c r="R101" s="398" t="s">
        <v>1205</v>
      </c>
      <c r="S101" s="333">
        <f t="shared" si="28"/>
        <v>90</v>
      </c>
      <c r="T101" s="334"/>
      <c r="U101" s="348">
        <v>19861990</v>
      </c>
      <c r="V101" s="348">
        <v>500000</v>
      </c>
      <c r="W101" s="334">
        <v>20361990</v>
      </c>
      <c r="AC101" s="334" t="e">
        <f t="shared" ca="1" si="19"/>
        <v>#NAME?</v>
      </c>
      <c r="AD101" s="348" t="e">
        <f t="shared" ca="1" si="20"/>
        <v>#NAME?</v>
      </c>
      <c r="AE101" s="348" t="e">
        <f t="shared" ca="1" si="21"/>
        <v>#NAME?</v>
      </c>
      <c r="AF101" s="334" t="e">
        <f t="shared" ca="1" si="22"/>
        <v>#NAME?</v>
      </c>
      <c r="AH101" s="334" t="e">
        <f t="shared" ca="1" si="23"/>
        <v>#NAME?</v>
      </c>
      <c r="AI101" s="348" t="e">
        <f t="shared" ca="1" si="24"/>
        <v>#NAME?</v>
      </c>
      <c r="AJ101" s="348" t="e">
        <f t="shared" ca="1" si="25"/>
        <v>#NAME?</v>
      </c>
      <c r="AK101" s="334" t="e">
        <f t="shared" ca="1" si="26"/>
        <v>#NAME?</v>
      </c>
    </row>
    <row r="102" spans="1:37" ht="26.25">
      <c r="A102" s="336" t="s">
        <v>651</v>
      </c>
      <c r="B102" s="330" t="str">
        <f>"I_19,I_25,I_26,I_T"</f>
        <v>I_19,I_25,I_26,I_T</v>
      </c>
      <c r="C102" s="330" t="e">
        <f ca="1">EV_CVW($D$1,$C$11)</f>
        <v>#NAME?</v>
      </c>
      <c r="D102" s="337" t="s">
        <v>1060</v>
      </c>
      <c r="O102" t="e">
        <f t="shared" ca="1" si="27"/>
        <v>#NAME?</v>
      </c>
      <c r="Q102" s="331" t="s">
        <v>1061</v>
      </c>
      <c r="R102" s="398" t="s">
        <v>1206</v>
      </c>
      <c r="S102" s="333">
        <f t="shared" si="28"/>
        <v>91</v>
      </c>
      <c r="T102" s="334"/>
      <c r="U102" s="348"/>
      <c r="V102" s="348"/>
      <c r="W102" s="334"/>
      <c r="AC102" s="334" t="e">
        <f t="shared" ca="1" si="19"/>
        <v>#NAME?</v>
      </c>
      <c r="AD102" s="348" t="e">
        <f t="shared" ca="1" si="20"/>
        <v>#NAME?</v>
      </c>
      <c r="AE102" s="348" t="e">
        <f t="shared" ca="1" si="21"/>
        <v>#NAME?</v>
      </c>
      <c r="AF102" s="334" t="e">
        <f t="shared" ca="1" si="22"/>
        <v>#NAME?</v>
      </c>
      <c r="AH102" s="334" t="e">
        <f t="shared" ca="1" si="23"/>
        <v>#NAME?</v>
      </c>
      <c r="AI102" s="348" t="e">
        <f t="shared" ca="1" si="24"/>
        <v>#NAME?</v>
      </c>
      <c r="AJ102" s="348" t="e">
        <f t="shared" ca="1" si="25"/>
        <v>#NAME?</v>
      </c>
      <c r="AK102" s="334" t="e">
        <f t="shared" ca="1" si="26"/>
        <v>#NAME?</v>
      </c>
    </row>
    <row r="103" spans="1:37" ht="15">
      <c r="A103" s="336" t="s">
        <v>654</v>
      </c>
      <c r="B103" s="337"/>
      <c r="C103" s="337"/>
      <c r="D103" s="337"/>
      <c r="O103" t="e">
        <f t="shared" ca="1" si="27"/>
        <v>#NAME?</v>
      </c>
      <c r="Q103" s="331" t="s">
        <v>1062</v>
      </c>
      <c r="R103" s="398" t="s">
        <v>1207</v>
      </c>
      <c r="S103" s="333">
        <f t="shared" si="28"/>
        <v>92</v>
      </c>
      <c r="T103" s="334"/>
      <c r="U103" s="348"/>
      <c r="V103" s="348"/>
      <c r="W103" s="334"/>
      <c r="AC103" s="334" t="e">
        <f t="shared" ca="1" si="19"/>
        <v>#NAME?</v>
      </c>
      <c r="AD103" s="348" t="e">
        <f t="shared" ca="1" si="20"/>
        <v>#NAME?</v>
      </c>
      <c r="AE103" s="348" t="e">
        <f t="shared" ca="1" si="21"/>
        <v>#NAME?</v>
      </c>
      <c r="AF103" s="334" t="e">
        <f t="shared" ca="1" si="22"/>
        <v>#NAME?</v>
      </c>
      <c r="AH103" s="334" t="e">
        <f t="shared" ca="1" si="23"/>
        <v>#NAME?</v>
      </c>
      <c r="AI103" s="348" t="e">
        <f t="shared" ca="1" si="24"/>
        <v>#NAME?</v>
      </c>
      <c r="AJ103" s="348" t="e">
        <f t="shared" ca="1" si="25"/>
        <v>#NAME?</v>
      </c>
      <c r="AK103" s="334" t="e">
        <f t="shared" ca="1" si="26"/>
        <v>#NAME?</v>
      </c>
    </row>
    <row r="104" spans="1:37" ht="15">
      <c r="A104" s="336" t="s">
        <v>655</v>
      </c>
      <c r="B104" s="337"/>
      <c r="C104" s="337"/>
      <c r="D104" s="337"/>
      <c r="O104" t="e">
        <f t="shared" ca="1" si="27"/>
        <v>#NAME?</v>
      </c>
      <c r="Q104" s="331" t="s">
        <v>1063</v>
      </c>
      <c r="R104" s="398" t="s">
        <v>1208</v>
      </c>
      <c r="S104" s="333">
        <f t="shared" si="28"/>
        <v>93</v>
      </c>
      <c r="T104" s="334"/>
      <c r="U104" s="348"/>
      <c r="V104" s="348"/>
      <c r="W104" s="334"/>
      <c r="AC104" s="334" t="e">
        <f t="shared" ca="1" si="19"/>
        <v>#NAME?</v>
      </c>
      <c r="AD104" s="348" t="e">
        <f t="shared" ca="1" si="20"/>
        <v>#NAME?</v>
      </c>
      <c r="AE104" s="348" t="e">
        <f t="shared" ca="1" si="21"/>
        <v>#NAME?</v>
      </c>
      <c r="AF104" s="334" t="e">
        <f t="shared" ca="1" si="22"/>
        <v>#NAME?</v>
      </c>
      <c r="AH104" s="334" t="e">
        <f t="shared" ca="1" si="23"/>
        <v>#NAME?</v>
      </c>
      <c r="AI104" s="348" t="e">
        <f t="shared" ca="1" si="24"/>
        <v>#NAME?</v>
      </c>
      <c r="AJ104" s="348" t="e">
        <f t="shared" ca="1" si="25"/>
        <v>#NAME?</v>
      </c>
      <c r="AK104" s="334" t="e">
        <f t="shared" ca="1" si="26"/>
        <v>#NAME?</v>
      </c>
    </row>
    <row r="105" spans="1:37" ht="26.25">
      <c r="A105" s="336" t="s">
        <v>656</v>
      </c>
      <c r="B105" s="337"/>
      <c r="C105" s="337"/>
      <c r="D105" s="337"/>
      <c r="O105" t="e">
        <f t="shared" ca="1" si="27"/>
        <v>#NAME?</v>
      </c>
      <c r="Q105" s="331" t="s">
        <v>1064</v>
      </c>
      <c r="R105" s="398" t="s">
        <v>1209</v>
      </c>
      <c r="S105" s="333">
        <f t="shared" si="28"/>
        <v>94</v>
      </c>
      <c r="T105" s="334"/>
      <c r="U105" s="348"/>
      <c r="V105" s="348">
        <v>2787450</v>
      </c>
      <c r="W105" s="334">
        <v>2787450</v>
      </c>
      <c r="AC105" s="334" t="e">
        <f t="shared" ca="1" si="19"/>
        <v>#NAME?</v>
      </c>
      <c r="AD105" s="348" t="e">
        <f t="shared" ca="1" si="20"/>
        <v>#NAME?</v>
      </c>
      <c r="AE105" s="348" t="e">
        <f t="shared" ca="1" si="21"/>
        <v>#NAME?</v>
      </c>
      <c r="AF105" s="334" t="e">
        <f t="shared" ca="1" si="22"/>
        <v>#NAME?</v>
      </c>
      <c r="AH105" s="334" t="e">
        <f t="shared" ca="1" si="23"/>
        <v>#NAME?</v>
      </c>
      <c r="AI105" s="348" t="e">
        <f t="shared" ca="1" si="24"/>
        <v>#NAME?</v>
      </c>
      <c r="AJ105" s="348" t="e">
        <f t="shared" ca="1" si="25"/>
        <v>#NAME?</v>
      </c>
      <c r="AK105" s="334" t="e">
        <f t="shared" ca="1" si="26"/>
        <v>#NAME?</v>
      </c>
    </row>
    <row r="106" spans="1:37" ht="26.25">
      <c r="A106" s="336" t="s">
        <v>657</v>
      </c>
      <c r="B106" s="337"/>
      <c r="C106" s="337"/>
      <c r="D106" s="337"/>
      <c r="O106" t="e">
        <f t="shared" ca="1" si="27"/>
        <v>#NAME?</v>
      </c>
      <c r="Q106" s="331" t="s">
        <v>1065</v>
      </c>
      <c r="R106" s="398" t="s">
        <v>1210</v>
      </c>
      <c r="S106" s="333">
        <f t="shared" si="28"/>
        <v>95</v>
      </c>
      <c r="T106" s="334"/>
      <c r="U106" s="348"/>
      <c r="V106" s="348"/>
      <c r="W106" s="334"/>
      <c r="AC106" s="334" t="e">
        <f t="shared" ca="1" si="19"/>
        <v>#NAME?</v>
      </c>
      <c r="AD106" s="348" t="e">
        <f t="shared" ca="1" si="20"/>
        <v>#NAME?</v>
      </c>
      <c r="AE106" s="348" t="e">
        <f t="shared" ca="1" si="21"/>
        <v>#NAME?</v>
      </c>
      <c r="AF106" s="334" t="e">
        <f t="shared" ca="1" si="22"/>
        <v>#NAME?</v>
      </c>
      <c r="AH106" s="334" t="e">
        <f t="shared" ca="1" si="23"/>
        <v>#NAME?</v>
      </c>
      <c r="AI106" s="348" t="e">
        <f t="shared" ca="1" si="24"/>
        <v>#NAME?</v>
      </c>
      <c r="AJ106" s="348" t="e">
        <f t="shared" ca="1" si="25"/>
        <v>#NAME?</v>
      </c>
      <c r="AK106" s="334" t="e">
        <f t="shared" ca="1" si="26"/>
        <v>#NAME?</v>
      </c>
    </row>
    <row r="107" spans="1:37" ht="25.5">
      <c r="O107" t="e">
        <f t="shared" ca="1" si="27"/>
        <v>#NAME?</v>
      </c>
      <c r="Q107" s="331" t="s">
        <v>1066</v>
      </c>
      <c r="R107" s="398" t="s">
        <v>1211</v>
      </c>
      <c r="S107" s="333">
        <f t="shared" si="28"/>
        <v>96</v>
      </c>
      <c r="T107" s="334"/>
      <c r="U107" s="348"/>
      <c r="V107" s="348"/>
      <c r="W107" s="334"/>
      <c r="AC107" s="334" t="e">
        <f t="shared" ca="1" si="19"/>
        <v>#NAME?</v>
      </c>
      <c r="AD107" s="348" t="e">
        <f t="shared" ca="1" si="20"/>
        <v>#NAME?</v>
      </c>
      <c r="AE107" s="348" t="e">
        <f t="shared" ca="1" si="21"/>
        <v>#NAME?</v>
      </c>
      <c r="AF107" s="334" t="e">
        <f t="shared" ca="1" si="22"/>
        <v>#NAME?</v>
      </c>
      <c r="AH107" s="334" t="e">
        <f t="shared" ca="1" si="23"/>
        <v>#NAME?</v>
      </c>
      <c r="AI107" s="348" t="e">
        <f t="shared" ca="1" si="24"/>
        <v>#NAME?</v>
      </c>
      <c r="AJ107" s="348" t="e">
        <f t="shared" ca="1" si="25"/>
        <v>#NAME?</v>
      </c>
      <c r="AK107" s="334" t="e">
        <f t="shared" ca="1" si="26"/>
        <v>#NAME?</v>
      </c>
    </row>
    <row r="108" spans="1:37" ht="25.5">
      <c r="O108" t="e">
        <f t="shared" ca="1" si="27"/>
        <v>#NAME?</v>
      </c>
      <c r="Q108" s="331" t="s">
        <v>1067</v>
      </c>
      <c r="R108" s="398" t="s">
        <v>1212</v>
      </c>
      <c r="S108" s="333">
        <f t="shared" si="28"/>
        <v>97</v>
      </c>
      <c r="T108" s="334"/>
      <c r="U108" s="348"/>
      <c r="V108" s="348"/>
      <c r="W108" s="334"/>
      <c r="AC108" s="334" t="e">
        <f t="shared" ref="AC108:AC139" ca="1" si="29">IF(EV_PRO($D$1,Q108,"HLEVEL")="4",AC107+1,AC107)</f>
        <v>#NAME?</v>
      </c>
      <c r="AD108" s="348" t="e">
        <f t="shared" ref="AD108:AD139" ca="1" si="30">IF(EV_PRO($D$1,R108,"HLEVEL")="4",AD107+1,AD107)</f>
        <v>#NAME?</v>
      </c>
      <c r="AE108" s="348" t="e">
        <f t="shared" ref="AE108:AE139" ca="1" si="31">IF(EV_PRO($D$1,S108,"HLEVEL")="4",AE107+1,AE107)</f>
        <v>#NAME?</v>
      </c>
      <c r="AF108" s="334" t="e">
        <f t="shared" ref="AF108:AF139" ca="1" si="32">IF(EV_PRO($D$1,T108,"HLEVEL")="4",AF107+1,AF107)</f>
        <v>#NAME?</v>
      </c>
      <c r="AH108" s="334" t="e">
        <f t="shared" ref="AH108:AH139" ca="1" si="33">IF(EV_PRO($D$1,Q108,"HLEVEL")="5",IF(AH107+1=3,1,AH107+1),AH107)</f>
        <v>#NAME?</v>
      </c>
      <c r="AI108" s="348" t="e">
        <f t="shared" ref="AI108:AI139" ca="1" si="34">IF(EV_PRO($D$1,R108,"HLEVEL")="5",IF(AI107+1=3,1,AI107+1),AI107)</f>
        <v>#NAME?</v>
      </c>
      <c r="AJ108" s="348" t="e">
        <f t="shared" ref="AJ108:AJ139" ca="1" si="35">IF(EV_PRO($D$1,S108,"HLEVEL")="5",IF(AJ107+1=3,1,AJ107+1),AJ107)</f>
        <v>#NAME?</v>
      </c>
      <c r="AK108" s="334" t="e">
        <f t="shared" ref="AK108:AK139" ca="1" si="36">IF(EV_PRO($D$1,T108,"HLEVEL")="5",IF(AK107+1=3,1,AK107+1),AK107)</f>
        <v>#NAME?</v>
      </c>
    </row>
    <row r="109" spans="1:37" ht="15">
      <c r="A109" s="356" t="s">
        <v>706</v>
      </c>
      <c r="B109" s="357" t="s">
        <v>707</v>
      </c>
      <c r="C109" s="357" t="s">
        <v>708</v>
      </c>
      <c r="D109" s="357" t="s">
        <v>709</v>
      </c>
      <c r="E109" s="357" t="s">
        <v>710</v>
      </c>
      <c r="F109" s="358" t="s">
        <v>711</v>
      </c>
      <c r="O109" t="e">
        <f t="shared" ref="O109:O140" ca="1" si="37">EV_PRO("LEGAL",Q131,"HLEVEL")</f>
        <v>#NAME?</v>
      </c>
      <c r="Q109" s="331" t="s">
        <v>1068</v>
      </c>
      <c r="R109" s="398" t="s">
        <v>1213</v>
      </c>
      <c r="S109" s="333">
        <f t="shared" si="28"/>
        <v>98</v>
      </c>
      <c r="T109" s="334">
        <v>2297</v>
      </c>
      <c r="U109" s="348">
        <v>27780</v>
      </c>
      <c r="V109" s="348"/>
      <c r="W109" s="334">
        <v>30077</v>
      </c>
      <c r="AC109" s="334" t="e">
        <f t="shared" ca="1" si="29"/>
        <v>#NAME?</v>
      </c>
      <c r="AD109" s="348" t="e">
        <f t="shared" ca="1" si="30"/>
        <v>#NAME?</v>
      </c>
      <c r="AE109" s="348" t="e">
        <f t="shared" ca="1" si="31"/>
        <v>#NAME?</v>
      </c>
      <c r="AF109" s="334" t="e">
        <f t="shared" ca="1" si="32"/>
        <v>#NAME?</v>
      </c>
      <c r="AH109" s="334" t="e">
        <f t="shared" ca="1" si="33"/>
        <v>#NAME?</v>
      </c>
      <c r="AI109" s="348" t="e">
        <f t="shared" ca="1" si="34"/>
        <v>#NAME?</v>
      </c>
      <c r="AJ109" s="348" t="e">
        <f t="shared" ca="1" si="35"/>
        <v>#NAME?</v>
      </c>
      <c r="AK109" s="334" t="e">
        <f t="shared" ca="1" si="36"/>
        <v>#NAME?</v>
      </c>
    </row>
    <row r="110" spans="1:37" ht="15">
      <c r="A110" s="359"/>
      <c r="B110" s="360"/>
      <c r="C110" s="360"/>
      <c r="D110" s="360"/>
      <c r="E110" s="360"/>
      <c r="F110" s="361"/>
      <c r="O110" t="e">
        <f t="shared" ca="1" si="37"/>
        <v>#NAME?</v>
      </c>
      <c r="Q110" s="331" t="s">
        <v>1069</v>
      </c>
      <c r="R110" s="397" t="s">
        <v>1214</v>
      </c>
      <c r="S110" s="381">
        <f t="shared" si="28"/>
        <v>99</v>
      </c>
      <c r="T110" s="350">
        <v>-16938</v>
      </c>
      <c r="U110" s="350">
        <v>-82046526</v>
      </c>
      <c r="V110" s="350">
        <v>-5416</v>
      </c>
      <c r="W110" s="350">
        <v>-82068880</v>
      </c>
      <c r="AC110" s="350" t="e">
        <f t="shared" ca="1" si="29"/>
        <v>#NAME?</v>
      </c>
      <c r="AD110" s="350" t="e">
        <f t="shared" ca="1" si="30"/>
        <v>#NAME?</v>
      </c>
      <c r="AE110" s="350" t="e">
        <f t="shared" ca="1" si="31"/>
        <v>#NAME?</v>
      </c>
      <c r="AF110" s="350" t="e">
        <f t="shared" ca="1" si="32"/>
        <v>#NAME?</v>
      </c>
      <c r="AH110" s="350" t="e">
        <f t="shared" ca="1" si="33"/>
        <v>#NAME?</v>
      </c>
      <c r="AI110" s="350" t="e">
        <f t="shared" ca="1" si="34"/>
        <v>#NAME?</v>
      </c>
      <c r="AJ110" s="350" t="e">
        <f t="shared" ca="1" si="35"/>
        <v>#NAME?</v>
      </c>
      <c r="AK110" s="350" t="e">
        <f t="shared" ca="1" si="36"/>
        <v>#NAME?</v>
      </c>
    </row>
    <row r="111" spans="1:37">
      <c r="A111" s="362" t="s">
        <v>712</v>
      </c>
      <c r="B111" s="342"/>
      <c r="C111" s="363">
        <v>342</v>
      </c>
      <c r="D111" s="342" t="s">
        <v>713</v>
      </c>
      <c r="E111" s="342"/>
      <c r="F111" s="364" t="s">
        <v>714</v>
      </c>
      <c r="O111" t="e">
        <f t="shared" ca="1" si="37"/>
        <v>#NAME?</v>
      </c>
      <c r="Q111" s="331" t="s">
        <v>1070</v>
      </c>
      <c r="R111" s="398" t="s">
        <v>424</v>
      </c>
      <c r="S111" s="333">
        <f t="shared" si="28"/>
        <v>100</v>
      </c>
      <c r="T111" s="334">
        <v>-16938</v>
      </c>
      <c r="U111" s="348">
        <v>-54666427</v>
      </c>
      <c r="V111" s="348"/>
      <c r="W111" s="334">
        <v>-54683365</v>
      </c>
      <c r="AC111" s="334" t="e">
        <f t="shared" ca="1" si="29"/>
        <v>#NAME?</v>
      </c>
      <c r="AD111" s="348" t="e">
        <f t="shared" ca="1" si="30"/>
        <v>#NAME?</v>
      </c>
      <c r="AE111" s="348" t="e">
        <f t="shared" ca="1" si="31"/>
        <v>#NAME?</v>
      </c>
      <c r="AF111" s="334" t="e">
        <f t="shared" ca="1" si="32"/>
        <v>#NAME?</v>
      </c>
      <c r="AH111" s="334" t="e">
        <f t="shared" ca="1" si="33"/>
        <v>#NAME?</v>
      </c>
      <c r="AI111" s="348" t="e">
        <f t="shared" ca="1" si="34"/>
        <v>#NAME?</v>
      </c>
      <c r="AJ111" s="348" t="e">
        <f t="shared" ca="1" si="35"/>
        <v>#NAME?</v>
      </c>
      <c r="AK111" s="334" t="e">
        <f t="shared" ca="1" si="36"/>
        <v>#NAME?</v>
      </c>
    </row>
    <row r="112" spans="1:37">
      <c r="A112" s="362"/>
      <c r="B112" s="342"/>
      <c r="C112" s="342"/>
      <c r="D112" s="342"/>
      <c r="E112" s="342"/>
      <c r="F112" s="364"/>
      <c r="O112" t="e">
        <f t="shared" ca="1" si="37"/>
        <v>#NAME?</v>
      </c>
      <c r="Q112" s="331" t="s">
        <v>1071</v>
      </c>
      <c r="R112" s="398" t="s">
        <v>425</v>
      </c>
      <c r="S112" s="333">
        <f t="shared" si="28"/>
        <v>101</v>
      </c>
      <c r="T112" s="334"/>
      <c r="U112" s="348">
        <v>-255028</v>
      </c>
      <c r="V112" s="348"/>
      <c r="W112" s="334">
        <v>-255028</v>
      </c>
      <c r="AC112" s="334" t="e">
        <f t="shared" ca="1" si="29"/>
        <v>#NAME?</v>
      </c>
      <c r="AD112" s="348" t="e">
        <f t="shared" ca="1" si="30"/>
        <v>#NAME?</v>
      </c>
      <c r="AE112" s="348" t="e">
        <f t="shared" ca="1" si="31"/>
        <v>#NAME?</v>
      </c>
      <c r="AF112" s="334" t="e">
        <f t="shared" ca="1" si="32"/>
        <v>#NAME?</v>
      </c>
      <c r="AH112" s="334" t="e">
        <f t="shared" ca="1" si="33"/>
        <v>#NAME?</v>
      </c>
      <c r="AI112" s="348" t="e">
        <f t="shared" ca="1" si="34"/>
        <v>#NAME?</v>
      </c>
      <c r="AJ112" s="348" t="e">
        <f t="shared" ca="1" si="35"/>
        <v>#NAME?</v>
      </c>
      <c r="AK112" s="334" t="e">
        <f t="shared" ca="1" si="36"/>
        <v>#NAME?</v>
      </c>
    </row>
    <row r="113" spans="1:37">
      <c r="A113" s="362" t="s">
        <v>712</v>
      </c>
      <c r="B113" s="342" t="s">
        <v>644</v>
      </c>
      <c r="C113" s="332">
        <v>12345</v>
      </c>
      <c r="D113" s="342"/>
      <c r="E113" s="342"/>
      <c r="F113" s="364" t="s">
        <v>716</v>
      </c>
      <c r="O113" t="e">
        <f t="shared" ca="1" si="37"/>
        <v>#NAME?</v>
      </c>
      <c r="Q113" s="331" t="s">
        <v>1072</v>
      </c>
      <c r="R113" s="398" t="s">
        <v>1215</v>
      </c>
      <c r="S113" s="333">
        <f t="shared" si="28"/>
        <v>102</v>
      </c>
      <c r="T113" s="334"/>
      <c r="U113" s="348">
        <v>-1717764</v>
      </c>
      <c r="V113" s="348"/>
      <c r="W113" s="334">
        <v>-1717764</v>
      </c>
      <c r="AC113" s="334" t="e">
        <f t="shared" ca="1" si="29"/>
        <v>#NAME?</v>
      </c>
      <c r="AD113" s="348" t="e">
        <f t="shared" ca="1" si="30"/>
        <v>#NAME?</v>
      </c>
      <c r="AE113" s="348" t="e">
        <f t="shared" ca="1" si="31"/>
        <v>#NAME?</v>
      </c>
      <c r="AF113" s="334" t="e">
        <f t="shared" ca="1" si="32"/>
        <v>#NAME?</v>
      </c>
      <c r="AH113" s="334" t="e">
        <f t="shared" ca="1" si="33"/>
        <v>#NAME?</v>
      </c>
      <c r="AI113" s="348" t="e">
        <f t="shared" ca="1" si="34"/>
        <v>#NAME?</v>
      </c>
      <c r="AJ113" s="348" t="e">
        <f t="shared" ca="1" si="35"/>
        <v>#NAME?</v>
      </c>
      <c r="AK113" s="334" t="e">
        <f t="shared" ca="1" si="36"/>
        <v>#NAME?</v>
      </c>
    </row>
    <row r="114" spans="1:37">
      <c r="A114" s="362"/>
      <c r="B114" s="342"/>
      <c r="C114" s="342"/>
      <c r="D114" s="342"/>
      <c r="E114" s="342"/>
      <c r="F114" s="364"/>
      <c r="O114" t="e">
        <f t="shared" ca="1" si="37"/>
        <v>#NAME?</v>
      </c>
      <c r="Q114" s="331" t="s">
        <v>1073</v>
      </c>
      <c r="R114" s="398" t="s">
        <v>1216</v>
      </c>
      <c r="S114" s="333">
        <f t="shared" si="28"/>
        <v>103</v>
      </c>
      <c r="T114" s="334"/>
      <c r="U114" s="348"/>
      <c r="V114" s="348"/>
      <c r="W114" s="334"/>
      <c r="AC114" s="334" t="e">
        <f t="shared" ca="1" si="29"/>
        <v>#NAME?</v>
      </c>
      <c r="AD114" s="348" t="e">
        <f t="shared" ca="1" si="30"/>
        <v>#NAME?</v>
      </c>
      <c r="AE114" s="348" t="e">
        <f t="shared" ca="1" si="31"/>
        <v>#NAME?</v>
      </c>
      <c r="AF114" s="334" t="e">
        <f t="shared" ca="1" si="32"/>
        <v>#NAME?</v>
      </c>
      <c r="AH114" s="334" t="e">
        <f t="shared" ca="1" si="33"/>
        <v>#NAME?</v>
      </c>
      <c r="AI114" s="348" t="e">
        <f t="shared" ca="1" si="34"/>
        <v>#NAME?</v>
      </c>
      <c r="AJ114" s="348" t="e">
        <f t="shared" ca="1" si="35"/>
        <v>#NAME?</v>
      </c>
      <c r="AK114" s="334" t="e">
        <f t="shared" ca="1" si="36"/>
        <v>#NAME?</v>
      </c>
    </row>
    <row r="115" spans="1:37" ht="26.25">
      <c r="A115" s="362" t="s">
        <v>717</v>
      </c>
      <c r="B115" s="366" t="s">
        <v>644</v>
      </c>
      <c r="C115" s="343" t="s">
        <v>718</v>
      </c>
      <c r="D115" s="365"/>
      <c r="E115" s="365"/>
      <c r="F115" s="367" t="s">
        <v>716</v>
      </c>
      <c r="O115" t="e">
        <f t="shared" ca="1" si="37"/>
        <v>#NAME?</v>
      </c>
      <c r="Q115" s="331" t="s">
        <v>1074</v>
      </c>
      <c r="R115" s="398" t="s">
        <v>1217</v>
      </c>
      <c r="S115" s="333">
        <f t="shared" si="28"/>
        <v>104</v>
      </c>
      <c r="T115" s="334"/>
      <c r="U115" s="348">
        <v>-7556910</v>
      </c>
      <c r="V115" s="348"/>
      <c r="W115" s="334">
        <v>-7556910</v>
      </c>
      <c r="AC115" s="334" t="e">
        <f t="shared" ca="1" si="29"/>
        <v>#NAME?</v>
      </c>
      <c r="AD115" s="348" t="e">
        <f t="shared" ca="1" si="30"/>
        <v>#NAME?</v>
      </c>
      <c r="AE115" s="348" t="e">
        <f t="shared" ca="1" si="31"/>
        <v>#NAME?</v>
      </c>
      <c r="AF115" s="334" t="e">
        <f t="shared" ca="1" si="32"/>
        <v>#NAME?</v>
      </c>
      <c r="AH115" s="334" t="e">
        <f t="shared" ca="1" si="33"/>
        <v>#NAME?</v>
      </c>
      <c r="AI115" s="348" t="e">
        <f t="shared" ca="1" si="34"/>
        <v>#NAME?</v>
      </c>
      <c r="AJ115" s="348" t="e">
        <f t="shared" ca="1" si="35"/>
        <v>#NAME?</v>
      </c>
      <c r="AK115" s="334" t="e">
        <f t="shared" ca="1" si="36"/>
        <v>#NAME?</v>
      </c>
    </row>
    <row r="116" spans="1:37" ht="25.5">
      <c r="A116" s="362"/>
      <c r="B116" s="342"/>
      <c r="C116" s="342"/>
      <c r="D116" s="342"/>
      <c r="E116" s="342"/>
      <c r="F116" s="364"/>
      <c r="O116" t="e">
        <f t="shared" ca="1" si="37"/>
        <v>#NAME?</v>
      </c>
      <c r="Q116" s="331" t="s">
        <v>1075</v>
      </c>
      <c r="R116" s="398" t="s">
        <v>1218</v>
      </c>
      <c r="S116" s="333">
        <f t="shared" si="28"/>
        <v>105</v>
      </c>
      <c r="T116" s="334"/>
      <c r="U116" s="348"/>
      <c r="V116" s="348"/>
      <c r="W116" s="334"/>
      <c r="AC116" s="334" t="e">
        <f t="shared" ca="1" si="29"/>
        <v>#NAME?</v>
      </c>
      <c r="AD116" s="348" t="e">
        <f t="shared" ca="1" si="30"/>
        <v>#NAME?</v>
      </c>
      <c r="AE116" s="348" t="e">
        <f t="shared" ca="1" si="31"/>
        <v>#NAME?</v>
      </c>
      <c r="AF116" s="334" t="e">
        <f t="shared" ca="1" si="32"/>
        <v>#NAME?</v>
      </c>
      <c r="AH116" s="334" t="e">
        <f t="shared" ca="1" si="33"/>
        <v>#NAME?</v>
      </c>
      <c r="AI116" s="348" t="e">
        <f t="shared" ca="1" si="34"/>
        <v>#NAME?</v>
      </c>
      <c r="AJ116" s="348" t="e">
        <f t="shared" ca="1" si="35"/>
        <v>#NAME?</v>
      </c>
      <c r="AK116" s="334" t="e">
        <f t="shared" ca="1" si="36"/>
        <v>#NAME?</v>
      </c>
    </row>
    <row r="117" spans="1:37" ht="25.5">
      <c r="A117" s="362" t="s">
        <v>712</v>
      </c>
      <c r="B117" s="342" t="s">
        <v>643</v>
      </c>
      <c r="C117" s="325">
        <v>12345</v>
      </c>
      <c r="D117" s="342"/>
      <c r="E117" s="342"/>
      <c r="F117" s="364" t="s">
        <v>716</v>
      </c>
      <c r="O117" t="e">
        <f t="shared" ca="1" si="37"/>
        <v>#NAME?</v>
      </c>
      <c r="Q117" s="331" t="s">
        <v>1076</v>
      </c>
      <c r="R117" s="398" t="s">
        <v>1219</v>
      </c>
      <c r="S117" s="333">
        <f t="shared" si="28"/>
        <v>106</v>
      </c>
      <c r="T117" s="334"/>
      <c r="U117" s="348"/>
      <c r="V117" s="348"/>
      <c r="W117" s="334"/>
      <c r="AC117" s="334" t="e">
        <f t="shared" ca="1" si="29"/>
        <v>#NAME?</v>
      </c>
      <c r="AD117" s="348" t="e">
        <f t="shared" ca="1" si="30"/>
        <v>#NAME?</v>
      </c>
      <c r="AE117" s="348" t="e">
        <f t="shared" ca="1" si="31"/>
        <v>#NAME?</v>
      </c>
      <c r="AF117" s="334" t="e">
        <f t="shared" ca="1" si="32"/>
        <v>#NAME?</v>
      </c>
      <c r="AH117" s="334" t="e">
        <f t="shared" ca="1" si="33"/>
        <v>#NAME?</v>
      </c>
      <c r="AI117" s="348" t="e">
        <f t="shared" ca="1" si="34"/>
        <v>#NAME?</v>
      </c>
      <c r="AJ117" s="348" t="e">
        <f t="shared" ca="1" si="35"/>
        <v>#NAME?</v>
      </c>
      <c r="AK117" s="334" t="e">
        <f t="shared" ca="1" si="36"/>
        <v>#NAME?</v>
      </c>
    </row>
    <row r="118" spans="1:37">
      <c r="A118" s="362"/>
      <c r="B118" s="342"/>
      <c r="C118" s="342"/>
      <c r="D118" s="342"/>
      <c r="E118" s="342"/>
      <c r="F118" s="364"/>
      <c r="O118" t="e">
        <f t="shared" ca="1" si="37"/>
        <v>#NAME?</v>
      </c>
      <c r="Q118" s="331" t="s">
        <v>1077</v>
      </c>
      <c r="R118" s="398" t="s">
        <v>1220</v>
      </c>
      <c r="S118" s="333">
        <f t="shared" si="28"/>
        <v>107</v>
      </c>
      <c r="T118" s="334"/>
      <c r="U118" s="348"/>
      <c r="V118" s="348"/>
      <c r="W118" s="334"/>
      <c r="AC118" s="334" t="e">
        <f t="shared" ca="1" si="29"/>
        <v>#NAME?</v>
      </c>
      <c r="AD118" s="348" t="e">
        <f t="shared" ca="1" si="30"/>
        <v>#NAME?</v>
      </c>
      <c r="AE118" s="348" t="e">
        <f t="shared" ca="1" si="31"/>
        <v>#NAME?</v>
      </c>
      <c r="AF118" s="334" t="e">
        <f t="shared" ca="1" si="32"/>
        <v>#NAME?</v>
      </c>
      <c r="AH118" s="334" t="e">
        <f t="shared" ca="1" si="33"/>
        <v>#NAME?</v>
      </c>
      <c r="AI118" s="348" t="e">
        <f t="shared" ca="1" si="34"/>
        <v>#NAME?</v>
      </c>
      <c r="AJ118" s="348" t="e">
        <f t="shared" ca="1" si="35"/>
        <v>#NAME?</v>
      </c>
      <c r="AK118" s="334" t="e">
        <f t="shared" ca="1" si="36"/>
        <v>#NAME?</v>
      </c>
    </row>
    <row r="119" spans="1:37">
      <c r="A119" s="362"/>
      <c r="B119" s="342"/>
      <c r="C119" s="342"/>
      <c r="D119" s="342"/>
      <c r="E119" s="342"/>
      <c r="F119" s="364"/>
      <c r="O119" t="e">
        <f t="shared" ca="1" si="37"/>
        <v>#NAME?</v>
      </c>
      <c r="Q119" s="331" t="s">
        <v>1078</v>
      </c>
      <c r="R119" s="398" t="s">
        <v>1221</v>
      </c>
      <c r="S119" s="333">
        <f t="shared" si="28"/>
        <v>108</v>
      </c>
      <c r="T119" s="334"/>
      <c r="U119" s="348">
        <v>-15513880</v>
      </c>
      <c r="V119" s="348"/>
      <c r="W119" s="334">
        <v>-15513880</v>
      </c>
      <c r="AC119" s="334" t="e">
        <f t="shared" ca="1" si="29"/>
        <v>#NAME?</v>
      </c>
      <c r="AD119" s="348" t="e">
        <f t="shared" ca="1" si="30"/>
        <v>#NAME?</v>
      </c>
      <c r="AE119" s="348" t="e">
        <f t="shared" ca="1" si="31"/>
        <v>#NAME?</v>
      </c>
      <c r="AF119" s="334" t="e">
        <f t="shared" ca="1" si="32"/>
        <v>#NAME?</v>
      </c>
      <c r="AH119" s="334" t="e">
        <f t="shared" ca="1" si="33"/>
        <v>#NAME?</v>
      </c>
      <c r="AI119" s="348" t="e">
        <f t="shared" ca="1" si="34"/>
        <v>#NAME?</v>
      </c>
      <c r="AJ119" s="348" t="e">
        <f t="shared" ca="1" si="35"/>
        <v>#NAME?</v>
      </c>
      <c r="AK119" s="334" t="e">
        <f t="shared" ca="1" si="36"/>
        <v>#NAME?</v>
      </c>
    </row>
    <row r="120" spans="1:37" ht="25.5">
      <c r="A120" s="362" t="s">
        <v>719</v>
      </c>
      <c r="B120" s="342"/>
      <c r="C120" s="368"/>
      <c r="D120" s="342" t="s">
        <v>720</v>
      </c>
      <c r="E120" s="342"/>
      <c r="F120" s="364" t="s">
        <v>721</v>
      </c>
      <c r="O120" t="e">
        <f t="shared" ca="1" si="37"/>
        <v>#NAME?</v>
      </c>
      <c r="Q120" s="331" t="s">
        <v>1079</v>
      </c>
      <c r="R120" s="398" t="s">
        <v>1222</v>
      </c>
      <c r="S120" s="333">
        <f t="shared" si="28"/>
        <v>109</v>
      </c>
      <c r="T120" s="334"/>
      <c r="U120" s="348"/>
      <c r="V120" s="348"/>
      <c r="W120" s="334"/>
      <c r="AC120" s="334" t="e">
        <f t="shared" ca="1" si="29"/>
        <v>#NAME?</v>
      </c>
      <c r="AD120" s="348" t="e">
        <f t="shared" ca="1" si="30"/>
        <v>#NAME?</v>
      </c>
      <c r="AE120" s="348" t="e">
        <f t="shared" ca="1" si="31"/>
        <v>#NAME?</v>
      </c>
      <c r="AF120" s="334" t="e">
        <f t="shared" ca="1" si="32"/>
        <v>#NAME?</v>
      </c>
      <c r="AH120" s="334" t="e">
        <f t="shared" ca="1" si="33"/>
        <v>#NAME?</v>
      </c>
      <c r="AI120" s="348" t="e">
        <f t="shared" ca="1" si="34"/>
        <v>#NAME?</v>
      </c>
      <c r="AJ120" s="348" t="e">
        <f t="shared" ca="1" si="35"/>
        <v>#NAME?</v>
      </c>
      <c r="AK120" s="334" t="e">
        <f t="shared" ca="1" si="36"/>
        <v>#NAME?</v>
      </c>
    </row>
    <row r="121" spans="1:37" ht="25.5">
      <c r="A121" s="362"/>
      <c r="B121" s="342"/>
      <c r="C121" s="342"/>
      <c r="D121" s="342"/>
      <c r="E121" s="342"/>
      <c r="F121" s="364"/>
      <c r="O121" t="e">
        <f t="shared" ca="1" si="37"/>
        <v>#NAME?</v>
      </c>
      <c r="Q121" s="331" t="s">
        <v>1080</v>
      </c>
      <c r="R121" s="398" t="s">
        <v>1223</v>
      </c>
      <c r="S121" s="333">
        <f t="shared" si="28"/>
        <v>110</v>
      </c>
      <c r="T121" s="334"/>
      <c r="U121" s="348"/>
      <c r="V121" s="348"/>
      <c r="W121" s="334"/>
      <c r="AC121" s="334" t="e">
        <f t="shared" ca="1" si="29"/>
        <v>#NAME?</v>
      </c>
      <c r="AD121" s="348" t="e">
        <f t="shared" ca="1" si="30"/>
        <v>#NAME?</v>
      </c>
      <c r="AE121" s="348" t="e">
        <f t="shared" ca="1" si="31"/>
        <v>#NAME?</v>
      </c>
      <c r="AF121" s="334" t="e">
        <f t="shared" ca="1" si="32"/>
        <v>#NAME?</v>
      </c>
      <c r="AH121" s="334" t="e">
        <f t="shared" ca="1" si="33"/>
        <v>#NAME?</v>
      </c>
      <c r="AI121" s="348" t="e">
        <f t="shared" ca="1" si="34"/>
        <v>#NAME?</v>
      </c>
      <c r="AJ121" s="348" t="e">
        <f t="shared" ca="1" si="35"/>
        <v>#NAME?</v>
      </c>
      <c r="AK121" s="334" t="e">
        <f t="shared" ca="1" si="36"/>
        <v>#NAME?</v>
      </c>
    </row>
    <row r="122" spans="1:37" ht="25.5">
      <c r="A122" s="362" t="s">
        <v>712</v>
      </c>
      <c r="B122" s="342"/>
      <c r="C122" s="348">
        <v>12345</v>
      </c>
      <c r="D122" s="342"/>
      <c r="E122" s="342"/>
      <c r="F122" s="364" t="s">
        <v>721</v>
      </c>
      <c r="O122" t="e">
        <f t="shared" ca="1" si="37"/>
        <v>#NAME?</v>
      </c>
      <c r="Q122" s="331" t="s">
        <v>1081</v>
      </c>
      <c r="R122" s="398" t="s">
        <v>1224</v>
      </c>
      <c r="S122" s="333">
        <f t="shared" si="28"/>
        <v>111</v>
      </c>
      <c r="T122" s="334"/>
      <c r="U122" s="348"/>
      <c r="V122" s="348"/>
      <c r="W122" s="334"/>
      <c r="AC122" s="334" t="e">
        <f t="shared" ca="1" si="29"/>
        <v>#NAME?</v>
      </c>
      <c r="AD122" s="348" t="e">
        <f t="shared" ca="1" si="30"/>
        <v>#NAME?</v>
      </c>
      <c r="AE122" s="348" t="e">
        <f t="shared" ca="1" si="31"/>
        <v>#NAME?</v>
      </c>
      <c r="AF122" s="334" t="e">
        <f t="shared" ca="1" si="32"/>
        <v>#NAME?</v>
      </c>
      <c r="AH122" s="334" t="e">
        <f t="shared" ca="1" si="33"/>
        <v>#NAME?</v>
      </c>
      <c r="AI122" s="348" t="e">
        <f t="shared" ca="1" si="34"/>
        <v>#NAME?</v>
      </c>
      <c r="AJ122" s="348" t="e">
        <f t="shared" ca="1" si="35"/>
        <v>#NAME?</v>
      </c>
      <c r="AK122" s="334" t="e">
        <f t="shared" ca="1" si="36"/>
        <v>#NAME?</v>
      </c>
    </row>
    <row r="123" spans="1:37">
      <c r="A123" s="362"/>
      <c r="B123" s="342"/>
      <c r="C123" s="342"/>
      <c r="D123" s="342"/>
      <c r="E123" s="342"/>
      <c r="F123" s="364"/>
      <c r="O123" t="e">
        <f t="shared" ca="1" si="37"/>
        <v>#NAME?</v>
      </c>
      <c r="Q123" s="331" t="s">
        <v>1082</v>
      </c>
      <c r="R123" s="398" t="s">
        <v>1225</v>
      </c>
      <c r="S123" s="333">
        <f t="shared" si="28"/>
        <v>112</v>
      </c>
      <c r="T123" s="334"/>
      <c r="U123" s="348"/>
      <c r="V123" s="348"/>
      <c r="W123" s="334"/>
      <c r="AC123" s="334" t="e">
        <f t="shared" ca="1" si="29"/>
        <v>#NAME?</v>
      </c>
      <c r="AD123" s="348" t="e">
        <f t="shared" ca="1" si="30"/>
        <v>#NAME?</v>
      </c>
      <c r="AE123" s="348" t="e">
        <f t="shared" ca="1" si="31"/>
        <v>#NAME?</v>
      </c>
      <c r="AF123" s="334" t="e">
        <f t="shared" ca="1" si="32"/>
        <v>#NAME?</v>
      </c>
      <c r="AH123" s="334" t="e">
        <f t="shared" ca="1" si="33"/>
        <v>#NAME?</v>
      </c>
      <c r="AI123" s="348" t="e">
        <f t="shared" ca="1" si="34"/>
        <v>#NAME?</v>
      </c>
      <c r="AJ123" s="348" t="e">
        <f t="shared" ca="1" si="35"/>
        <v>#NAME?</v>
      </c>
      <c r="AK123" s="334" t="e">
        <f t="shared" ca="1" si="36"/>
        <v>#NAME?</v>
      </c>
    </row>
    <row r="124" spans="1:37" ht="25.5">
      <c r="A124" s="362" t="s">
        <v>717</v>
      </c>
      <c r="B124" s="342"/>
      <c r="C124" s="334">
        <v>12345</v>
      </c>
      <c r="D124" s="342"/>
      <c r="E124" s="342"/>
      <c r="F124" s="364" t="s">
        <v>721</v>
      </c>
      <c r="O124" t="e">
        <f t="shared" ca="1" si="37"/>
        <v>#NAME?</v>
      </c>
      <c r="Q124" s="331" t="s">
        <v>1083</v>
      </c>
      <c r="R124" s="398" t="s">
        <v>1226</v>
      </c>
      <c r="S124" s="333">
        <f t="shared" si="28"/>
        <v>113</v>
      </c>
      <c r="T124" s="334"/>
      <c r="U124" s="348">
        <v>328124</v>
      </c>
      <c r="V124" s="348"/>
      <c r="W124" s="334">
        <v>328124</v>
      </c>
      <c r="AC124" s="334" t="e">
        <f t="shared" ca="1" si="29"/>
        <v>#NAME?</v>
      </c>
      <c r="AD124" s="348" t="e">
        <f t="shared" ca="1" si="30"/>
        <v>#NAME?</v>
      </c>
      <c r="AE124" s="348" t="e">
        <f t="shared" ca="1" si="31"/>
        <v>#NAME?</v>
      </c>
      <c r="AF124" s="334" t="e">
        <f t="shared" ca="1" si="32"/>
        <v>#NAME?</v>
      </c>
      <c r="AH124" s="334" t="e">
        <f t="shared" ca="1" si="33"/>
        <v>#NAME?</v>
      </c>
      <c r="AI124" s="348" t="e">
        <f t="shared" ca="1" si="34"/>
        <v>#NAME?</v>
      </c>
      <c r="AJ124" s="348" t="e">
        <f t="shared" ca="1" si="35"/>
        <v>#NAME?</v>
      </c>
      <c r="AK124" s="334" t="e">
        <f t="shared" ca="1" si="36"/>
        <v>#NAME?</v>
      </c>
    </row>
    <row r="125" spans="1:37">
      <c r="A125" s="362" t="e">
        <f ca="1">"TIME.ID="&amp;PreviousPeriod</f>
        <v>#NAME?</v>
      </c>
      <c r="B125" s="342" t="s">
        <v>643</v>
      </c>
      <c r="C125" s="369">
        <v>12345</v>
      </c>
      <c r="D125" s="342"/>
      <c r="E125" s="342"/>
      <c r="F125" s="364" t="s">
        <v>721</v>
      </c>
      <c r="O125" t="e">
        <f t="shared" ca="1" si="37"/>
        <v>#NAME?</v>
      </c>
      <c r="Q125" s="331" t="s">
        <v>1084</v>
      </c>
      <c r="R125" s="398" t="s">
        <v>1227</v>
      </c>
      <c r="S125" s="333">
        <f t="shared" si="28"/>
        <v>114</v>
      </c>
      <c r="T125" s="334"/>
      <c r="U125" s="348">
        <v>-2664641</v>
      </c>
      <c r="V125" s="348">
        <v>-5416</v>
      </c>
      <c r="W125" s="334">
        <v>-2670057</v>
      </c>
      <c r="AC125" s="334" t="e">
        <f t="shared" ca="1" si="29"/>
        <v>#NAME?</v>
      </c>
      <c r="AD125" s="348" t="e">
        <f t="shared" ca="1" si="30"/>
        <v>#NAME?</v>
      </c>
      <c r="AE125" s="348" t="e">
        <f t="shared" ca="1" si="31"/>
        <v>#NAME?</v>
      </c>
      <c r="AF125" s="334" t="e">
        <f t="shared" ca="1" si="32"/>
        <v>#NAME?</v>
      </c>
      <c r="AH125" s="334" t="e">
        <f t="shared" ca="1" si="33"/>
        <v>#NAME?</v>
      </c>
      <c r="AI125" s="348" t="e">
        <f t="shared" ca="1" si="34"/>
        <v>#NAME?</v>
      </c>
      <c r="AJ125" s="348" t="e">
        <f t="shared" ca="1" si="35"/>
        <v>#NAME?</v>
      </c>
      <c r="AK125" s="334" t="e">
        <f t="shared" ca="1" si="36"/>
        <v>#NAME?</v>
      </c>
    </row>
    <row r="126" spans="1:37" ht="15">
      <c r="A126" s="362" t="s">
        <v>717</v>
      </c>
      <c r="B126" s="366" t="s">
        <v>644</v>
      </c>
      <c r="C126" s="350">
        <v>12345</v>
      </c>
      <c r="D126" s="365"/>
      <c r="E126" s="365"/>
      <c r="F126" s="367" t="s">
        <v>721</v>
      </c>
      <c r="O126" t="e">
        <f t="shared" ca="1" si="37"/>
        <v>#NAME?</v>
      </c>
      <c r="Q126" s="331" t="s">
        <v>1085</v>
      </c>
      <c r="R126" s="385" t="s">
        <v>1228</v>
      </c>
      <c r="S126" s="381">
        <f t="shared" si="28"/>
        <v>115</v>
      </c>
      <c r="T126" s="350">
        <v>-7162182</v>
      </c>
      <c r="U126" s="350">
        <v>20101179</v>
      </c>
      <c r="V126" s="350">
        <v>11125316</v>
      </c>
      <c r="W126" s="350">
        <v>24064313</v>
      </c>
      <c r="AC126" s="350" t="e">
        <f t="shared" ca="1" si="29"/>
        <v>#NAME?</v>
      </c>
      <c r="AD126" s="350" t="e">
        <f t="shared" ca="1" si="30"/>
        <v>#NAME?</v>
      </c>
      <c r="AE126" s="350" t="e">
        <f t="shared" ca="1" si="31"/>
        <v>#NAME?</v>
      </c>
      <c r="AF126" s="350" t="e">
        <f t="shared" ca="1" si="32"/>
        <v>#NAME?</v>
      </c>
      <c r="AH126" s="350" t="e">
        <f t="shared" ca="1" si="33"/>
        <v>#NAME?</v>
      </c>
      <c r="AI126" s="350" t="e">
        <f t="shared" ca="1" si="34"/>
        <v>#NAME?</v>
      </c>
      <c r="AJ126" s="350" t="e">
        <f t="shared" ca="1" si="35"/>
        <v>#NAME?</v>
      </c>
      <c r="AK126" s="350" t="e">
        <f t="shared" ca="1" si="36"/>
        <v>#NAME?</v>
      </c>
    </row>
    <row r="127" spans="1:37" ht="15">
      <c r="A127" s="362"/>
      <c r="B127" s="342"/>
      <c r="C127" s="342"/>
      <c r="D127" s="342"/>
      <c r="E127" s="342"/>
      <c r="F127" s="364"/>
      <c r="O127" t="e">
        <f t="shared" ca="1" si="37"/>
        <v>#NAME?</v>
      </c>
      <c r="Q127" s="331" t="s">
        <v>1086</v>
      </c>
      <c r="R127" s="397" t="s">
        <v>1229</v>
      </c>
      <c r="S127" s="381">
        <f t="shared" si="28"/>
        <v>116</v>
      </c>
      <c r="T127" s="350"/>
      <c r="U127" s="350">
        <v>61540782</v>
      </c>
      <c r="V127" s="350">
        <v>12000000</v>
      </c>
      <c r="W127" s="350">
        <v>73540782</v>
      </c>
      <c r="AC127" s="350" t="e">
        <f t="shared" ca="1" si="29"/>
        <v>#NAME?</v>
      </c>
      <c r="AD127" s="350" t="e">
        <f t="shared" ca="1" si="30"/>
        <v>#NAME?</v>
      </c>
      <c r="AE127" s="350" t="e">
        <f t="shared" ca="1" si="31"/>
        <v>#NAME?</v>
      </c>
      <c r="AF127" s="350" t="e">
        <f t="shared" ca="1" si="32"/>
        <v>#NAME?</v>
      </c>
      <c r="AH127" s="350" t="e">
        <f t="shared" ca="1" si="33"/>
        <v>#NAME?</v>
      </c>
      <c r="AI127" s="350" t="e">
        <f t="shared" ca="1" si="34"/>
        <v>#NAME?</v>
      </c>
      <c r="AJ127" s="350" t="e">
        <f t="shared" ca="1" si="35"/>
        <v>#NAME?</v>
      </c>
      <c r="AK127" s="350" t="e">
        <f t="shared" ca="1" si="36"/>
        <v>#NAME?</v>
      </c>
    </row>
    <row r="128" spans="1:37" ht="30">
      <c r="A128" s="362"/>
      <c r="B128" s="342"/>
      <c r="C128" s="342"/>
      <c r="D128" s="342"/>
      <c r="E128" s="342"/>
      <c r="F128" s="364"/>
      <c r="O128" t="e">
        <f t="shared" ca="1" si="37"/>
        <v>#NAME?</v>
      </c>
      <c r="Q128" s="331" t="s">
        <v>1087</v>
      </c>
      <c r="R128" s="399" t="s">
        <v>1230</v>
      </c>
      <c r="S128" s="381">
        <f t="shared" si="28"/>
        <v>117</v>
      </c>
      <c r="T128" s="350"/>
      <c r="U128" s="350"/>
      <c r="V128" s="350"/>
      <c r="W128" s="350"/>
      <c r="AC128" s="350" t="e">
        <f t="shared" ca="1" si="29"/>
        <v>#NAME?</v>
      </c>
      <c r="AD128" s="350" t="e">
        <f t="shared" ca="1" si="30"/>
        <v>#NAME?</v>
      </c>
      <c r="AE128" s="350" t="e">
        <f t="shared" ca="1" si="31"/>
        <v>#NAME?</v>
      </c>
      <c r="AF128" s="350" t="e">
        <f t="shared" ca="1" si="32"/>
        <v>#NAME?</v>
      </c>
      <c r="AH128" s="350" t="e">
        <f t="shared" ca="1" si="33"/>
        <v>#NAME?</v>
      </c>
      <c r="AI128" s="350" t="e">
        <f t="shared" ca="1" si="34"/>
        <v>#NAME?</v>
      </c>
      <c r="AJ128" s="350" t="e">
        <f t="shared" ca="1" si="35"/>
        <v>#NAME?</v>
      </c>
      <c r="AK128" s="350" t="e">
        <f t="shared" ca="1" si="36"/>
        <v>#NAME?</v>
      </c>
    </row>
    <row r="129" spans="1:37" ht="25.5">
      <c r="A129" s="362" t="s">
        <v>892</v>
      </c>
      <c r="B129" s="342" t="s">
        <v>643</v>
      </c>
      <c r="C129" s="348">
        <v>12345</v>
      </c>
      <c r="D129" s="342"/>
      <c r="E129" s="342"/>
      <c r="F129" s="364" t="s">
        <v>721</v>
      </c>
      <c r="O129" t="e">
        <f t="shared" ca="1" si="37"/>
        <v>#NAME?</v>
      </c>
      <c r="Q129" s="331" t="s">
        <v>1088</v>
      </c>
      <c r="R129" s="400" t="s">
        <v>1231</v>
      </c>
      <c r="S129" s="333">
        <f t="shared" si="28"/>
        <v>118</v>
      </c>
      <c r="T129" s="334"/>
      <c r="U129" s="348"/>
      <c r="V129" s="348"/>
      <c r="W129" s="334"/>
      <c r="AC129" s="334" t="e">
        <f t="shared" ca="1" si="29"/>
        <v>#NAME?</v>
      </c>
      <c r="AD129" s="348" t="e">
        <f t="shared" ca="1" si="30"/>
        <v>#NAME?</v>
      </c>
      <c r="AE129" s="348" t="e">
        <f t="shared" ca="1" si="31"/>
        <v>#NAME?</v>
      </c>
      <c r="AF129" s="334" t="e">
        <f t="shared" ca="1" si="32"/>
        <v>#NAME?</v>
      </c>
      <c r="AH129" s="334" t="e">
        <f t="shared" ca="1" si="33"/>
        <v>#NAME?</v>
      </c>
      <c r="AI129" s="348" t="e">
        <f t="shared" ca="1" si="34"/>
        <v>#NAME?</v>
      </c>
      <c r="AJ129" s="348" t="e">
        <f t="shared" ca="1" si="35"/>
        <v>#NAME?</v>
      </c>
      <c r="AK129" s="334" t="e">
        <f t="shared" ca="1" si="36"/>
        <v>#NAME?</v>
      </c>
    </row>
    <row r="130" spans="1:37" ht="25.5">
      <c r="A130" s="362" t="e">
        <f ca="1">"TIME.ID="&amp;PreviousPeriod&amp;" AND INTCO.ID=I_29"</f>
        <v>#NAME?</v>
      </c>
      <c r="B130" s="342" t="s">
        <v>643</v>
      </c>
      <c r="C130" s="334">
        <v>12345</v>
      </c>
      <c r="D130" s="342"/>
      <c r="E130" s="342"/>
      <c r="F130" s="364" t="s">
        <v>721</v>
      </c>
      <c r="O130" t="e">
        <f t="shared" ca="1" si="37"/>
        <v>#NAME?</v>
      </c>
      <c r="Q130" s="331" t="s">
        <v>1089</v>
      </c>
      <c r="R130" s="400" t="s">
        <v>1232</v>
      </c>
      <c r="S130" s="333">
        <f t="shared" si="28"/>
        <v>119</v>
      </c>
      <c r="T130" s="334"/>
      <c r="U130" s="348"/>
      <c r="V130" s="348"/>
      <c r="W130" s="334"/>
      <c r="AC130" s="334" t="e">
        <f t="shared" ca="1" si="29"/>
        <v>#NAME?</v>
      </c>
      <c r="AD130" s="348" t="e">
        <f t="shared" ca="1" si="30"/>
        <v>#NAME?</v>
      </c>
      <c r="AE130" s="348" t="e">
        <f t="shared" ca="1" si="31"/>
        <v>#NAME?</v>
      </c>
      <c r="AF130" s="334" t="e">
        <f t="shared" ca="1" si="32"/>
        <v>#NAME?</v>
      </c>
      <c r="AH130" s="334" t="e">
        <f t="shared" ca="1" si="33"/>
        <v>#NAME?</v>
      </c>
      <c r="AI130" s="348" t="e">
        <f t="shared" ca="1" si="34"/>
        <v>#NAME?</v>
      </c>
      <c r="AJ130" s="348" t="e">
        <f t="shared" ca="1" si="35"/>
        <v>#NAME?</v>
      </c>
      <c r="AK130" s="334" t="e">
        <f t="shared" ca="1" si="36"/>
        <v>#NAME?</v>
      </c>
    </row>
    <row r="131" spans="1:37">
      <c r="A131" s="362" t="s">
        <v>893</v>
      </c>
      <c r="B131" s="342" t="s">
        <v>643</v>
      </c>
      <c r="C131" s="334">
        <v>12345</v>
      </c>
      <c r="D131" s="342"/>
      <c r="E131" s="342"/>
      <c r="F131" s="364" t="s">
        <v>721</v>
      </c>
      <c r="O131" t="e">
        <f t="shared" ca="1" si="37"/>
        <v>#NAME?</v>
      </c>
      <c r="Q131" s="331" t="s">
        <v>1090</v>
      </c>
      <c r="R131" s="400" t="s">
        <v>1233</v>
      </c>
      <c r="S131" s="333">
        <f t="shared" si="28"/>
        <v>120</v>
      </c>
      <c r="T131" s="334"/>
      <c r="U131" s="348"/>
      <c r="V131" s="348"/>
      <c r="W131" s="334"/>
      <c r="AC131" s="334" t="e">
        <f t="shared" ca="1" si="29"/>
        <v>#NAME?</v>
      </c>
      <c r="AD131" s="348" t="e">
        <f t="shared" ca="1" si="30"/>
        <v>#NAME?</v>
      </c>
      <c r="AE131" s="348" t="e">
        <f t="shared" ca="1" si="31"/>
        <v>#NAME?</v>
      </c>
      <c r="AF131" s="334" t="e">
        <f t="shared" ca="1" si="32"/>
        <v>#NAME?</v>
      </c>
      <c r="AH131" s="334" t="e">
        <f t="shared" ca="1" si="33"/>
        <v>#NAME?</v>
      </c>
      <c r="AI131" s="348" t="e">
        <f t="shared" ca="1" si="34"/>
        <v>#NAME?</v>
      </c>
      <c r="AJ131" s="348" t="e">
        <f t="shared" ca="1" si="35"/>
        <v>#NAME?</v>
      </c>
      <c r="AK131" s="334" t="e">
        <f t="shared" ca="1" si="36"/>
        <v>#NAME?</v>
      </c>
    </row>
    <row r="132" spans="1:37" ht="25.5">
      <c r="A132" s="362"/>
      <c r="B132" s="342"/>
      <c r="C132" s="342"/>
      <c r="D132" s="342"/>
      <c r="E132" s="342"/>
      <c r="F132" s="364"/>
      <c r="O132" t="e">
        <f t="shared" ca="1" si="37"/>
        <v>#NAME?</v>
      </c>
      <c r="Q132" s="331" t="s">
        <v>1091</v>
      </c>
      <c r="R132" s="400" t="s">
        <v>1234</v>
      </c>
      <c r="S132" s="333">
        <f t="shared" si="28"/>
        <v>121</v>
      </c>
      <c r="T132" s="334"/>
      <c r="U132" s="348"/>
      <c r="V132" s="348"/>
      <c r="W132" s="334"/>
      <c r="AC132" s="334" t="e">
        <f t="shared" ca="1" si="29"/>
        <v>#NAME?</v>
      </c>
      <c r="AD132" s="348" t="e">
        <f t="shared" ca="1" si="30"/>
        <v>#NAME?</v>
      </c>
      <c r="AE132" s="348" t="e">
        <f t="shared" ca="1" si="31"/>
        <v>#NAME?</v>
      </c>
      <c r="AF132" s="334" t="e">
        <f t="shared" ca="1" si="32"/>
        <v>#NAME?</v>
      </c>
      <c r="AH132" s="334" t="e">
        <f t="shared" ca="1" si="33"/>
        <v>#NAME?</v>
      </c>
      <c r="AI132" s="348" t="e">
        <f t="shared" ca="1" si="34"/>
        <v>#NAME?</v>
      </c>
      <c r="AJ132" s="348" t="e">
        <f t="shared" ca="1" si="35"/>
        <v>#NAME?</v>
      </c>
      <c r="AK132" s="334" t="e">
        <f t="shared" ca="1" si="36"/>
        <v>#NAME?</v>
      </c>
    </row>
    <row r="133" spans="1:37" ht="15">
      <c r="A133" s="362" t="s">
        <v>717</v>
      </c>
      <c r="B133" s="366" t="s">
        <v>644</v>
      </c>
      <c r="C133" s="350">
        <v>12345</v>
      </c>
      <c r="D133" s="365"/>
      <c r="E133" s="365"/>
      <c r="F133" s="367" t="s">
        <v>721</v>
      </c>
      <c r="O133" t="e">
        <f t="shared" ca="1" si="37"/>
        <v>#NAME?</v>
      </c>
      <c r="Q133" s="331" t="s">
        <v>1092</v>
      </c>
      <c r="R133" s="400" t="s">
        <v>1235</v>
      </c>
      <c r="S133" s="333">
        <f t="shared" si="28"/>
        <v>122</v>
      </c>
      <c r="T133" s="334"/>
      <c r="U133" s="348"/>
      <c r="V133" s="348"/>
      <c r="W133" s="334"/>
      <c r="AC133" s="334" t="e">
        <f t="shared" ca="1" si="29"/>
        <v>#NAME?</v>
      </c>
      <c r="AD133" s="348" t="e">
        <f t="shared" ca="1" si="30"/>
        <v>#NAME?</v>
      </c>
      <c r="AE133" s="348" t="e">
        <f t="shared" ca="1" si="31"/>
        <v>#NAME?</v>
      </c>
      <c r="AF133" s="334" t="e">
        <f t="shared" ca="1" si="32"/>
        <v>#NAME?</v>
      </c>
      <c r="AH133" s="334" t="e">
        <f t="shared" ca="1" si="33"/>
        <v>#NAME?</v>
      </c>
      <c r="AI133" s="348" t="e">
        <f t="shared" ca="1" si="34"/>
        <v>#NAME?</v>
      </c>
      <c r="AJ133" s="348" t="e">
        <f t="shared" ca="1" si="35"/>
        <v>#NAME?</v>
      </c>
      <c r="AK133" s="334" t="e">
        <f t="shared" ca="1" si="36"/>
        <v>#NAME?</v>
      </c>
    </row>
    <row r="134" spans="1:37" ht="15">
      <c r="A134" s="362" t="s">
        <v>717</v>
      </c>
      <c r="B134" s="366" t="s">
        <v>644</v>
      </c>
      <c r="C134" s="349" t="s">
        <v>718</v>
      </c>
      <c r="D134" s="365"/>
      <c r="E134" s="365"/>
      <c r="F134" s="367" t="s">
        <v>716</v>
      </c>
      <c r="O134" t="e">
        <f t="shared" ca="1" si="37"/>
        <v>#NAME?</v>
      </c>
      <c r="Q134" s="331" t="s">
        <v>1093</v>
      </c>
      <c r="R134" s="399" t="s">
        <v>1236</v>
      </c>
      <c r="S134" s="381">
        <f t="shared" si="28"/>
        <v>123</v>
      </c>
      <c r="T134" s="350"/>
      <c r="U134" s="350"/>
      <c r="V134" s="350"/>
      <c r="W134" s="350"/>
      <c r="AC134" s="350" t="e">
        <f t="shared" ca="1" si="29"/>
        <v>#NAME?</v>
      </c>
      <c r="AD134" s="350" t="e">
        <f t="shared" ca="1" si="30"/>
        <v>#NAME?</v>
      </c>
      <c r="AE134" s="350" t="e">
        <f t="shared" ca="1" si="31"/>
        <v>#NAME?</v>
      </c>
      <c r="AF134" s="350" t="e">
        <f t="shared" ca="1" si="32"/>
        <v>#NAME?</v>
      </c>
      <c r="AH134" s="350" t="e">
        <f t="shared" ca="1" si="33"/>
        <v>#NAME?</v>
      </c>
      <c r="AI134" s="350" t="e">
        <f t="shared" ca="1" si="34"/>
        <v>#NAME?</v>
      </c>
      <c r="AJ134" s="350" t="e">
        <f t="shared" ca="1" si="35"/>
        <v>#NAME?</v>
      </c>
      <c r="AK134" s="350" t="e">
        <f t="shared" ca="1" si="36"/>
        <v>#NAME?</v>
      </c>
    </row>
    <row r="135" spans="1:37" ht="25.5">
      <c r="A135" s="362" t="s">
        <v>731</v>
      </c>
      <c r="B135" s="342"/>
      <c r="C135" s="376">
        <v>12345</v>
      </c>
      <c r="D135" s="342" t="s">
        <v>732</v>
      </c>
      <c r="E135" s="342"/>
      <c r="F135" s="364" t="s">
        <v>721</v>
      </c>
      <c r="O135" t="e">
        <f t="shared" ca="1" si="37"/>
        <v>#NAME?</v>
      </c>
      <c r="Q135" s="331" t="s">
        <v>1094</v>
      </c>
      <c r="R135" s="400" t="s">
        <v>1231</v>
      </c>
      <c r="S135" s="333">
        <f t="shared" si="28"/>
        <v>124</v>
      </c>
      <c r="T135" s="334"/>
      <c r="U135" s="348"/>
      <c r="V135" s="348"/>
      <c r="W135" s="334"/>
      <c r="AC135" s="334" t="e">
        <f t="shared" ca="1" si="29"/>
        <v>#NAME?</v>
      </c>
      <c r="AD135" s="348" t="e">
        <f t="shared" ca="1" si="30"/>
        <v>#NAME?</v>
      </c>
      <c r="AE135" s="348" t="e">
        <f t="shared" ca="1" si="31"/>
        <v>#NAME?</v>
      </c>
      <c r="AF135" s="334" t="e">
        <f t="shared" ca="1" si="32"/>
        <v>#NAME?</v>
      </c>
      <c r="AH135" s="334" t="e">
        <f t="shared" ca="1" si="33"/>
        <v>#NAME?</v>
      </c>
      <c r="AI135" s="348" t="e">
        <f t="shared" ca="1" si="34"/>
        <v>#NAME?</v>
      </c>
      <c r="AJ135" s="348" t="e">
        <f t="shared" ca="1" si="35"/>
        <v>#NAME?</v>
      </c>
      <c r="AK135" s="334" t="e">
        <f t="shared" ca="1" si="36"/>
        <v>#NAME?</v>
      </c>
    </row>
    <row r="136" spans="1:37" ht="25.5">
      <c r="A136" s="362" t="s">
        <v>723</v>
      </c>
      <c r="B136" s="366" t="s">
        <v>644</v>
      </c>
      <c r="C136" s="404" t="s">
        <v>718</v>
      </c>
      <c r="D136" s="342" t="s">
        <v>724</v>
      </c>
      <c r="E136" s="342"/>
      <c r="F136" s="364" t="s">
        <v>716</v>
      </c>
      <c r="O136" t="e">
        <f t="shared" ca="1" si="37"/>
        <v>#NAME?</v>
      </c>
      <c r="Q136" s="331" t="s">
        <v>1095</v>
      </c>
      <c r="R136" s="400" t="s">
        <v>1232</v>
      </c>
      <c r="S136" s="333">
        <f t="shared" si="28"/>
        <v>125</v>
      </c>
      <c r="T136" s="334"/>
      <c r="U136" s="348"/>
      <c r="V136" s="348"/>
      <c r="W136" s="334"/>
      <c r="AC136" s="334" t="e">
        <f t="shared" ca="1" si="29"/>
        <v>#NAME?</v>
      </c>
      <c r="AD136" s="348" t="e">
        <f t="shared" ca="1" si="30"/>
        <v>#NAME?</v>
      </c>
      <c r="AE136" s="348" t="e">
        <f t="shared" ca="1" si="31"/>
        <v>#NAME?</v>
      </c>
      <c r="AF136" s="334" t="e">
        <f t="shared" ca="1" si="32"/>
        <v>#NAME?</v>
      </c>
      <c r="AH136" s="334" t="e">
        <f t="shared" ca="1" si="33"/>
        <v>#NAME?</v>
      </c>
      <c r="AI136" s="348" t="e">
        <f t="shared" ca="1" si="34"/>
        <v>#NAME?</v>
      </c>
      <c r="AJ136" s="348" t="e">
        <f t="shared" ca="1" si="35"/>
        <v>#NAME?</v>
      </c>
      <c r="AK136" s="334" t="e">
        <f t="shared" ca="1" si="36"/>
        <v>#NAME?</v>
      </c>
    </row>
    <row r="137" spans="1:37">
      <c r="A137" s="362" t="s">
        <v>725</v>
      </c>
      <c r="B137" s="366" t="s">
        <v>644</v>
      </c>
      <c r="C137" s="405" t="s">
        <v>718</v>
      </c>
      <c r="D137" s="342" t="s">
        <v>724</v>
      </c>
      <c r="E137" s="342"/>
      <c r="F137" s="364" t="s">
        <v>716</v>
      </c>
      <c r="O137" t="e">
        <f t="shared" ca="1" si="37"/>
        <v>#NAME?</v>
      </c>
      <c r="Q137" s="331" t="s">
        <v>1096</v>
      </c>
      <c r="R137" s="400" t="s">
        <v>1233</v>
      </c>
      <c r="S137" s="333">
        <f t="shared" si="28"/>
        <v>126</v>
      </c>
      <c r="T137" s="334"/>
      <c r="U137" s="348"/>
      <c r="V137" s="348"/>
      <c r="W137" s="334"/>
      <c r="AC137" s="334" t="e">
        <f t="shared" ca="1" si="29"/>
        <v>#NAME?</v>
      </c>
      <c r="AD137" s="348" t="e">
        <f t="shared" ca="1" si="30"/>
        <v>#NAME?</v>
      </c>
      <c r="AE137" s="348" t="e">
        <f t="shared" ca="1" si="31"/>
        <v>#NAME?</v>
      </c>
      <c r="AF137" s="334" t="e">
        <f t="shared" ca="1" si="32"/>
        <v>#NAME?</v>
      </c>
      <c r="AH137" s="334" t="e">
        <f t="shared" ca="1" si="33"/>
        <v>#NAME?</v>
      </c>
      <c r="AI137" s="348" t="e">
        <f t="shared" ca="1" si="34"/>
        <v>#NAME?</v>
      </c>
      <c r="AJ137" s="348" t="e">
        <f t="shared" ca="1" si="35"/>
        <v>#NAME?</v>
      </c>
      <c r="AK137" s="334" t="e">
        <f t="shared" ca="1" si="36"/>
        <v>#NAME?</v>
      </c>
    </row>
    <row r="138" spans="1:37" ht="25.5">
      <c r="A138" s="362" t="s">
        <v>726</v>
      </c>
      <c r="B138" s="366" t="s">
        <v>644</v>
      </c>
      <c r="C138" s="406" t="s">
        <v>718</v>
      </c>
      <c r="D138" s="342" t="s">
        <v>724</v>
      </c>
      <c r="E138" s="342"/>
      <c r="F138" s="364" t="s">
        <v>716</v>
      </c>
      <c r="O138" t="e">
        <f t="shared" ca="1" si="37"/>
        <v>#NAME?</v>
      </c>
      <c r="Q138" s="331" t="s">
        <v>1097</v>
      </c>
      <c r="R138" s="400" t="s">
        <v>1234</v>
      </c>
      <c r="S138" s="333">
        <f t="shared" si="28"/>
        <v>127</v>
      </c>
      <c r="T138" s="334"/>
      <c r="U138" s="348"/>
      <c r="V138" s="348"/>
      <c r="W138" s="334"/>
      <c r="AC138" s="334" t="e">
        <f t="shared" ca="1" si="29"/>
        <v>#NAME?</v>
      </c>
      <c r="AD138" s="348" t="e">
        <f t="shared" ca="1" si="30"/>
        <v>#NAME?</v>
      </c>
      <c r="AE138" s="348" t="e">
        <f t="shared" ca="1" si="31"/>
        <v>#NAME?</v>
      </c>
      <c r="AF138" s="334" t="e">
        <f t="shared" ca="1" si="32"/>
        <v>#NAME?</v>
      </c>
      <c r="AH138" s="334" t="e">
        <f t="shared" ca="1" si="33"/>
        <v>#NAME?</v>
      </c>
      <c r="AI138" s="348" t="e">
        <f t="shared" ca="1" si="34"/>
        <v>#NAME?</v>
      </c>
      <c r="AJ138" s="348" t="e">
        <f t="shared" ca="1" si="35"/>
        <v>#NAME?</v>
      </c>
      <c r="AK138" s="334" t="e">
        <f t="shared" ca="1" si="36"/>
        <v>#NAME?</v>
      </c>
    </row>
    <row r="139" spans="1:37">
      <c r="A139" s="362" t="s">
        <v>727</v>
      </c>
      <c r="B139" s="366" t="s">
        <v>644</v>
      </c>
      <c r="C139" s="407" t="s">
        <v>718</v>
      </c>
      <c r="D139" s="342" t="s">
        <v>724</v>
      </c>
      <c r="E139" s="342"/>
      <c r="F139" s="364" t="s">
        <v>716</v>
      </c>
      <c r="O139" t="e">
        <f t="shared" ca="1" si="37"/>
        <v>#NAME?</v>
      </c>
      <c r="Q139" s="331" t="s">
        <v>1098</v>
      </c>
      <c r="R139" s="400" t="s">
        <v>1235</v>
      </c>
      <c r="S139" s="333">
        <f t="shared" si="28"/>
        <v>128</v>
      </c>
      <c r="T139" s="334"/>
      <c r="U139" s="348"/>
      <c r="V139" s="348"/>
      <c r="W139" s="334"/>
      <c r="AC139" s="334" t="e">
        <f t="shared" ca="1" si="29"/>
        <v>#NAME?</v>
      </c>
      <c r="AD139" s="348" t="e">
        <f t="shared" ca="1" si="30"/>
        <v>#NAME?</v>
      </c>
      <c r="AE139" s="348" t="e">
        <f t="shared" ca="1" si="31"/>
        <v>#NAME?</v>
      </c>
      <c r="AF139" s="334" t="e">
        <f t="shared" ca="1" si="32"/>
        <v>#NAME?</v>
      </c>
      <c r="AH139" s="334" t="e">
        <f t="shared" ca="1" si="33"/>
        <v>#NAME?</v>
      </c>
      <c r="AI139" s="348" t="e">
        <f t="shared" ca="1" si="34"/>
        <v>#NAME?</v>
      </c>
      <c r="AJ139" s="348" t="e">
        <f t="shared" ca="1" si="35"/>
        <v>#NAME?</v>
      </c>
      <c r="AK139" s="334" t="e">
        <f t="shared" ca="1" si="36"/>
        <v>#NAME?</v>
      </c>
    </row>
    <row r="140" spans="1:37">
      <c r="A140" s="362" t="s">
        <v>728</v>
      </c>
      <c r="B140" s="366" t="s">
        <v>644</v>
      </c>
      <c r="C140" s="408" t="s">
        <v>718</v>
      </c>
      <c r="D140" s="342" t="s">
        <v>724</v>
      </c>
      <c r="E140" s="342"/>
      <c r="F140" s="364" t="s">
        <v>716</v>
      </c>
      <c r="O140" t="e">
        <f t="shared" ca="1" si="37"/>
        <v>#NAME?</v>
      </c>
      <c r="Q140" s="331" t="s">
        <v>1099</v>
      </c>
      <c r="R140" s="398" t="s">
        <v>1154</v>
      </c>
      <c r="S140" s="333">
        <f t="shared" si="28"/>
        <v>129</v>
      </c>
      <c r="T140" s="334"/>
      <c r="U140" s="348">
        <v>59308030</v>
      </c>
      <c r="V140" s="348">
        <v>12000000</v>
      </c>
      <c r="W140" s="334">
        <v>71308030</v>
      </c>
      <c r="AC140" s="334" t="e">
        <f t="shared" ref="AC140:AC166" ca="1" si="38">IF(EV_PRO($D$1,Q140,"HLEVEL")="4",AC139+1,AC139)</f>
        <v>#NAME?</v>
      </c>
      <c r="AD140" s="348" t="e">
        <f t="shared" ref="AD140:AD166" ca="1" si="39">IF(EV_PRO($D$1,R140,"HLEVEL")="4",AD139+1,AD139)</f>
        <v>#NAME?</v>
      </c>
      <c r="AE140" s="348" t="e">
        <f t="shared" ref="AE140:AE166" ca="1" si="40">IF(EV_PRO($D$1,S140,"HLEVEL")="4",AE139+1,AE139)</f>
        <v>#NAME?</v>
      </c>
      <c r="AF140" s="334" t="e">
        <f t="shared" ref="AF140:AF166" ca="1" si="41">IF(EV_PRO($D$1,T140,"HLEVEL")="4",AF139+1,AF139)</f>
        <v>#NAME?</v>
      </c>
      <c r="AH140" s="334" t="e">
        <f t="shared" ref="AH140:AH166" ca="1" si="42">IF(EV_PRO($D$1,Q140,"HLEVEL")="5",IF(AH139+1=3,1,AH139+1),AH139)</f>
        <v>#NAME?</v>
      </c>
      <c r="AI140" s="348" t="e">
        <f t="shared" ref="AI140:AI166" ca="1" si="43">IF(EV_PRO($D$1,R140,"HLEVEL")="5",IF(AI139+1=3,1,AI139+1),AI139)</f>
        <v>#NAME?</v>
      </c>
      <c r="AJ140" s="348" t="e">
        <f t="shared" ref="AJ140:AJ166" ca="1" si="44">IF(EV_PRO($D$1,S140,"HLEVEL")="5",IF(AJ139+1=3,1,AJ139+1),AJ139)</f>
        <v>#NAME?</v>
      </c>
      <c r="AK140" s="334" t="e">
        <f t="shared" ref="AK140:AK166" ca="1" si="45">IF(EV_PRO($D$1,T140,"HLEVEL")="5",IF(AK139+1=3,1,AK139+1),AK139)</f>
        <v>#NAME?</v>
      </c>
    </row>
    <row r="141" spans="1:37">
      <c r="A141" s="409" t="s">
        <v>729</v>
      </c>
      <c r="B141" s="410" t="s">
        <v>644</v>
      </c>
      <c r="C141" s="411" t="s">
        <v>718</v>
      </c>
      <c r="D141" s="412" t="s">
        <v>724</v>
      </c>
      <c r="E141" s="412"/>
      <c r="F141" s="413" t="s">
        <v>716</v>
      </c>
      <c r="O141" t="e">
        <f t="shared" ref="O141:O144" ca="1" si="46">EV_PRO("LEGAL",Q163,"HLEVEL")</f>
        <v>#NAME?</v>
      </c>
      <c r="Q141" s="331" t="s">
        <v>1100</v>
      </c>
      <c r="R141" s="398" t="s">
        <v>1155</v>
      </c>
      <c r="S141" s="333">
        <f t="shared" ref="S141:S166" si="47">IF(Q141&lt;&gt;"",IF(S140="№ Строки",1,S140+1),S140)</f>
        <v>130</v>
      </c>
      <c r="T141" s="334"/>
      <c r="U141" s="348">
        <v>2232752</v>
      </c>
      <c r="V141" s="348"/>
      <c r="W141" s="334">
        <v>2232752</v>
      </c>
      <c r="AC141" s="334" t="e">
        <f t="shared" ca="1" si="38"/>
        <v>#NAME?</v>
      </c>
      <c r="AD141" s="348" t="e">
        <f t="shared" ca="1" si="39"/>
        <v>#NAME?</v>
      </c>
      <c r="AE141" s="348" t="e">
        <f t="shared" ca="1" si="40"/>
        <v>#NAME?</v>
      </c>
      <c r="AF141" s="334" t="e">
        <f t="shared" ca="1" si="41"/>
        <v>#NAME?</v>
      </c>
      <c r="AH141" s="334" t="e">
        <f t="shared" ca="1" si="42"/>
        <v>#NAME?</v>
      </c>
      <c r="AI141" s="348" t="e">
        <f t="shared" ca="1" si="43"/>
        <v>#NAME?</v>
      </c>
      <c r="AJ141" s="348" t="e">
        <f t="shared" ca="1" si="44"/>
        <v>#NAME?</v>
      </c>
      <c r="AK141" s="334" t="e">
        <f t="shared" ca="1" si="45"/>
        <v>#NAME?</v>
      </c>
    </row>
    <row r="142" spans="1:37">
      <c r="O142" t="e">
        <f t="shared" ca="1" si="46"/>
        <v>#NAME?</v>
      </c>
      <c r="Q142" s="331" t="s">
        <v>1101</v>
      </c>
      <c r="R142" s="398" t="s">
        <v>1237</v>
      </c>
      <c r="S142" s="333">
        <f t="shared" si="47"/>
        <v>131</v>
      </c>
      <c r="T142" s="334"/>
      <c r="U142" s="348"/>
      <c r="V142" s="348"/>
      <c r="W142" s="334"/>
      <c r="AC142" s="334" t="e">
        <f t="shared" ca="1" si="38"/>
        <v>#NAME?</v>
      </c>
      <c r="AD142" s="348" t="e">
        <f t="shared" ca="1" si="39"/>
        <v>#NAME?</v>
      </c>
      <c r="AE142" s="348" t="e">
        <f t="shared" ca="1" si="40"/>
        <v>#NAME?</v>
      </c>
      <c r="AF142" s="334" t="e">
        <f t="shared" ca="1" si="41"/>
        <v>#NAME?</v>
      </c>
      <c r="AH142" s="334" t="e">
        <f t="shared" ca="1" si="42"/>
        <v>#NAME?</v>
      </c>
      <c r="AI142" s="348" t="e">
        <f t="shared" ca="1" si="43"/>
        <v>#NAME?</v>
      </c>
      <c r="AJ142" s="348" t="e">
        <f t="shared" ca="1" si="44"/>
        <v>#NAME?</v>
      </c>
      <c r="AK142" s="334" t="e">
        <f t="shared" ca="1" si="45"/>
        <v>#NAME?</v>
      </c>
    </row>
    <row r="143" spans="1:37" ht="25.5">
      <c r="A143" s="311" t="s">
        <v>1102</v>
      </c>
      <c r="B143" s="410" t="s">
        <v>644</v>
      </c>
      <c r="C143" s="414"/>
      <c r="F143" s="367" t="s">
        <v>721</v>
      </c>
      <c r="O143" t="e">
        <f t="shared" ca="1" si="46"/>
        <v>#NAME?</v>
      </c>
      <c r="Q143" s="331" t="s">
        <v>1103</v>
      </c>
      <c r="R143" s="398" t="s">
        <v>1156</v>
      </c>
      <c r="S143" s="333">
        <f t="shared" si="47"/>
        <v>132</v>
      </c>
      <c r="T143" s="334"/>
      <c r="U143" s="348"/>
      <c r="V143" s="348"/>
      <c r="W143" s="334"/>
      <c r="AC143" s="334" t="e">
        <f t="shared" ca="1" si="38"/>
        <v>#NAME?</v>
      </c>
      <c r="AD143" s="348" t="e">
        <f t="shared" ca="1" si="39"/>
        <v>#NAME?</v>
      </c>
      <c r="AE143" s="348" t="e">
        <f t="shared" ca="1" si="40"/>
        <v>#NAME?</v>
      </c>
      <c r="AF143" s="334" t="e">
        <f t="shared" ca="1" si="41"/>
        <v>#NAME?</v>
      </c>
      <c r="AH143" s="334" t="e">
        <f t="shared" ca="1" si="42"/>
        <v>#NAME?</v>
      </c>
      <c r="AI143" s="348" t="e">
        <f t="shared" ca="1" si="43"/>
        <v>#NAME?</v>
      </c>
      <c r="AJ143" s="348" t="e">
        <f t="shared" ca="1" si="44"/>
        <v>#NAME?</v>
      </c>
      <c r="AK143" s="334" t="e">
        <f t="shared" ca="1" si="45"/>
        <v>#NAME?</v>
      </c>
    </row>
    <row r="144" spans="1:37">
      <c r="A144" s="311" t="s">
        <v>733</v>
      </c>
      <c r="B144" s="410" t="s">
        <v>644</v>
      </c>
      <c r="C144" s="414"/>
      <c r="F144" s="367" t="s">
        <v>721</v>
      </c>
      <c r="O144" t="e">
        <f t="shared" ca="1" si="46"/>
        <v>#NAME?</v>
      </c>
      <c r="Q144" s="331" t="s">
        <v>1104</v>
      </c>
      <c r="R144" s="398" t="s">
        <v>1157</v>
      </c>
      <c r="S144" s="333">
        <f t="shared" si="47"/>
        <v>133</v>
      </c>
      <c r="T144" s="334"/>
      <c r="U144" s="348"/>
      <c r="V144" s="348"/>
      <c r="W144" s="334"/>
      <c r="AC144" s="334" t="e">
        <f t="shared" ca="1" si="38"/>
        <v>#NAME?</v>
      </c>
      <c r="AD144" s="348" t="e">
        <f t="shared" ca="1" si="39"/>
        <v>#NAME?</v>
      </c>
      <c r="AE144" s="348" t="e">
        <f t="shared" ca="1" si="40"/>
        <v>#NAME?</v>
      </c>
      <c r="AF144" s="334" t="e">
        <f t="shared" ca="1" si="41"/>
        <v>#NAME?</v>
      </c>
      <c r="AH144" s="334" t="e">
        <f t="shared" ca="1" si="42"/>
        <v>#NAME?</v>
      </c>
      <c r="AI144" s="348" t="e">
        <f t="shared" ca="1" si="43"/>
        <v>#NAME?</v>
      </c>
      <c r="AJ144" s="348" t="e">
        <f t="shared" ca="1" si="44"/>
        <v>#NAME?</v>
      </c>
      <c r="AK144" s="334" t="e">
        <f t="shared" ca="1" si="45"/>
        <v>#NAME?</v>
      </c>
    </row>
    <row r="145" spans="1:37">
      <c r="A145" s="311" t="s">
        <v>1105</v>
      </c>
      <c r="B145" s="410" t="s">
        <v>644</v>
      </c>
      <c r="C145" s="334"/>
      <c r="F145" s="367" t="s">
        <v>721</v>
      </c>
      <c r="Q145" s="331" t="s">
        <v>1106</v>
      </c>
      <c r="R145" s="398" t="s">
        <v>1158</v>
      </c>
      <c r="S145" s="333">
        <f t="shared" si="47"/>
        <v>134</v>
      </c>
      <c r="T145" s="334"/>
      <c r="U145" s="348"/>
      <c r="V145" s="348"/>
      <c r="W145" s="334"/>
      <c r="AC145" s="334" t="e">
        <f t="shared" ca="1" si="38"/>
        <v>#NAME?</v>
      </c>
      <c r="AD145" s="348" t="e">
        <f t="shared" ca="1" si="39"/>
        <v>#NAME?</v>
      </c>
      <c r="AE145" s="348" t="e">
        <f t="shared" ca="1" si="40"/>
        <v>#NAME?</v>
      </c>
      <c r="AF145" s="334" t="e">
        <f t="shared" ca="1" si="41"/>
        <v>#NAME?</v>
      </c>
      <c r="AH145" s="334" t="e">
        <f t="shared" ca="1" si="42"/>
        <v>#NAME?</v>
      </c>
      <c r="AI145" s="348" t="e">
        <f t="shared" ca="1" si="43"/>
        <v>#NAME?</v>
      </c>
      <c r="AJ145" s="348" t="e">
        <f t="shared" ca="1" si="44"/>
        <v>#NAME?</v>
      </c>
      <c r="AK145" s="334" t="e">
        <f t="shared" ca="1" si="45"/>
        <v>#NAME?</v>
      </c>
    </row>
    <row r="146" spans="1:37" ht="25.5">
      <c r="A146" s="311" t="s">
        <v>1107</v>
      </c>
      <c r="B146" s="410" t="s">
        <v>644</v>
      </c>
      <c r="C146" s="334"/>
      <c r="F146" s="367" t="s">
        <v>721</v>
      </c>
      <c r="Q146" s="331" t="s">
        <v>1108</v>
      </c>
      <c r="R146" s="398" t="s">
        <v>1159</v>
      </c>
      <c r="S146" s="333">
        <f t="shared" si="47"/>
        <v>135</v>
      </c>
      <c r="T146" s="334"/>
      <c r="U146" s="348"/>
      <c r="V146" s="348"/>
      <c r="W146" s="334"/>
      <c r="AC146" s="334" t="e">
        <f t="shared" ca="1" si="38"/>
        <v>#NAME?</v>
      </c>
      <c r="AD146" s="348" t="e">
        <f t="shared" ca="1" si="39"/>
        <v>#NAME?</v>
      </c>
      <c r="AE146" s="348" t="e">
        <f t="shared" ca="1" si="40"/>
        <v>#NAME?</v>
      </c>
      <c r="AF146" s="334" t="e">
        <f t="shared" ca="1" si="41"/>
        <v>#NAME?</v>
      </c>
      <c r="AH146" s="334" t="e">
        <f t="shared" ca="1" si="42"/>
        <v>#NAME?</v>
      </c>
      <c r="AI146" s="348" t="e">
        <f t="shared" ca="1" si="43"/>
        <v>#NAME?</v>
      </c>
      <c r="AJ146" s="348" t="e">
        <f t="shared" ca="1" si="44"/>
        <v>#NAME?</v>
      </c>
      <c r="AK146" s="334" t="e">
        <f t="shared" ca="1" si="45"/>
        <v>#NAME?</v>
      </c>
    </row>
    <row r="147" spans="1:37" ht="26.25">
      <c r="A147" s="311" t="s">
        <v>1102</v>
      </c>
      <c r="B147" s="342" t="s">
        <v>644</v>
      </c>
      <c r="C147" s="415">
        <v>12345</v>
      </c>
      <c r="D147" s="342"/>
      <c r="E147" s="342"/>
      <c r="F147" s="364" t="s">
        <v>716</v>
      </c>
      <c r="Q147" s="331" t="s">
        <v>1109</v>
      </c>
      <c r="R147" s="398" t="s">
        <v>1160</v>
      </c>
      <c r="S147" s="333">
        <f t="shared" si="47"/>
        <v>136</v>
      </c>
      <c r="T147" s="334"/>
      <c r="U147" s="348"/>
      <c r="V147" s="348"/>
      <c r="W147" s="334"/>
      <c r="AC147" s="334" t="e">
        <f t="shared" ca="1" si="38"/>
        <v>#NAME?</v>
      </c>
      <c r="AD147" s="348" t="e">
        <f t="shared" ca="1" si="39"/>
        <v>#NAME?</v>
      </c>
      <c r="AE147" s="348" t="e">
        <f t="shared" ca="1" si="40"/>
        <v>#NAME?</v>
      </c>
      <c r="AF147" s="334" t="e">
        <f t="shared" ca="1" si="41"/>
        <v>#NAME?</v>
      </c>
      <c r="AH147" s="334" t="e">
        <f t="shared" ca="1" si="42"/>
        <v>#NAME?</v>
      </c>
      <c r="AI147" s="348" t="e">
        <f t="shared" ca="1" si="43"/>
        <v>#NAME?</v>
      </c>
      <c r="AJ147" s="348" t="e">
        <f t="shared" ca="1" si="44"/>
        <v>#NAME?</v>
      </c>
      <c r="AK147" s="334" t="e">
        <f t="shared" ca="1" si="45"/>
        <v>#NAME?</v>
      </c>
    </row>
    <row r="148" spans="1:37" ht="15">
      <c r="A148" s="311" t="s">
        <v>733</v>
      </c>
      <c r="B148" s="342" t="s">
        <v>644</v>
      </c>
      <c r="C148" s="415">
        <v>12345</v>
      </c>
      <c r="D148" s="342"/>
      <c r="E148" s="342"/>
      <c r="F148" s="364" t="s">
        <v>716</v>
      </c>
      <c r="Q148" s="331" t="s">
        <v>1110</v>
      </c>
      <c r="R148" s="398" t="s">
        <v>1213</v>
      </c>
      <c r="S148" s="333">
        <f t="shared" si="47"/>
        <v>137</v>
      </c>
      <c r="T148" s="334"/>
      <c r="U148" s="348"/>
      <c r="V148" s="348"/>
      <c r="W148" s="334"/>
      <c r="AC148" s="334" t="e">
        <f t="shared" ca="1" si="38"/>
        <v>#NAME?</v>
      </c>
      <c r="AD148" s="348" t="e">
        <f t="shared" ca="1" si="39"/>
        <v>#NAME?</v>
      </c>
      <c r="AE148" s="348" t="e">
        <f t="shared" ca="1" si="40"/>
        <v>#NAME?</v>
      </c>
      <c r="AF148" s="334" t="e">
        <f t="shared" ca="1" si="41"/>
        <v>#NAME?</v>
      </c>
      <c r="AH148" s="334" t="e">
        <f t="shared" ca="1" si="42"/>
        <v>#NAME?</v>
      </c>
      <c r="AI148" s="348" t="e">
        <f t="shared" ca="1" si="43"/>
        <v>#NAME?</v>
      </c>
      <c r="AJ148" s="348" t="e">
        <f t="shared" ca="1" si="44"/>
        <v>#NAME?</v>
      </c>
      <c r="AK148" s="334" t="e">
        <f t="shared" ca="1" si="45"/>
        <v>#NAME?</v>
      </c>
    </row>
    <row r="149" spans="1:37" ht="15">
      <c r="Q149" s="331" t="s">
        <v>1111</v>
      </c>
      <c r="R149" s="397" t="s">
        <v>1238</v>
      </c>
      <c r="S149" s="381">
        <f t="shared" si="47"/>
        <v>138</v>
      </c>
      <c r="T149" s="350">
        <v>-7162182</v>
      </c>
      <c r="U149" s="350">
        <v>-41439603</v>
      </c>
      <c r="V149" s="350">
        <v>-874684</v>
      </c>
      <c r="W149" s="350">
        <v>-49476469</v>
      </c>
      <c r="AC149" s="350" t="e">
        <f t="shared" ca="1" si="38"/>
        <v>#NAME?</v>
      </c>
      <c r="AD149" s="350" t="e">
        <f t="shared" ca="1" si="39"/>
        <v>#NAME?</v>
      </c>
      <c r="AE149" s="350" t="e">
        <f t="shared" ca="1" si="40"/>
        <v>#NAME?</v>
      </c>
      <c r="AF149" s="350" t="e">
        <f t="shared" ca="1" si="41"/>
        <v>#NAME?</v>
      </c>
      <c r="AH149" s="350" t="e">
        <f t="shared" ca="1" si="42"/>
        <v>#NAME?</v>
      </c>
      <c r="AI149" s="350" t="e">
        <f t="shared" ca="1" si="43"/>
        <v>#NAME?</v>
      </c>
      <c r="AJ149" s="350" t="e">
        <f t="shared" ca="1" si="44"/>
        <v>#NAME?</v>
      </c>
      <c r="AK149" s="350" t="e">
        <f t="shared" ca="1" si="45"/>
        <v>#NAME?</v>
      </c>
    </row>
    <row r="150" spans="1:37">
      <c r="Q150" s="331" t="s">
        <v>1112</v>
      </c>
      <c r="R150" s="398" t="s">
        <v>1239</v>
      </c>
      <c r="S150" s="333">
        <f t="shared" si="47"/>
        <v>139</v>
      </c>
      <c r="T150" s="334"/>
      <c r="U150" s="348"/>
      <c r="V150" s="348"/>
      <c r="W150" s="334"/>
      <c r="AC150" s="334" t="e">
        <f t="shared" ca="1" si="38"/>
        <v>#NAME?</v>
      </c>
      <c r="AD150" s="348" t="e">
        <f t="shared" ca="1" si="39"/>
        <v>#NAME?</v>
      </c>
      <c r="AE150" s="348" t="e">
        <f t="shared" ca="1" si="40"/>
        <v>#NAME?</v>
      </c>
      <c r="AF150" s="334" t="e">
        <f t="shared" ca="1" si="41"/>
        <v>#NAME?</v>
      </c>
      <c r="AH150" s="334" t="e">
        <f t="shared" ca="1" si="42"/>
        <v>#NAME?</v>
      </c>
      <c r="AI150" s="348" t="e">
        <f t="shared" ca="1" si="43"/>
        <v>#NAME?</v>
      </c>
      <c r="AJ150" s="348" t="e">
        <f t="shared" ca="1" si="44"/>
        <v>#NAME?</v>
      </c>
      <c r="AK150" s="334" t="e">
        <f t="shared" ca="1" si="45"/>
        <v>#NAME?</v>
      </c>
    </row>
    <row r="151" spans="1:37" ht="26.25">
      <c r="A151" s="311" t="s">
        <v>1113</v>
      </c>
      <c r="B151" s="342" t="s">
        <v>644</v>
      </c>
      <c r="C151" s="416" t="s">
        <v>1114</v>
      </c>
      <c r="D151" s="342"/>
      <c r="E151" s="342"/>
      <c r="F151" s="364" t="s">
        <v>716</v>
      </c>
      <c r="Q151" s="331" t="s">
        <v>1115</v>
      </c>
      <c r="R151" s="398" t="s">
        <v>1185</v>
      </c>
      <c r="S151" s="333">
        <f t="shared" si="47"/>
        <v>140</v>
      </c>
      <c r="T151" s="334"/>
      <c r="U151" s="348">
        <v>-39412385</v>
      </c>
      <c r="V151" s="348">
        <v>-132000</v>
      </c>
      <c r="W151" s="334">
        <v>-39544385</v>
      </c>
      <c r="AC151" s="334" t="e">
        <f t="shared" ca="1" si="38"/>
        <v>#NAME?</v>
      </c>
      <c r="AD151" s="348" t="e">
        <f t="shared" ca="1" si="39"/>
        <v>#NAME?</v>
      </c>
      <c r="AE151" s="348" t="e">
        <f t="shared" ca="1" si="40"/>
        <v>#NAME?</v>
      </c>
      <c r="AF151" s="334" t="e">
        <f t="shared" ca="1" si="41"/>
        <v>#NAME?</v>
      </c>
      <c r="AH151" s="334" t="e">
        <f t="shared" ca="1" si="42"/>
        <v>#NAME?</v>
      </c>
      <c r="AI151" s="348" t="e">
        <f t="shared" ca="1" si="43"/>
        <v>#NAME?</v>
      </c>
      <c r="AJ151" s="348" t="e">
        <f t="shared" ca="1" si="44"/>
        <v>#NAME?</v>
      </c>
      <c r="AK151" s="334" t="e">
        <f t="shared" ca="1" si="45"/>
        <v>#NAME?</v>
      </c>
    </row>
    <row r="152" spans="1:37" ht="26.25">
      <c r="B152" s="342"/>
      <c r="C152" s="416"/>
      <c r="D152" s="342"/>
      <c r="E152" s="342"/>
      <c r="F152" s="364"/>
      <c r="Q152" s="331" t="s">
        <v>1116</v>
      </c>
      <c r="R152" s="398" t="s">
        <v>1186</v>
      </c>
      <c r="S152" s="333">
        <f t="shared" si="47"/>
        <v>141</v>
      </c>
      <c r="T152" s="334">
        <v>-2381109</v>
      </c>
      <c r="U152" s="348">
        <v>-1902257</v>
      </c>
      <c r="V152" s="348">
        <v>-742600</v>
      </c>
      <c r="W152" s="334">
        <v>-5025966</v>
      </c>
      <c r="AC152" s="334" t="e">
        <f t="shared" ca="1" si="38"/>
        <v>#NAME?</v>
      </c>
      <c r="AD152" s="348" t="e">
        <f t="shared" ca="1" si="39"/>
        <v>#NAME?</v>
      </c>
      <c r="AE152" s="348" t="e">
        <f t="shared" ca="1" si="40"/>
        <v>#NAME?</v>
      </c>
      <c r="AF152" s="334" t="e">
        <f t="shared" ca="1" si="41"/>
        <v>#NAME?</v>
      </c>
      <c r="AH152" s="334" t="e">
        <f t="shared" ca="1" si="42"/>
        <v>#NAME?</v>
      </c>
      <c r="AI152" s="348" t="e">
        <f t="shared" ca="1" si="43"/>
        <v>#NAME?</v>
      </c>
      <c r="AJ152" s="348" t="e">
        <f t="shared" ca="1" si="44"/>
        <v>#NAME?</v>
      </c>
      <c r="AK152" s="334" t="e">
        <f t="shared" ca="1" si="45"/>
        <v>#NAME?</v>
      </c>
    </row>
    <row r="153" spans="1:37" ht="26.25">
      <c r="A153" s="311" t="s">
        <v>1113</v>
      </c>
      <c r="B153" s="342" t="s">
        <v>644</v>
      </c>
      <c r="C153" s="417"/>
      <c r="D153" s="342"/>
      <c r="E153" s="342"/>
      <c r="F153" s="364" t="s">
        <v>721</v>
      </c>
      <c r="Q153" s="331" t="s">
        <v>1117</v>
      </c>
      <c r="R153" s="398" t="s">
        <v>1191</v>
      </c>
      <c r="S153" s="333">
        <f t="shared" si="47"/>
        <v>142</v>
      </c>
      <c r="T153" s="334"/>
      <c r="U153" s="348"/>
      <c r="V153" s="348"/>
      <c r="W153" s="334"/>
      <c r="AC153" s="334" t="e">
        <f t="shared" ca="1" si="38"/>
        <v>#NAME?</v>
      </c>
      <c r="AD153" s="348" t="e">
        <f t="shared" ca="1" si="39"/>
        <v>#NAME?</v>
      </c>
      <c r="AE153" s="348" t="e">
        <f t="shared" ca="1" si="40"/>
        <v>#NAME?</v>
      </c>
      <c r="AF153" s="334" t="e">
        <f t="shared" ca="1" si="41"/>
        <v>#NAME?</v>
      </c>
      <c r="AH153" s="334" t="e">
        <f t="shared" ca="1" si="42"/>
        <v>#NAME?</v>
      </c>
      <c r="AI153" s="348" t="e">
        <f t="shared" ca="1" si="43"/>
        <v>#NAME?</v>
      </c>
      <c r="AJ153" s="348" t="e">
        <f t="shared" ca="1" si="44"/>
        <v>#NAME?</v>
      </c>
      <c r="AK153" s="334" t="e">
        <f t="shared" ca="1" si="45"/>
        <v>#NAME?</v>
      </c>
    </row>
    <row r="154" spans="1:37" ht="26.25">
      <c r="A154" s="311" t="s">
        <v>1113</v>
      </c>
      <c r="B154" s="342" t="s">
        <v>644</v>
      </c>
      <c r="C154" s="418"/>
      <c r="D154" s="342" t="s">
        <v>1118</v>
      </c>
      <c r="E154" s="342"/>
      <c r="F154" s="364" t="s">
        <v>721</v>
      </c>
      <c r="Q154" s="331" t="s">
        <v>1119</v>
      </c>
      <c r="R154" s="398" t="s">
        <v>1240</v>
      </c>
      <c r="S154" s="333">
        <f t="shared" si="47"/>
        <v>143</v>
      </c>
      <c r="T154" s="334"/>
      <c r="U154" s="348"/>
      <c r="V154" s="348"/>
      <c r="W154" s="334"/>
      <c r="AC154" s="334" t="e">
        <f t="shared" ca="1" si="38"/>
        <v>#NAME?</v>
      </c>
      <c r="AD154" s="348" t="e">
        <f t="shared" ca="1" si="39"/>
        <v>#NAME?</v>
      </c>
      <c r="AE154" s="348" t="e">
        <f t="shared" ca="1" si="40"/>
        <v>#NAME?</v>
      </c>
      <c r="AF154" s="334" t="e">
        <f t="shared" ca="1" si="41"/>
        <v>#NAME?</v>
      </c>
      <c r="AH154" s="334" t="e">
        <f t="shared" ca="1" si="42"/>
        <v>#NAME?</v>
      </c>
      <c r="AI154" s="348" t="e">
        <f t="shared" ca="1" si="43"/>
        <v>#NAME?</v>
      </c>
      <c r="AJ154" s="348" t="e">
        <f t="shared" ca="1" si="44"/>
        <v>#NAME?</v>
      </c>
      <c r="AK154" s="334" t="e">
        <f t="shared" ca="1" si="45"/>
        <v>#NAME?</v>
      </c>
    </row>
    <row r="155" spans="1:37" ht="26.25">
      <c r="A155" s="311" t="e">
        <f ca="1">"FLOW.ID=F_NONE AND INTCO.ID=I_T AND TIME.ID="&amp;PreviousPeriod</f>
        <v>#NAME?</v>
      </c>
      <c r="B155" s="342" t="s">
        <v>644</v>
      </c>
      <c r="C155" s="419" t="e">
        <f ca="1">SUM(EV_GET(EV_APP(),101000000,"F_CLO","I_T","M3_TOTAL","M4_TOTAL",EV_CVW(EV_APP(),"C_ENTITY"),EV_CVW(EV_APP(),"C_CATEGORY"),EV_CVW(EV_APP(),"C_DATATS"),"LC","NON_GROUP","YTD",PreviousPeriod),-EV_GET(EV_APP(),101000000,"F_OPE","I_T","M3_TOTAL","M4_TOTAL",EV_CVW(EV_APP(),"C_ENTITY"),EV_CVW(EV_APP(),"C_CATEGORY"),EV_CVW(EV_APP(),"C_DATATS"),"LC","NON_GROUP","YTD",PreviousPeriod),-EV_GET(EV_APP(),"ZF3500000","F_PL","TVSEGO","M3_NONE","M4_NONE",EV_CVW(EV_APP(),"C_ENTITY"),EV_CVW(EV_APP(),"C_CATEGORY"),EV_CVW(EV_APP(),"C_DATATS"),"LC","NON_GROUP","YTD",PreviousPeriod))</f>
        <v>#NAME?</v>
      </c>
      <c r="D155" s="342" t="s">
        <v>1120</v>
      </c>
      <c r="E155" s="342"/>
      <c r="F155" s="364" t="s">
        <v>721</v>
      </c>
      <c r="Q155" s="331" t="s">
        <v>1121</v>
      </c>
      <c r="R155" s="398" t="s">
        <v>1187</v>
      </c>
      <c r="S155" s="333">
        <f t="shared" si="47"/>
        <v>144</v>
      </c>
      <c r="T155" s="334"/>
      <c r="U155" s="348"/>
      <c r="V155" s="348"/>
      <c r="W155" s="334"/>
      <c r="AC155" s="334" t="e">
        <f t="shared" ca="1" si="38"/>
        <v>#NAME?</v>
      </c>
      <c r="AD155" s="348" t="e">
        <f t="shared" ca="1" si="39"/>
        <v>#NAME?</v>
      </c>
      <c r="AE155" s="348" t="e">
        <f t="shared" ca="1" si="40"/>
        <v>#NAME?</v>
      </c>
      <c r="AF155" s="334" t="e">
        <f t="shared" ca="1" si="41"/>
        <v>#NAME?</v>
      </c>
      <c r="AH155" s="334" t="e">
        <f t="shared" ca="1" si="42"/>
        <v>#NAME?</v>
      </c>
      <c r="AI155" s="348" t="e">
        <f t="shared" ca="1" si="43"/>
        <v>#NAME?</v>
      </c>
      <c r="AJ155" s="348" t="e">
        <f t="shared" ca="1" si="44"/>
        <v>#NAME?</v>
      </c>
      <c r="AK155" s="334" t="e">
        <f t="shared" ca="1" si="45"/>
        <v>#NAME?</v>
      </c>
    </row>
    <row r="156" spans="1:37" ht="26.25">
      <c r="A156" s="311" t="e">
        <f ca="1">"FLOW.ID=F_NONE AND INTCO.ID=I_T AND TIME.ID="&amp;EV_CVW(EV_APP(),"TIME")</f>
        <v>#NAME?</v>
      </c>
      <c r="B156" s="342" t="s">
        <v>644</v>
      </c>
      <c r="C156" s="419" t="e">
        <f ca="1">SUM(EV_GET(EV_APP(),101000000,"F_CLO","I_T","M3_TOTAL","M4_TOTAL",EV_CVW(EV_APP(),"C_ENTITY"),EV_CVW(EV_APP(),"C_CATEGORY"),EV_CVW(EV_APP(),"C_DATATS"),"LC","NON_GROUP","YTD",EV_CVW(EV_APP(),"TIME")),-EV_GET(EV_APP(),101000000,"F_OPE","I_T","M3_TOTAL","M4_TOTAL",EV_CVW(EV_APP(),"C_ENTITY"),EV_CVW(EV_APP(),"C_CATEGORY"),EV_CVW(EV_APP(),"C_DATATS"),"LC","NON_GROUP","YTD",EV_CVW(EV_APP(),"TIME")),-EV_GET(EV_APP(),"ZF3500000","F_PL","TVSEGO","M3_NONE","M4_NONE",EV_CVW(EV_APP(),"C_ENTITY"),EV_CVW(EV_APP(),"C_CATEGORY"),EV_CVW(EV_APP(),"C_DATATS"),"LC","NON_GROUP","YTD",EV_CVW(EV_APP(),"TIME")))</f>
        <v>#NAME?</v>
      </c>
      <c r="D156" s="342" t="s">
        <v>1120</v>
      </c>
      <c r="E156" s="342"/>
      <c r="F156" s="364" t="s">
        <v>721</v>
      </c>
      <c r="Q156" s="331" t="s">
        <v>1122</v>
      </c>
      <c r="R156" s="398" t="s">
        <v>1188</v>
      </c>
      <c r="S156" s="333">
        <f t="shared" si="47"/>
        <v>145</v>
      </c>
      <c r="T156" s="334"/>
      <c r="U156" s="348"/>
      <c r="V156" s="348"/>
      <c r="W156" s="334"/>
      <c r="AC156" s="334" t="e">
        <f t="shared" ca="1" si="38"/>
        <v>#NAME?</v>
      </c>
      <c r="AD156" s="348" t="e">
        <f t="shared" ca="1" si="39"/>
        <v>#NAME?</v>
      </c>
      <c r="AE156" s="348" t="e">
        <f t="shared" ca="1" si="40"/>
        <v>#NAME?</v>
      </c>
      <c r="AF156" s="334" t="e">
        <f t="shared" ca="1" si="41"/>
        <v>#NAME?</v>
      </c>
      <c r="AH156" s="334" t="e">
        <f t="shared" ca="1" si="42"/>
        <v>#NAME?</v>
      </c>
      <c r="AI156" s="348" t="e">
        <f t="shared" ca="1" si="43"/>
        <v>#NAME?</v>
      </c>
      <c r="AJ156" s="348" t="e">
        <f t="shared" ca="1" si="44"/>
        <v>#NAME?</v>
      </c>
      <c r="AK156" s="334" t="e">
        <f t="shared" ca="1" si="45"/>
        <v>#NAME?</v>
      </c>
    </row>
    <row r="157" spans="1:37" ht="25.5">
      <c r="C157" s="334"/>
      <c r="Q157" s="331" t="s">
        <v>1123</v>
      </c>
      <c r="R157" s="398" t="s">
        <v>1189</v>
      </c>
      <c r="S157" s="333">
        <f t="shared" si="47"/>
        <v>146</v>
      </c>
      <c r="T157" s="334"/>
      <c r="U157" s="348"/>
      <c r="V157" s="348"/>
      <c r="W157" s="334"/>
      <c r="AC157" s="334" t="e">
        <f t="shared" ca="1" si="38"/>
        <v>#NAME?</v>
      </c>
      <c r="AD157" s="348" t="e">
        <f t="shared" ca="1" si="39"/>
        <v>#NAME?</v>
      </c>
      <c r="AE157" s="348" t="e">
        <f t="shared" ca="1" si="40"/>
        <v>#NAME?</v>
      </c>
      <c r="AF157" s="334" t="e">
        <f t="shared" ca="1" si="41"/>
        <v>#NAME?</v>
      </c>
      <c r="AH157" s="334" t="e">
        <f t="shared" ca="1" si="42"/>
        <v>#NAME?</v>
      </c>
      <c r="AI157" s="348" t="e">
        <f t="shared" ca="1" si="43"/>
        <v>#NAME?</v>
      </c>
      <c r="AJ157" s="348" t="e">
        <f t="shared" ca="1" si="44"/>
        <v>#NAME?</v>
      </c>
      <c r="AK157" s="334" t="e">
        <f t="shared" ca="1" si="45"/>
        <v>#NAME?</v>
      </c>
    </row>
    <row r="158" spans="1:37" ht="25.5">
      <c r="Q158" s="331" t="s">
        <v>1124</v>
      </c>
      <c r="R158" s="398" t="s">
        <v>1190</v>
      </c>
      <c r="S158" s="333">
        <f t="shared" si="47"/>
        <v>147</v>
      </c>
      <c r="T158" s="334"/>
      <c r="U158" s="348"/>
      <c r="V158" s="348"/>
      <c r="W158" s="334"/>
      <c r="AC158" s="334" t="e">
        <f t="shared" ca="1" si="38"/>
        <v>#NAME?</v>
      </c>
      <c r="AD158" s="348" t="e">
        <f t="shared" ca="1" si="39"/>
        <v>#NAME?</v>
      </c>
      <c r="AE158" s="348" t="e">
        <f t="shared" ca="1" si="40"/>
        <v>#NAME?</v>
      </c>
      <c r="AF158" s="334" t="e">
        <f t="shared" ca="1" si="41"/>
        <v>#NAME?</v>
      </c>
      <c r="AH158" s="334" t="e">
        <f t="shared" ca="1" si="42"/>
        <v>#NAME?</v>
      </c>
      <c r="AI158" s="348" t="e">
        <f t="shared" ca="1" si="43"/>
        <v>#NAME?</v>
      </c>
      <c r="AJ158" s="348" t="e">
        <f t="shared" ca="1" si="44"/>
        <v>#NAME?</v>
      </c>
      <c r="AK158" s="334" t="e">
        <f t="shared" ca="1" si="45"/>
        <v>#NAME?</v>
      </c>
    </row>
    <row r="159" spans="1:37" ht="15">
      <c r="Q159" s="331" t="s">
        <v>1125</v>
      </c>
      <c r="R159" s="399" t="s">
        <v>1241</v>
      </c>
      <c r="S159" s="381">
        <f t="shared" si="47"/>
        <v>148</v>
      </c>
      <c r="T159" s="350">
        <v>-4781073</v>
      </c>
      <c r="U159" s="350">
        <v>-121461</v>
      </c>
      <c r="V159" s="350">
        <v>-84</v>
      </c>
      <c r="W159" s="350">
        <v>-4902618</v>
      </c>
      <c r="AC159" s="350" t="e">
        <f t="shared" ca="1" si="38"/>
        <v>#NAME?</v>
      </c>
      <c r="AD159" s="350" t="e">
        <f t="shared" ca="1" si="39"/>
        <v>#NAME?</v>
      </c>
      <c r="AE159" s="350" t="e">
        <f t="shared" ca="1" si="40"/>
        <v>#NAME?</v>
      </c>
      <c r="AF159" s="350" t="e">
        <f t="shared" ca="1" si="41"/>
        <v>#NAME?</v>
      </c>
      <c r="AH159" s="350" t="e">
        <f t="shared" ca="1" si="42"/>
        <v>#NAME?</v>
      </c>
      <c r="AI159" s="350" t="e">
        <f t="shared" ca="1" si="43"/>
        <v>#NAME?</v>
      </c>
      <c r="AJ159" s="350" t="e">
        <f t="shared" ca="1" si="44"/>
        <v>#NAME?</v>
      </c>
      <c r="AK159" s="350" t="e">
        <f t="shared" ca="1" si="45"/>
        <v>#NAME?</v>
      </c>
    </row>
    <row r="160" spans="1:37" ht="25.5">
      <c r="Q160" s="331" t="s">
        <v>1126</v>
      </c>
      <c r="R160" s="400" t="s">
        <v>1242</v>
      </c>
      <c r="S160" s="333">
        <f t="shared" si="47"/>
        <v>149</v>
      </c>
      <c r="T160" s="334">
        <v>-4781073</v>
      </c>
      <c r="U160" s="348"/>
      <c r="V160" s="348"/>
      <c r="W160" s="334">
        <v>-4781073</v>
      </c>
      <c r="AC160" s="334" t="e">
        <f t="shared" ca="1" si="38"/>
        <v>#NAME?</v>
      </c>
      <c r="AD160" s="348" t="e">
        <f t="shared" ca="1" si="39"/>
        <v>#NAME?</v>
      </c>
      <c r="AE160" s="348" t="e">
        <f t="shared" ca="1" si="40"/>
        <v>#NAME?</v>
      </c>
      <c r="AF160" s="334" t="e">
        <f t="shared" ca="1" si="41"/>
        <v>#NAME?</v>
      </c>
      <c r="AH160" s="334" t="e">
        <f t="shared" ca="1" si="42"/>
        <v>#NAME?</v>
      </c>
      <c r="AI160" s="348" t="e">
        <f t="shared" ca="1" si="43"/>
        <v>#NAME?</v>
      </c>
      <c r="AJ160" s="348" t="e">
        <f t="shared" ca="1" si="44"/>
        <v>#NAME?</v>
      </c>
      <c r="AK160" s="334" t="e">
        <f t="shared" ca="1" si="45"/>
        <v>#NAME?</v>
      </c>
    </row>
    <row r="161" spans="1:37" ht="25.5">
      <c r="Q161" s="331" t="s">
        <v>1127</v>
      </c>
      <c r="R161" s="400" t="s">
        <v>1243</v>
      </c>
      <c r="S161" s="333">
        <f t="shared" si="47"/>
        <v>150</v>
      </c>
      <c r="T161" s="334"/>
      <c r="U161" s="348">
        <v>-121461</v>
      </c>
      <c r="V161" s="348">
        <v>-84</v>
      </c>
      <c r="W161" s="334">
        <v>-121545</v>
      </c>
      <c r="AC161" s="334" t="e">
        <f t="shared" ca="1" si="38"/>
        <v>#NAME?</v>
      </c>
      <c r="AD161" s="348" t="e">
        <f t="shared" ca="1" si="39"/>
        <v>#NAME?</v>
      </c>
      <c r="AE161" s="348" t="e">
        <f t="shared" ca="1" si="40"/>
        <v>#NAME?</v>
      </c>
      <c r="AF161" s="334" t="e">
        <f t="shared" ca="1" si="41"/>
        <v>#NAME?</v>
      </c>
      <c r="AH161" s="334" t="e">
        <f t="shared" ca="1" si="42"/>
        <v>#NAME?</v>
      </c>
      <c r="AI161" s="348" t="e">
        <f t="shared" ca="1" si="43"/>
        <v>#NAME?</v>
      </c>
      <c r="AJ161" s="348" t="e">
        <f t="shared" ca="1" si="44"/>
        <v>#NAME?</v>
      </c>
      <c r="AK161" s="334" t="e">
        <f t="shared" ca="1" si="45"/>
        <v>#NAME?</v>
      </c>
    </row>
    <row r="162" spans="1:37" ht="15">
      <c r="Q162" s="331" t="s">
        <v>1128</v>
      </c>
      <c r="R162" s="399" t="s">
        <v>1227</v>
      </c>
      <c r="S162" s="381">
        <f t="shared" si="47"/>
        <v>151</v>
      </c>
      <c r="T162" s="350"/>
      <c r="U162" s="350"/>
      <c r="V162" s="350"/>
      <c r="W162" s="350"/>
      <c r="AC162" s="350" t="e">
        <f t="shared" ca="1" si="38"/>
        <v>#NAME?</v>
      </c>
      <c r="AD162" s="350" t="e">
        <f t="shared" ca="1" si="39"/>
        <v>#NAME?</v>
      </c>
      <c r="AE162" s="350" t="e">
        <f t="shared" ca="1" si="40"/>
        <v>#NAME?</v>
      </c>
      <c r="AF162" s="350" t="e">
        <f t="shared" ca="1" si="41"/>
        <v>#NAME?</v>
      </c>
      <c r="AH162" s="350" t="e">
        <f t="shared" ca="1" si="42"/>
        <v>#NAME?</v>
      </c>
      <c r="AI162" s="350" t="e">
        <f t="shared" ca="1" si="43"/>
        <v>#NAME?</v>
      </c>
      <c r="AJ162" s="350" t="e">
        <f t="shared" ca="1" si="44"/>
        <v>#NAME?</v>
      </c>
      <c r="AK162" s="350" t="e">
        <f t="shared" ca="1" si="45"/>
        <v>#NAME?</v>
      </c>
    </row>
    <row r="163" spans="1:37">
      <c r="Q163" s="331" t="s">
        <v>1129</v>
      </c>
      <c r="R163" s="400" t="s">
        <v>1244</v>
      </c>
      <c r="S163" s="333">
        <f t="shared" si="47"/>
        <v>152</v>
      </c>
      <c r="T163" s="334"/>
      <c r="U163" s="348"/>
      <c r="V163" s="348"/>
      <c r="W163" s="334"/>
      <c r="AC163" s="334" t="e">
        <f t="shared" ca="1" si="38"/>
        <v>#NAME?</v>
      </c>
      <c r="AD163" s="348" t="e">
        <f t="shared" ca="1" si="39"/>
        <v>#NAME?</v>
      </c>
      <c r="AE163" s="348" t="e">
        <f t="shared" ca="1" si="40"/>
        <v>#NAME?</v>
      </c>
      <c r="AF163" s="334" t="e">
        <f t="shared" ca="1" si="41"/>
        <v>#NAME?</v>
      </c>
      <c r="AH163" s="334" t="e">
        <f t="shared" ca="1" si="42"/>
        <v>#NAME?</v>
      </c>
      <c r="AI163" s="348" t="e">
        <f t="shared" ca="1" si="43"/>
        <v>#NAME?</v>
      </c>
      <c r="AJ163" s="348" t="e">
        <f t="shared" ca="1" si="44"/>
        <v>#NAME?</v>
      </c>
      <c r="AK163" s="334" t="e">
        <f t="shared" ca="1" si="45"/>
        <v>#NAME?</v>
      </c>
    </row>
    <row r="164" spans="1:37" ht="15">
      <c r="A164" s="313" t="s">
        <v>659</v>
      </c>
      <c r="B164" s="314" t="s">
        <v>660</v>
      </c>
      <c r="Q164" s="331" t="s">
        <v>1130</v>
      </c>
      <c r="R164" s="400" t="s">
        <v>1245</v>
      </c>
      <c r="S164" s="333">
        <f t="shared" si="47"/>
        <v>153</v>
      </c>
      <c r="T164" s="334"/>
      <c r="U164" s="348"/>
      <c r="V164" s="348"/>
      <c r="W164" s="334"/>
      <c r="AC164" s="334" t="e">
        <f t="shared" ca="1" si="38"/>
        <v>#NAME?</v>
      </c>
      <c r="AD164" s="348" t="e">
        <f t="shared" ca="1" si="39"/>
        <v>#NAME?</v>
      </c>
      <c r="AE164" s="348" t="e">
        <f t="shared" ca="1" si="40"/>
        <v>#NAME?</v>
      </c>
      <c r="AF164" s="334" t="e">
        <f t="shared" ca="1" si="41"/>
        <v>#NAME?</v>
      </c>
      <c r="AH164" s="334" t="e">
        <f t="shared" ca="1" si="42"/>
        <v>#NAME?</v>
      </c>
      <c r="AI164" s="348" t="e">
        <f t="shared" ca="1" si="43"/>
        <v>#NAME?</v>
      </c>
      <c r="AJ164" s="348" t="e">
        <f t="shared" ca="1" si="44"/>
        <v>#NAME?</v>
      </c>
      <c r="AK164" s="334" t="e">
        <f t="shared" ca="1" si="45"/>
        <v>#NAME?</v>
      </c>
    </row>
    <row r="165" spans="1:37" ht="15">
      <c r="A165" s="316" t="s">
        <v>664</v>
      </c>
      <c r="B165" s="317"/>
      <c r="Q165" s="331" t="s">
        <v>1131</v>
      </c>
      <c r="R165" s="398" t="s">
        <v>1227</v>
      </c>
      <c r="S165" s="333">
        <f t="shared" si="47"/>
        <v>154</v>
      </c>
      <c r="T165" s="334"/>
      <c r="U165" s="348">
        <v>-3500</v>
      </c>
      <c r="V165" s="348"/>
      <c r="W165" s="334">
        <v>-3500</v>
      </c>
      <c r="AC165" s="334" t="e">
        <f t="shared" ca="1" si="38"/>
        <v>#NAME?</v>
      </c>
      <c r="AD165" s="348" t="e">
        <f t="shared" ca="1" si="39"/>
        <v>#NAME?</v>
      </c>
      <c r="AE165" s="348" t="e">
        <f t="shared" ca="1" si="40"/>
        <v>#NAME?</v>
      </c>
      <c r="AF165" s="334" t="e">
        <f t="shared" ca="1" si="41"/>
        <v>#NAME?</v>
      </c>
      <c r="AH165" s="334" t="e">
        <f t="shared" ca="1" si="42"/>
        <v>#NAME?</v>
      </c>
      <c r="AI165" s="348" t="e">
        <f t="shared" ca="1" si="43"/>
        <v>#NAME?</v>
      </c>
      <c r="AJ165" s="348" t="e">
        <f t="shared" ca="1" si="44"/>
        <v>#NAME?</v>
      </c>
      <c r="AK165" s="334" t="e">
        <f t="shared" ca="1" si="45"/>
        <v>#NAME?</v>
      </c>
    </row>
    <row r="166" spans="1:37" ht="26.25">
      <c r="A166" s="316" t="s">
        <v>666</v>
      </c>
      <c r="B166" s="317"/>
      <c r="Q166" s="331" t="s">
        <v>1132</v>
      </c>
      <c r="R166" s="420" t="s">
        <v>1246</v>
      </c>
      <c r="S166" s="333">
        <f t="shared" si="47"/>
        <v>155</v>
      </c>
      <c r="T166" s="334"/>
      <c r="U166" s="348">
        <v>155460</v>
      </c>
      <c r="V166" s="348"/>
      <c r="W166" s="334">
        <v>155460</v>
      </c>
      <c r="AC166" s="334" t="e">
        <f t="shared" ca="1" si="38"/>
        <v>#NAME?</v>
      </c>
      <c r="AD166" s="348" t="e">
        <f t="shared" ca="1" si="39"/>
        <v>#NAME?</v>
      </c>
      <c r="AE166" s="348" t="e">
        <f t="shared" ca="1" si="40"/>
        <v>#NAME?</v>
      </c>
      <c r="AF166" s="334" t="e">
        <f t="shared" ca="1" si="41"/>
        <v>#NAME?</v>
      </c>
      <c r="AH166" s="334" t="e">
        <f t="shared" ca="1" si="42"/>
        <v>#NAME?</v>
      </c>
      <c r="AI166" s="348" t="e">
        <f t="shared" ca="1" si="43"/>
        <v>#NAME?</v>
      </c>
      <c r="AJ166" s="348" t="e">
        <f t="shared" ca="1" si="44"/>
        <v>#NAME?</v>
      </c>
      <c r="AK166" s="334" t="e">
        <f t="shared" ca="1" si="45"/>
        <v>#NAME?</v>
      </c>
    </row>
    <row r="167" spans="1:37" ht="15">
      <c r="A167" s="316" t="s">
        <v>667</v>
      </c>
      <c r="B167" s="317"/>
      <c r="S167" s="333">
        <f>IF(Q167&lt;&gt;"",IF(S166="№ Строки",1,S166+1),S166)</f>
        <v>155</v>
      </c>
      <c r="T167" s="324" t="s">
        <v>619</v>
      </c>
      <c r="U167" s="324" t="s">
        <v>961</v>
      </c>
      <c r="V167" s="324" t="s">
        <v>962</v>
      </c>
      <c r="W167" s="324" t="s">
        <v>621</v>
      </c>
      <c r="AC167" s="324" t="s">
        <v>619</v>
      </c>
      <c r="AD167" s="324" t="s">
        <v>961</v>
      </c>
      <c r="AE167" s="324" t="s">
        <v>962</v>
      </c>
      <c r="AF167" s="324" t="s">
        <v>621</v>
      </c>
      <c r="AH167" s="324" t="s">
        <v>619</v>
      </c>
      <c r="AI167" s="324" t="s">
        <v>961</v>
      </c>
      <c r="AJ167" s="324" t="s">
        <v>962</v>
      </c>
      <c r="AK167" s="324" t="s">
        <v>621</v>
      </c>
    </row>
    <row r="168" spans="1:37" ht="15">
      <c r="A168" s="316" t="s">
        <v>668</v>
      </c>
      <c r="B168" s="317"/>
      <c r="S168" s="333">
        <f>IF(Q168&lt;&gt;"",IF(S167="№ Строки",1,S167+1),S167)</f>
        <v>155</v>
      </c>
      <c r="T168" s="324" t="s">
        <v>629</v>
      </c>
      <c r="U168" s="324" t="s">
        <v>629</v>
      </c>
      <c r="V168" s="324" t="s">
        <v>629</v>
      </c>
      <c r="W168" s="324" t="s">
        <v>629</v>
      </c>
      <c r="AC168" s="324" t="s">
        <v>629</v>
      </c>
      <c r="AD168" s="324" t="s">
        <v>629</v>
      </c>
      <c r="AE168" s="324" t="s">
        <v>629</v>
      </c>
      <c r="AF168" s="324" t="s">
        <v>629</v>
      </c>
      <c r="AH168" s="324" t="s">
        <v>964</v>
      </c>
      <c r="AI168" s="324" t="s">
        <v>964</v>
      </c>
      <c r="AJ168" s="324" t="s">
        <v>964</v>
      </c>
      <c r="AK168" s="324" t="s">
        <v>964</v>
      </c>
    </row>
    <row r="169" spans="1:37" ht="15">
      <c r="A169" s="316" t="s">
        <v>669</v>
      </c>
      <c r="B169" s="317" t="s">
        <v>670</v>
      </c>
      <c r="Q169" s="331" t="s">
        <v>1133</v>
      </c>
      <c r="R169" s="415" t="s">
        <v>1247</v>
      </c>
      <c r="S169" s="421">
        <f>IF(Q169&lt;&gt;"F_NONE",IF(S168="№ Строки",1,S168+1),"")</f>
        <v>156</v>
      </c>
      <c r="T169" s="414">
        <v>33253</v>
      </c>
      <c r="U169" s="414"/>
      <c r="V169" s="414"/>
      <c r="W169" s="334">
        <v>20592055</v>
      </c>
      <c r="AC169" s="414">
        <v>33253</v>
      </c>
      <c r="AD169" s="414"/>
      <c r="AE169" s="414"/>
      <c r="AF169" s="334">
        <v>20592055</v>
      </c>
      <c r="AH169" s="414"/>
      <c r="AI169" s="414"/>
      <c r="AJ169" s="414"/>
      <c r="AK169" s="414"/>
    </row>
    <row r="170" spans="1:37" ht="15">
      <c r="A170" s="316" t="s">
        <v>671</v>
      </c>
      <c r="B170" s="317" t="s">
        <v>670</v>
      </c>
      <c r="Q170" s="331" t="s">
        <v>625</v>
      </c>
      <c r="R170" s="415" t="s">
        <v>1248</v>
      </c>
      <c r="S170" s="421">
        <f t="shared" ref="S170:S171" si="48">IF(Q170&lt;&gt;"F_NONE",IF(S169="№ Строки",1,S169+1),"")</f>
        <v>157</v>
      </c>
      <c r="T170" s="414">
        <v>39595</v>
      </c>
      <c r="U170" s="414"/>
      <c r="V170" s="414"/>
      <c r="W170" s="334">
        <v>10730649</v>
      </c>
      <c r="AC170" s="414">
        <v>39595</v>
      </c>
      <c r="AD170" s="414"/>
      <c r="AE170" s="414"/>
      <c r="AF170" s="334">
        <v>10730649</v>
      </c>
      <c r="AH170" s="414"/>
      <c r="AI170" s="414"/>
      <c r="AJ170" s="414"/>
      <c r="AK170" s="414"/>
    </row>
    <row r="171" spans="1:37" ht="15">
      <c r="A171" s="316" t="s">
        <v>672</v>
      </c>
      <c r="B171" s="317"/>
      <c r="Q171" s="331" t="s">
        <v>617</v>
      </c>
      <c r="R171" s="416" t="str">
        <f>IF(Q171&lt;&gt;"F_NONE","Денежные средства и их эквиваленты "&amp;LOWER(EV_DES(Q171, EV_APP())),"Контроль")</f>
        <v>Контроль</v>
      </c>
      <c r="S171" s="422" t="str">
        <f t="shared" si="48"/>
        <v/>
      </c>
      <c r="T171" s="417"/>
      <c r="U171" s="417"/>
      <c r="V171" s="417"/>
      <c r="W171" s="417" t="e">
        <f ca="1">SUM(EV_GET(EV_APP(),101000000,"F_CLO","I_T","M3_TOTAL","M4_TOTAL",EV_CVW(EV_APP(),"C_ENTITY"),EV_CVW(EV_APP(),"C_CATEGORY"),EV_CVW(EV_APP(),"C_DATATS"),"LC","NON_GROUP","YTD",EV_CVW(EV_APP(),"TIME")),-EV_GET(EV_APP(),101000000,"F_OPE","I_T","M3_TOTAL","M4_TOTAL",EV_CVW(EV_APP(),"C_ENTITY"),EV_CVW(EV_APP(),"C_CATEGORY"),EV_CVW(EV_APP(),"C_DATATS"),"LC","NON_GROUP","YTD",EV_CVW(EV_APP(),"TIME")),-EV_GET(EV_APP(),"ZF3500000","F_PL","TVSEGO","M3_NONE","M4_NONE",EV_CVW(EV_APP(),"C_ENTITY"),EV_CVW(EV_APP(),"C_CATEGORY"),EV_CVW(EV_APP(),"C_DATATS"),"LC","NON_GROUP","YTD",EV_CVW(EV_APP(),"TIME")))</f>
        <v>#NAME?</v>
      </c>
      <c r="AC171" s="417"/>
      <c r="AD171" s="417"/>
      <c r="AE171" s="417"/>
      <c r="AF171" s="417" t="e">
        <f ca="1">SUM(EV_GET(EV_APP(),101000000,"F_CLO","I_T","M3_TOTAL","M4_TOTAL",EV_CVW(EV_APP(),"C_ENTITY"),EV_CVW(EV_APP(),"C_CATEGORY"),EV_CVW(EV_APP(),"C_DATATS"),"LC","NON_GROUP","YTD",EV_CVW(EV_APP(),"TIME")),-EV_GET(EV_APP(),101000000,"F_OPE","I_T","M3_TOTAL","M4_TOTAL",EV_CVW(EV_APP(),"C_ENTITY"),EV_CVW(EV_APP(),"C_CATEGORY"),EV_CVW(EV_APP(),"C_DATATS"),"LC","NON_GROUP","YTD",EV_CVW(EV_APP(),"TIME")),-EV_GET(EV_APP(),"ZF3500000","F_PL","TVSEGO","M3_NONE","M4_NONE",EV_CVW(EV_APP(),"C_ENTITY"),EV_CVW(EV_APP(),"C_CATEGORY"),EV_CVW(EV_APP(),"C_DATATS"),"LC","NON_GROUP","YTD",EV_CVW(EV_APP(),"TIME")))</f>
        <v>#NAME?</v>
      </c>
      <c r="AH171" s="334"/>
      <c r="AI171" s="334"/>
      <c r="AJ171" s="334"/>
      <c r="AK171" s="334"/>
    </row>
    <row r="172" spans="1:37" ht="15">
      <c r="A172" s="316" t="s">
        <v>673</v>
      </c>
      <c r="B172" s="317" t="s">
        <v>670</v>
      </c>
    </row>
    <row r="173" spans="1:37" ht="15.75">
      <c r="A173" s="316" t="s">
        <v>675</v>
      </c>
      <c r="B173" s="317"/>
      <c r="R173" s="423" t="s">
        <v>699</v>
      </c>
      <c r="W173" s="424"/>
    </row>
    <row r="174" spans="1:37" ht="15.75">
      <c r="A174" s="316" t="s">
        <v>676</v>
      </c>
      <c r="B174" s="317"/>
      <c r="R174" s="423" t="s">
        <v>701</v>
      </c>
    </row>
    <row r="175" spans="1:37" ht="15">
      <c r="A175" s="316" t="s">
        <v>677</v>
      </c>
      <c r="B175" s="317"/>
    </row>
    <row r="176" spans="1:37" ht="15">
      <c r="A176" s="316" t="s">
        <v>678</v>
      </c>
      <c r="B176" s="317"/>
    </row>
    <row r="177" spans="1:2" s="310" customFormat="1" ht="15">
      <c r="A177" s="316" t="s">
        <v>679</v>
      </c>
      <c r="B177" s="317"/>
    </row>
    <row r="178" spans="1:2" s="310" customFormat="1" ht="15">
      <c r="A178" s="316" t="s">
        <v>680</v>
      </c>
      <c r="B178" s="317"/>
    </row>
    <row r="179" spans="1:2" s="310" customFormat="1" ht="15">
      <c r="A179" s="316" t="s">
        <v>681</v>
      </c>
      <c r="B179" s="317"/>
    </row>
    <row r="180" spans="1:2" s="310" customFormat="1" ht="15">
      <c r="A180" s="316" t="s">
        <v>682</v>
      </c>
      <c r="B180" s="317"/>
    </row>
    <row r="181" spans="1:2" s="310" customFormat="1" ht="15">
      <c r="A181" s="316" t="s">
        <v>683</v>
      </c>
      <c r="B181" s="317"/>
    </row>
    <row r="208" spans="1:2" s="310" customFormat="1">
      <c r="A208"/>
      <c r="B208" t="s">
        <v>619</v>
      </c>
    </row>
    <row r="209" spans="1:2" s="310" customFormat="1">
      <c r="A209"/>
      <c r="B209"/>
    </row>
    <row r="210" spans="1:2" s="310" customFormat="1">
      <c r="A210" s="311"/>
      <c r="B210" s="319" t="e">
        <f ca="1">EV_EXP("LEGAL",B208,B212:B268,A212:A268,TRUE,"EVALL",,,)</f>
        <v>#NAME?</v>
      </c>
    </row>
    <row r="211" spans="1:2" s="310" customFormat="1">
      <c r="A211" s="393" t="s">
        <v>901</v>
      </c>
      <c r="B211" s="393" t="s">
        <v>902</v>
      </c>
    </row>
    <row r="212" spans="1:2" s="310" customFormat="1">
      <c r="A212" s="394" t="e">
        <f t="shared" ref="A212:A243" ca="1" si="49">IF(EV_DES(B212,$I$2)="#NODATA","",EV_DES(B212,$I$2))</f>
        <v>#NAME?</v>
      </c>
      <c r="B212" s="395" t="s">
        <v>903</v>
      </c>
    </row>
    <row r="213" spans="1:2" s="310" customFormat="1">
      <c r="A213" s="394" t="e">
        <f t="shared" ca="1" si="49"/>
        <v>#NAME?</v>
      </c>
      <c r="B213" s="395" t="s">
        <v>904</v>
      </c>
    </row>
    <row r="214" spans="1:2" s="310" customFormat="1">
      <c r="A214" s="394" t="e">
        <f t="shared" ca="1" si="49"/>
        <v>#NAME?</v>
      </c>
      <c r="B214" s="395" t="s">
        <v>905</v>
      </c>
    </row>
    <row r="215" spans="1:2" s="310" customFormat="1">
      <c r="A215" s="394" t="e">
        <f t="shared" ca="1" si="49"/>
        <v>#NAME?</v>
      </c>
      <c r="B215" s="395" t="s">
        <v>906</v>
      </c>
    </row>
    <row r="216" spans="1:2" s="310" customFormat="1">
      <c r="A216" s="394" t="e">
        <f t="shared" ca="1" si="49"/>
        <v>#NAME?</v>
      </c>
      <c r="B216" s="395" t="s">
        <v>907</v>
      </c>
    </row>
    <row r="217" spans="1:2" s="310" customFormat="1">
      <c r="A217" s="394" t="e">
        <f t="shared" ca="1" si="49"/>
        <v>#NAME?</v>
      </c>
      <c r="B217" s="395" t="s">
        <v>908</v>
      </c>
    </row>
    <row r="218" spans="1:2" s="310" customFormat="1">
      <c r="A218" s="394" t="e">
        <f t="shared" ca="1" si="49"/>
        <v>#NAME?</v>
      </c>
      <c r="B218" s="395" t="s">
        <v>909</v>
      </c>
    </row>
    <row r="219" spans="1:2" s="310" customFormat="1">
      <c r="A219" s="394" t="e">
        <f t="shared" ca="1" si="49"/>
        <v>#NAME?</v>
      </c>
      <c r="B219" s="395" t="s">
        <v>910</v>
      </c>
    </row>
    <row r="220" spans="1:2" s="310" customFormat="1">
      <c r="A220" s="394" t="e">
        <f t="shared" ca="1" si="49"/>
        <v>#NAME?</v>
      </c>
      <c r="B220" s="395" t="s">
        <v>911</v>
      </c>
    </row>
    <row r="221" spans="1:2" s="310" customFormat="1">
      <c r="A221" s="394" t="e">
        <f t="shared" ca="1" si="49"/>
        <v>#NAME?</v>
      </c>
      <c r="B221" s="395" t="s">
        <v>912</v>
      </c>
    </row>
    <row r="222" spans="1:2" s="310" customFormat="1">
      <c r="A222" s="394" t="e">
        <f t="shared" ca="1" si="49"/>
        <v>#NAME?</v>
      </c>
      <c r="B222" s="395" t="s">
        <v>913</v>
      </c>
    </row>
    <row r="223" spans="1:2" s="310" customFormat="1">
      <c r="A223" s="394" t="e">
        <f t="shared" ca="1" si="49"/>
        <v>#NAME?</v>
      </c>
      <c r="B223" s="395" t="s">
        <v>914</v>
      </c>
    </row>
    <row r="224" spans="1:2" s="310" customFormat="1">
      <c r="A224" s="394" t="e">
        <f t="shared" ca="1" si="49"/>
        <v>#NAME?</v>
      </c>
      <c r="B224" s="395" t="s">
        <v>915</v>
      </c>
    </row>
    <row r="225" spans="1:2" s="310" customFormat="1">
      <c r="A225" s="394" t="e">
        <f t="shared" ca="1" si="49"/>
        <v>#NAME?</v>
      </c>
      <c r="B225" s="395" t="s">
        <v>916</v>
      </c>
    </row>
    <row r="226" spans="1:2" s="310" customFormat="1">
      <c r="A226" s="394" t="e">
        <f t="shared" ca="1" si="49"/>
        <v>#NAME?</v>
      </c>
      <c r="B226" s="395" t="s">
        <v>917</v>
      </c>
    </row>
    <row r="227" spans="1:2" s="310" customFormat="1">
      <c r="A227" s="394" t="e">
        <f t="shared" ca="1" si="49"/>
        <v>#NAME?</v>
      </c>
      <c r="B227" s="395" t="s">
        <v>918</v>
      </c>
    </row>
    <row r="228" spans="1:2" s="310" customFormat="1">
      <c r="A228" s="394" t="e">
        <f t="shared" ca="1" si="49"/>
        <v>#NAME?</v>
      </c>
      <c r="B228" s="395" t="s">
        <v>919</v>
      </c>
    </row>
    <row r="229" spans="1:2" s="310" customFormat="1">
      <c r="A229" s="394" t="e">
        <f t="shared" ca="1" si="49"/>
        <v>#NAME?</v>
      </c>
      <c r="B229" s="395" t="s">
        <v>920</v>
      </c>
    </row>
    <row r="230" spans="1:2" s="310" customFormat="1">
      <c r="A230" s="394" t="e">
        <f t="shared" ca="1" si="49"/>
        <v>#NAME?</v>
      </c>
      <c r="B230" s="395" t="s">
        <v>921</v>
      </c>
    </row>
    <row r="231" spans="1:2" s="310" customFormat="1">
      <c r="A231" s="394" t="e">
        <f t="shared" ca="1" si="49"/>
        <v>#NAME?</v>
      </c>
      <c r="B231" s="395" t="s">
        <v>922</v>
      </c>
    </row>
    <row r="232" spans="1:2" s="310" customFormat="1">
      <c r="A232" s="394" t="e">
        <f t="shared" ca="1" si="49"/>
        <v>#NAME?</v>
      </c>
      <c r="B232" s="395" t="s">
        <v>923</v>
      </c>
    </row>
    <row r="233" spans="1:2" s="310" customFormat="1">
      <c r="A233" s="394" t="e">
        <f t="shared" ca="1" si="49"/>
        <v>#NAME?</v>
      </c>
      <c r="B233" s="395" t="s">
        <v>924</v>
      </c>
    </row>
    <row r="234" spans="1:2" s="310" customFormat="1">
      <c r="A234" s="394" t="e">
        <f t="shared" ca="1" si="49"/>
        <v>#NAME?</v>
      </c>
      <c r="B234" s="395" t="s">
        <v>925</v>
      </c>
    </row>
    <row r="235" spans="1:2" s="310" customFormat="1">
      <c r="A235" s="394" t="e">
        <f t="shared" ca="1" si="49"/>
        <v>#NAME?</v>
      </c>
      <c r="B235" s="395" t="s">
        <v>926</v>
      </c>
    </row>
    <row r="236" spans="1:2" s="310" customFormat="1">
      <c r="A236" s="394" t="e">
        <f t="shared" ca="1" si="49"/>
        <v>#NAME?</v>
      </c>
      <c r="B236" s="395" t="s">
        <v>927</v>
      </c>
    </row>
    <row r="237" spans="1:2" s="310" customFormat="1">
      <c r="A237" s="394" t="e">
        <f t="shared" ca="1" si="49"/>
        <v>#NAME?</v>
      </c>
      <c r="B237" s="395" t="s">
        <v>928</v>
      </c>
    </row>
    <row r="238" spans="1:2" s="310" customFormat="1">
      <c r="A238" s="394" t="e">
        <f t="shared" ca="1" si="49"/>
        <v>#NAME?</v>
      </c>
      <c r="B238" s="395" t="s">
        <v>929</v>
      </c>
    </row>
    <row r="239" spans="1:2" s="310" customFormat="1">
      <c r="A239" s="394" t="e">
        <f t="shared" ca="1" si="49"/>
        <v>#NAME?</v>
      </c>
      <c r="B239" s="395" t="s">
        <v>930</v>
      </c>
    </row>
    <row r="240" spans="1:2" s="310" customFormat="1">
      <c r="A240" s="394" t="e">
        <f t="shared" ca="1" si="49"/>
        <v>#NAME?</v>
      </c>
      <c r="B240" s="395" t="s">
        <v>931</v>
      </c>
    </row>
    <row r="241" spans="1:2" s="310" customFormat="1">
      <c r="A241" s="394" t="e">
        <f t="shared" ca="1" si="49"/>
        <v>#NAME?</v>
      </c>
      <c r="B241" s="395" t="s">
        <v>932</v>
      </c>
    </row>
    <row r="242" spans="1:2" s="310" customFormat="1">
      <c r="A242" s="394" t="e">
        <f t="shared" ca="1" si="49"/>
        <v>#NAME?</v>
      </c>
      <c r="B242" s="395" t="s">
        <v>933</v>
      </c>
    </row>
    <row r="243" spans="1:2" s="310" customFormat="1">
      <c r="A243" s="394" t="e">
        <f t="shared" ca="1" si="49"/>
        <v>#NAME?</v>
      </c>
      <c r="B243" s="395" t="s">
        <v>934</v>
      </c>
    </row>
    <row r="244" spans="1:2" s="310" customFormat="1">
      <c r="A244" s="394" t="e">
        <f t="shared" ref="A244:A268" ca="1" si="50">IF(EV_DES(B244,$I$2)="#NODATA","",EV_DES(B244,$I$2))</f>
        <v>#NAME?</v>
      </c>
      <c r="B244" s="395" t="s">
        <v>935</v>
      </c>
    </row>
    <row r="245" spans="1:2" s="310" customFormat="1">
      <c r="A245" s="394" t="e">
        <f t="shared" ca="1" si="50"/>
        <v>#NAME?</v>
      </c>
      <c r="B245" s="395" t="s">
        <v>936</v>
      </c>
    </row>
    <row r="246" spans="1:2" s="310" customFormat="1">
      <c r="A246" s="394" t="e">
        <f t="shared" ca="1" si="50"/>
        <v>#NAME?</v>
      </c>
      <c r="B246" s="395" t="s">
        <v>937</v>
      </c>
    </row>
    <row r="247" spans="1:2" s="310" customFormat="1">
      <c r="A247" s="394" t="e">
        <f t="shared" ca="1" si="50"/>
        <v>#NAME?</v>
      </c>
      <c r="B247" s="395" t="s">
        <v>938</v>
      </c>
    </row>
    <row r="248" spans="1:2" s="310" customFormat="1">
      <c r="A248" s="394" t="e">
        <f t="shared" ca="1" si="50"/>
        <v>#NAME?</v>
      </c>
      <c r="B248" s="395" t="s">
        <v>939</v>
      </c>
    </row>
    <row r="249" spans="1:2" s="310" customFormat="1">
      <c r="A249" s="394" t="e">
        <f t="shared" ca="1" si="50"/>
        <v>#NAME?</v>
      </c>
      <c r="B249" s="395" t="s">
        <v>940</v>
      </c>
    </row>
    <row r="250" spans="1:2" s="310" customFormat="1">
      <c r="A250" s="394" t="e">
        <f t="shared" ca="1" si="50"/>
        <v>#NAME?</v>
      </c>
      <c r="B250" s="395" t="s">
        <v>941</v>
      </c>
    </row>
    <row r="251" spans="1:2" s="310" customFormat="1">
      <c r="A251" s="394" t="e">
        <f t="shared" ca="1" si="50"/>
        <v>#NAME?</v>
      </c>
      <c r="B251" s="395" t="s">
        <v>942</v>
      </c>
    </row>
    <row r="252" spans="1:2" s="310" customFormat="1">
      <c r="A252" s="394" t="e">
        <f t="shared" ca="1" si="50"/>
        <v>#NAME?</v>
      </c>
      <c r="B252" s="395" t="s">
        <v>943</v>
      </c>
    </row>
    <row r="253" spans="1:2" s="310" customFormat="1">
      <c r="A253" s="394" t="e">
        <f t="shared" ca="1" si="50"/>
        <v>#NAME?</v>
      </c>
      <c r="B253" s="395" t="s">
        <v>944</v>
      </c>
    </row>
    <row r="254" spans="1:2" s="310" customFormat="1">
      <c r="A254" s="394" t="e">
        <f t="shared" ca="1" si="50"/>
        <v>#NAME?</v>
      </c>
      <c r="B254" s="395" t="s">
        <v>945</v>
      </c>
    </row>
    <row r="255" spans="1:2" s="310" customFormat="1">
      <c r="A255" s="394" t="e">
        <f t="shared" ca="1" si="50"/>
        <v>#NAME?</v>
      </c>
      <c r="B255" s="395" t="s">
        <v>946</v>
      </c>
    </row>
    <row r="256" spans="1:2" s="310" customFormat="1">
      <c r="A256" s="394" t="e">
        <f t="shared" ca="1" si="50"/>
        <v>#NAME?</v>
      </c>
      <c r="B256" s="395" t="s">
        <v>947</v>
      </c>
    </row>
    <row r="257" spans="1:2" s="310" customFormat="1">
      <c r="A257" s="394" t="e">
        <f t="shared" ca="1" si="50"/>
        <v>#NAME?</v>
      </c>
      <c r="B257" s="395" t="s">
        <v>948</v>
      </c>
    </row>
    <row r="258" spans="1:2" s="310" customFormat="1">
      <c r="A258" s="394" t="e">
        <f t="shared" ca="1" si="50"/>
        <v>#NAME?</v>
      </c>
      <c r="B258" s="395" t="s">
        <v>949</v>
      </c>
    </row>
    <row r="259" spans="1:2" s="310" customFormat="1">
      <c r="A259" s="394" t="e">
        <f t="shared" ca="1" si="50"/>
        <v>#NAME?</v>
      </c>
      <c r="B259" s="395" t="s">
        <v>950</v>
      </c>
    </row>
    <row r="260" spans="1:2" s="310" customFormat="1">
      <c r="A260" s="394" t="e">
        <f t="shared" ca="1" si="50"/>
        <v>#NAME?</v>
      </c>
      <c r="B260" s="395" t="s">
        <v>951</v>
      </c>
    </row>
    <row r="261" spans="1:2" s="310" customFormat="1">
      <c r="A261" s="394" t="e">
        <f t="shared" ca="1" si="50"/>
        <v>#NAME?</v>
      </c>
      <c r="B261" s="395" t="s">
        <v>952</v>
      </c>
    </row>
    <row r="262" spans="1:2" s="310" customFormat="1">
      <c r="A262" s="394" t="e">
        <f t="shared" ca="1" si="50"/>
        <v>#NAME?</v>
      </c>
      <c r="B262" s="395" t="s">
        <v>953</v>
      </c>
    </row>
    <row r="263" spans="1:2" s="310" customFormat="1">
      <c r="A263" s="394" t="e">
        <f t="shared" ca="1" si="50"/>
        <v>#NAME?</v>
      </c>
      <c r="B263" s="395" t="s">
        <v>954</v>
      </c>
    </row>
    <row r="264" spans="1:2" s="310" customFormat="1">
      <c r="A264" s="394" t="e">
        <f t="shared" ca="1" si="50"/>
        <v>#NAME?</v>
      </c>
      <c r="B264" s="395" t="s">
        <v>955</v>
      </c>
    </row>
    <row r="265" spans="1:2" s="310" customFormat="1">
      <c r="A265" s="394" t="e">
        <f t="shared" ca="1" si="50"/>
        <v>#NAME?</v>
      </c>
      <c r="B265" s="395" t="s">
        <v>956</v>
      </c>
    </row>
    <row r="266" spans="1:2" s="310" customFormat="1">
      <c r="A266" s="394" t="e">
        <f t="shared" ca="1" si="50"/>
        <v>#NAME?</v>
      </c>
      <c r="B266" s="395" t="s">
        <v>957</v>
      </c>
    </row>
    <row r="267" spans="1:2" s="310" customFormat="1">
      <c r="A267" s="394" t="e">
        <f t="shared" ca="1" si="50"/>
        <v>#NAME?</v>
      </c>
      <c r="B267" s="395" t="s">
        <v>958</v>
      </c>
    </row>
    <row r="268" spans="1:2" s="310" customFormat="1">
      <c r="A268" s="394" t="e">
        <f t="shared" ca="1" si="50"/>
        <v>#NAME?</v>
      </c>
      <c r="B268" s="395" t="s">
        <v>841</v>
      </c>
    </row>
  </sheetData>
  <mergeCells count="1">
    <mergeCell ref="T10:W10"/>
  </mergeCells>
  <dataValidations count="2">
    <dataValidation type="list" allowBlank="1" sqref="B101:D101 B16:E16">
      <formula1>"C_ACCT,C_CATEGORY,C_DATATS,C_ENTITY,C_M003,C_M004,C_M005,FLOW,GROUPS,INTCO,MEASURES,RPTCURRENCY,TIME"</formula1>
    </dataValidation>
    <dataValidation type="list" allowBlank="1" sqref="B102:D102 A13 B17:E17 A98">
      <formula1>"SELF,ALL,BAS,DEP,BASMEMBERS,MEMBERS,NOEXPAND,,"</formula1>
    </dataValidation>
  </dataValidations>
  <pageMargins left="0.7" right="0.7" top="0.75" bottom="0.75" header="0.3" footer="0.3"/>
  <customProperties>
    <customPr name="CofWorksheetType" r:id="rId1"/>
    <customPr name="EpmWorksheetKeyString_GU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/>
  <dimension ref="A1:AA231"/>
  <sheetViews>
    <sheetView topLeftCell="L166" zoomScale="70" zoomScaleNormal="70" workbookViewId="0">
      <selection activeCell="V54" sqref="V54"/>
    </sheetView>
  </sheetViews>
  <sheetFormatPr defaultRowHeight="15" outlineLevelRow="1" outlineLevelCol="1"/>
  <cols>
    <col min="1" max="1" width="48.85546875" style="429" hidden="1" customWidth="1" outlineLevel="1"/>
    <col min="2" max="7" width="18.85546875" style="429" hidden="1" customWidth="1" outlineLevel="1"/>
    <col min="8" max="8" width="9.5703125" style="430" hidden="1" customWidth="1" outlineLevel="1"/>
    <col min="9" max="9" width="14.28515625" style="429" hidden="1" customWidth="1" outlineLevel="1"/>
    <col min="10" max="10" width="14.5703125" style="429" hidden="1" customWidth="1" outlineLevel="1"/>
    <col min="11" max="11" width="16.42578125" style="429" hidden="1" customWidth="1" outlineLevel="1"/>
    <col min="12" max="12" width="44.42578125" style="429" customWidth="1" collapsed="1"/>
    <col min="13" max="13" width="112.5703125" style="431" hidden="1" customWidth="1"/>
    <col min="14" max="251" width="20.7109375" style="429" customWidth="1"/>
    <col min="252" max="16384" width="9.140625" style="429"/>
  </cols>
  <sheetData>
    <row r="1" spans="1:16" hidden="1" outlineLevel="1">
      <c r="A1" s="425" t="e">
        <f>_xll.EVDRE($O$2,A4:B11,A15:E21)</f>
        <v>#VALUE!</v>
      </c>
      <c r="B1" s="426" t="s">
        <v>597</v>
      </c>
      <c r="C1" s="427"/>
      <c r="D1" s="427"/>
      <c r="E1" s="427"/>
      <c r="F1" s="428"/>
    </row>
    <row r="2" spans="1:16" hidden="1" outlineLevel="1">
      <c r="A2" s="429" t="e">
        <f>A1</f>
        <v>#VALUE!</v>
      </c>
      <c r="N2" s="432" t="s">
        <v>598</v>
      </c>
      <c r="O2" s="433" t="s">
        <v>599</v>
      </c>
      <c r="P2" s="432"/>
    </row>
    <row r="3" spans="1:16" hidden="1" outlineLevel="1">
      <c r="A3" s="434" t="s">
        <v>602</v>
      </c>
      <c r="B3" s="435" t="s">
        <v>603</v>
      </c>
      <c r="N3" s="432" t="s">
        <v>649</v>
      </c>
      <c r="O3" s="436" t="s">
        <v>1249</v>
      </c>
    </row>
    <row r="4" spans="1:16" hidden="1" outlineLevel="1">
      <c r="A4" s="437" t="s">
        <v>605</v>
      </c>
      <c r="B4" s="438" t="str">
        <f>_xll.EVRNG(O3:O14)</f>
        <v>'Ф4'!$O$3:$O$14</v>
      </c>
      <c r="C4" s="439" t="s">
        <v>834</v>
      </c>
      <c r="N4" s="432" t="s">
        <v>601</v>
      </c>
      <c r="O4" s="440" t="e">
        <f ca="1">EV_CVW($O$2,N4)</f>
        <v>#NAME?</v>
      </c>
    </row>
    <row r="5" spans="1:16" hidden="1" outlineLevel="1">
      <c r="A5" s="437" t="s">
        <v>608</v>
      </c>
      <c r="B5" s="438" t="str">
        <f>_xll.EVRNG(N172:X173,Z172:AA173)</f>
        <v>'Ф4'!$N$172:$X$173,'Ф4'!$Z$172:$AA$173</v>
      </c>
      <c r="C5" s="439" t="s">
        <v>834</v>
      </c>
      <c r="N5" s="432" t="s">
        <v>604</v>
      </c>
      <c r="O5" s="440" t="e">
        <f ca="1">EV_CVW($O$2,N5)</f>
        <v>#NAME?</v>
      </c>
    </row>
    <row r="6" spans="1:16" hidden="1" outlineLevel="1">
      <c r="A6" s="437" t="s">
        <v>611</v>
      </c>
      <c r="B6" s="438" t="str">
        <f>_xll.EVRNG(J175:K176,J177:K178,J179:K180,J181:K182,J183:K184,J185:K186,J187:K188,J189:K190,J191:K192,J193:K194,J195:K196,J197:K198,J199:K200,J201:K202,J203:K204,J205:K206,J207:K208,J209:K210,J211:K212,J213:K214)</f>
        <v>'Ф4'!$J$175:$K$176,'Ф4'!$J$177:$K$178,'Ф4'!$J$179:$K$180,'Ф4'!$J$181:$K$182,'Ф4'!$J$183:$K$184,'Ф4'!$J$185:$K$186,'Ф4'!$J$187:$K$188,'Ф4'!$J$189:$K$190,'Ф4'!$J$191:$K$192,'Ф4'!$J$193:$K$194,'Ф4'!$J$195:$K$196,'Ф4'!$J$197:$K$198,'Ф4'!$J$199:$K$200,'Ф4'!$J$201:$K$202,'Ф4'!$J$203:$K$204,'Ф4'!$J$205:$K$206,'Ф4'!$J$207:$K$208,'Ф4'!$J$209:$K$210,'Ф4'!$J$211:$K$212,'Ф4'!$J$213:$K$214</v>
      </c>
      <c r="C6" s="439" t="s">
        <v>834</v>
      </c>
      <c r="N6" s="432" t="s">
        <v>606</v>
      </c>
      <c r="O6" s="440" t="e">
        <f ca="1">EV_CVW($O$2,N6)</f>
        <v>#NAME?</v>
      </c>
    </row>
    <row r="7" spans="1:16" hidden="1" outlineLevel="1">
      <c r="A7" s="437" t="s">
        <v>615</v>
      </c>
      <c r="B7" s="438"/>
      <c r="N7" s="432" t="s">
        <v>609</v>
      </c>
      <c r="O7" s="436" t="s">
        <v>610</v>
      </c>
    </row>
    <row r="8" spans="1:16" hidden="1" outlineLevel="1">
      <c r="A8" s="437" t="s">
        <v>622</v>
      </c>
      <c r="B8" s="438"/>
      <c r="N8" s="432" t="s">
        <v>612</v>
      </c>
      <c r="O8" s="436" t="s">
        <v>613</v>
      </c>
    </row>
    <row r="9" spans="1:16" hidden="1" outlineLevel="1">
      <c r="A9" s="437" t="s">
        <v>626</v>
      </c>
      <c r="B9" s="438" t="str">
        <f>_xll.EVRNG($A$64:$F$93)</f>
        <v>'Ф4'!$A$64:$F$93</v>
      </c>
      <c r="N9" s="432" t="s">
        <v>616</v>
      </c>
      <c r="O9" s="436" t="s">
        <v>617</v>
      </c>
    </row>
    <row r="10" spans="1:16" hidden="1" outlineLevel="1">
      <c r="A10" s="437" t="s">
        <v>630</v>
      </c>
      <c r="B10" s="438" t="str">
        <f>_xll.EVRNG($A$44:$B$60)</f>
        <v>'Ф4'!$A$44:$B$60</v>
      </c>
      <c r="N10" s="432" t="s">
        <v>623</v>
      </c>
      <c r="O10" s="436" t="s">
        <v>624</v>
      </c>
    </row>
    <row r="11" spans="1:16" hidden="1" outlineLevel="1">
      <c r="A11" s="437" t="s">
        <v>635</v>
      </c>
      <c r="B11" s="438"/>
      <c r="N11" s="432" t="s">
        <v>648</v>
      </c>
      <c r="O11" s="436" t="s">
        <v>1250</v>
      </c>
    </row>
    <row r="12" spans="1:16" hidden="1" outlineLevel="1">
      <c r="N12" s="432" t="s">
        <v>631</v>
      </c>
      <c r="O12" s="436" t="s">
        <v>632</v>
      </c>
    </row>
    <row r="13" spans="1:16" hidden="1" outlineLevel="1">
      <c r="B13" s="431"/>
      <c r="C13" s="441"/>
      <c r="N13" s="432" t="s">
        <v>636</v>
      </c>
      <c r="O13" s="440" t="e">
        <f ca="1">EV_CVW($O$2,N13)</f>
        <v>#NAME?</v>
      </c>
      <c r="P13" s="429" t="e">
        <f ca="1">EV_TIM(O2,O13,-1,"YEAR")</f>
        <v>#NAME?</v>
      </c>
    </row>
    <row r="14" spans="1:16" hidden="1" outlineLevel="1">
      <c r="A14" s="442" t="s">
        <v>638</v>
      </c>
      <c r="B14" s="443" t="s">
        <v>639</v>
      </c>
      <c r="C14" s="443" t="s">
        <v>640</v>
      </c>
      <c r="D14" s="443" t="s">
        <v>641</v>
      </c>
      <c r="E14" s="444" t="s">
        <v>1251</v>
      </c>
      <c r="H14" s="429"/>
      <c r="I14" s="430"/>
      <c r="M14" s="429"/>
      <c r="N14" s="432" t="s">
        <v>627</v>
      </c>
      <c r="O14" s="436" t="s">
        <v>628</v>
      </c>
    </row>
    <row r="15" spans="1:16" hidden="1" outlineLevel="1">
      <c r="A15" s="445" t="s">
        <v>642</v>
      </c>
      <c r="B15" s="446" t="s">
        <v>644</v>
      </c>
      <c r="C15" s="446" t="s">
        <v>644</v>
      </c>
      <c r="D15" s="446" t="s">
        <v>643</v>
      </c>
      <c r="E15" s="446" t="s">
        <v>643</v>
      </c>
      <c r="H15" s="429"/>
      <c r="I15" s="430"/>
      <c r="M15" s="429"/>
    </row>
    <row r="16" spans="1:16" hidden="1" outlineLevel="1">
      <c r="A16" s="445" t="s">
        <v>647</v>
      </c>
      <c r="B16" s="446" t="s">
        <v>648</v>
      </c>
      <c r="C16" s="446" t="s">
        <v>616</v>
      </c>
      <c r="D16" s="446" t="s">
        <v>636</v>
      </c>
      <c r="E16" s="446" t="s">
        <v>649</v>
      </c>
      <c r="H16" s="429"/>
      <c r="I16" s="430"/>
      <c r="M16" s="429"/>
      <c r="N16" s="431"/>
    </row>
    <row r="17" spans="1:14" hidden="1" outlineLevel="1">
      <c r="A17" s="445" t="s">
        <v>651</v>
      </c>
      <c r="B17" s="447" t="str">
        <f>CONCATENATE(B22,B23,B24,B25,B26,B27,B28,B29,B30,B31,B32,B33,B34,B35,B36,B37,B38,B39,B40,B41)</f>
        <v>I_NONE|I_NONE|I_NONE|I_NONE|I_NONE|I_NONE|I_NONE|I_T|I_F0001|I_NONE|I_NONE|I_NONE|I_F0001|I_NONE|I_NONE|I_T|I_F0001|I_NONE|I_NONE|I_NONE</v>
      </c>
      <c r="C17" s="447" t="str">
        <f>CONCATENATE(C22,C23,C24,C25,C26,C27,C28,C29,C30,C31,C32,C33,C34,C35,C36,C37,C38,C39,C40,C41)</f>
        <v>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7" s="447" t="e">
        <f ca="1">$O$13</f>
        <v>#NAME?</v>
      </c>
      <c r="E17" s="446" t="s">
        <v>1252</v>
      </c>
      <c r="H17" s="439" t="s">
        <v>834</v>
      </c>
      <c r="I17" s="430"/>
      <c r="M17" s="429"/>
      <c r="N17" s="431"/>
    </row>
    <row r="18" spans="1:14" hidden="1" outlineLevel="1">
      <c r="A18" s="445" t="s">
        <v>654</v>
      </c>
      <c r="B18" s="446"/>
      <c r="C18" s="446"/>
      <c r="D18" s="446"/>
      <c r="E18" s="446"/>
      <c r="H18" s="429"/>
      <c r="I18" s="430"/>
      <c r="M18" s="429"/>
      <c r="N18" s="431"/>
    </row>
    <row r="19" spans="1:14" hidden="1" outlineLevel="1">
      <c r="A19" s="445" t="s">
        <v>655</v>
      </c>
      <c r="B19" s="446"/>
      <c r="C19" s="446"/>
      <c r="D19" s="446"/>
      <c r="E19" s="446"/>
      <c r="H19" s="429"/>
      <c r="I19" s="430"/>
      <c r="M19" s="429"/>
      <c r="N19" s="431"/>
    </row>
    <row r="20" spans="1:14" hidden="1" outlineLevel="1">
      <c r="A20" s="445" t="s">
        <v>656</v>
      </c>
      <c r="B20" s="446" t="s">
        <v>670</v>
      </c>
      <c r="C20" s="446" t="s">
        <v>670</v>
      </c>
      <c r="D20" s="446"/>
      <c r="E20" s="446"/>
      <c r="H20" s="429"/>
      <c r="I20" s="430"/>
      <c r="M20" s="429"/>
      <c r="N20" s="431"/>
    </row>
    <row r="21" spans="1:14" hidden="1" outlineLevel="1">
      <c r="A21" s="445" t="s">
        <v>657</v>
      </c>
      <c r="B21" s="446"/>
      <c r="C21" s="446"/>
      <c r="D21" s="446"/>
      <c r="E21" s="446"/>
      <c r="H21" s="429"/>
      <c r="I21" s="430"/>
      <c r="M21" s="429"/>
      <c r="N21" s="431"/>
    </row>
    <row r="22" spans="1:14" hidden="1" outlineLevel="1">
      <c r="B22" s="429" t="str">
        <f>"I_NONE"</f>
        <v>I_NONE</v>
      </c>
      <c r="C22" s="429" t="str">
        <f>"F_OPE"</f>
        <v>F_OPE</v>
      </c>
    </row>
    <row r="23" spans="1:14" hidden="1" outlineLevel="1">
      <c r="B23" s="429" t="str">
        <f t="shared" ref="B23:B28" si="0">"|I_NONE"</f>
        <v>|I_NONE</v>
      </c>
      <c r="C23" s="429" t="str">
        <f>"|M1_04_01"</f>
        <v>|M1_04_01</v>
      </c>
    </row>
    <row r="24" spans="1:14" hidden="1" outlineLevel="1">
      <c r="B24" s="429" t="str">
        <f t="shared" si="0"/>
        <v>|I_NONE</v>
      </c>
      <c r="C24" s="429" t="str">
        <f>"|M1_04_02"</f>
        <v>|M1_04_02</v>
      </c>
    </row>
    <row r="25" spans="1:14" hidden="1" outlineLevel="1">
      <c r="B25" s="429" t="str">
        <f t="shared" si="0"/>
        <v>|I_NONE</v>
      </c>
      <c r="C25" s="429" t="str">
        <f>"|M1_04_03"</f>
        <v>|M1_04_03</v>
      </c>
    </row>
    <row r="26" spans="1:14" hidden="1" outlineLevel="1">
      <c r="B26" s="429" t="str">
        <f t="shared" si="0"/>
        <v>|I_NONE</v>
      </c>
      <c r="C26" s="429" t="str">
        <f>"|M1_04_04"</f>
        <v>|M1_04_04</v>
      </c>
    </row>
    <row r="27" spans="1:14" hidden="1" outlineLevel="1">
      <c r="B27" s="429" t="str">
        <f t="shared" si="0"/>
        <v>|I_NONE</v>
      </c>
      <c r="C27" s="429" t="str">
        <f>"|M1_04_05"</f>
        <v>|M1_04_05</v>
      </c>
    </row>
    <row r="28" spans="1:14" hidden="1" outlineLevel="1">
      <c r="B28" s="429" t="str">
        <f t="shared" si="0"/>
        <v>|I_NONE</v>
      </c>
      <c r="C28" s="429" t="str">
        <f>"|M1_04_06"</f>
        <v>|M1_04_06</v>
      </c>
    </row>
    <row r="29" spans="1:14" hidden="1" outlineLevel="1">
      <c r="B29" s="429" t="str">
        <f>"|I_T"</f>
        <v>|I_T</v>
      </c>
      <c r="C29" s="429" t="str">
        <f>"|M1_04_07"</f>
        <v>|M1_04_07</v>
      </c>
    </row>
    <row r="30" spans="1:14" hidden="1" outlineLevel="1">
      <c r="B30" s="429" t="str">
        <f>"|I_F0001"</f>
        <v>|I_F0001</v>
      </c>
      <c r="C30" s="429" t="str">
        <f>"|M1_04_07_001,M1_04_07_002,M1_04_07_003,M1_04_07_004"</f>
        <v>|M1_04_07_001,M1_04_07_002,M1_04_07_003,M1_04_07_004</v>
      </c>
    </row>
    <row r="31" spans="1:14" hidden="1" outlineLevel="1">
      <c r="B31" s="429" t="str">
        <f t="shared" ref="B31:B41" si="1">"|I_NONE"</f>
        <v>|I_NONE</v>
      </c>
      <c r="C31" s="429" t="str">
        <f>"|M1_04_07_099"</f>
        <v>|M1_04_07_099</v>
      </c>
    </row>
    <row r="32" spans="1:14" hidden="1" outlineLevel="1">
      <c r="B32" s="429" t="str">
        <f t="shared" si="1"/>
        <v>|I_NONE</v>
      </c>
      <c r="C32" s="429" t="str">
        <f>"|M1_04_08,M1_04_09,M1_04_10,M1_04_11,M1_04_12,M1_04_13,M1_04_14,M1_04_15"</f>
        <v>|M1_04_08,M1_04_09,M1_04_10,M1_04_11,M1_04_12,M1_04_13,M1_04_14,M1_04_15</v>
      </c>
    </row>
    <row r="33" spans="1:3" hidden="1" outlineLevel="1">
      <c r="B33" s="429" t="str">
        <f t="shared" si="1"/>
        <v>|I_NONE</v>
      </c>
      <c r="C33" s="429" t="str">
        <f>"|M1_04_16"</f>
        <v>|M1_04_16</v>
      </c>
    </row>
    <row r="34" spans="1:3" hidden="1" outlineLevel="1">
      <c r="B34" s="429" t="str">
        <f>"|I_F0001"</f>
        <v>|I_F0001</v>
      </c>
      <c r="C34" s="429" t="str">
        <f>"|M1_04_17"</f>
        <v>|M1_04_17</v>
      </c>
    </row>
    <row r="35" spans="1:3" hidden="1" outlineLevel="1">
      <c r="B35" s="429" t="str">
        <f t="shared" si="1"/>
        <v>|I_NONE</v>
      </c>
      <c r="C35" s="429" t="str">
        <f>"|M1_04_18"</f>
        <v>|M1_04_18</v>
      </c>
    </row>
    <row r="36" spans="1:3" hidden="1" outlineLevel="1">
      <c r="B36" s="429" t="str">
        <f t="shared" si="1"/>
        <v>|I_NONE</v>
      </c>
      <c r="C36" s="429" t="str">
        <f>"|M1_04_19"</f>
        <v>|M1_04_19</v>
      </c>
    </row>
    <row r="37" spans="1:3" hidden="1" outlineLevel="1">
      <c r="B37" s="429" t="str">
        <f>"|I_T"</f>
        <v>|I_T</v>
      </c>
      <c r="C37" s="429" t="str">
        <f>"|M1_04_20"</f>
        <v>|M1_04_20</v>
      </c>
    </row>
    <row r="38" spans="1:3" hidden="1" outlineLevel="1">
      <c r="B38" s="429" t="str">
        <f>"|I_F0001"</f>
        <v>|I_F0001</v>
      </c>
      <c r="C38" s="429" t="str">
        <f>"|M1_04_20_001,M1_04_20_002,M1_04_20_003,M1_04_20_004"</f>
        <v>|M1_04_20_001,M1_04_20_002,M1_04_20_003,M1_04_20_004</v>
      </c>
    </row>
    <row r="39" spans="1:3" hidden="1" outlineLevel="1">
      <c r="B39" s="429" t="str">
        <f t="shared" si="1"/>
        <v>|I_NONE</v>
      </c>
      <c r="C39" s="429" t="str">
        <f>"|M1_04_20_099"</f>
        <v>|M1_04_20_099</v>
      </c>
    </row>
    <row r="40" spans="1:3" hidden="1" outlineLevel="1">
      <c r="B40" s="429" t="str">
        <f t="shared" si="1"/>
        <v>|I_NONE</v>
      </c>
      <c r="C40" s="429" t="str">
        <f>"|M1_04_21,M1_04_22,M1_04_23,M1_04_24,M1_04_25"</f>
        <v>|M1_04_21,M1_04_22,M1_04_23,M1_04_24,M1_04_25</v>
      </c>
    </row>
    <row r="41" spans="1:3" hidden="1" outlineLevel="1">
      <c r="B41" s="429" t="str">
        <f t="shared" si="1"/>
        <v>|I_NONE</v>
      </c>
      <c r="C41" s="429" t="str">
        <f>"|F_CLO"</f>
        <v>|F_CLO</v>
      </c>
    </row>
    <row r="42" spans="1:3" hidden="1" outlineLevel="1"/>
    <row r="43" spans="1:3" hidden="1" outlineLevel="1">
      <c r="A43" s="434" t="s">
        <v>659</v>
      </c>
      <c r="B43" s="435" t="s">
        <v>660</v>
      </c>
    </row>
    <row r="44" spans="1:3" hidden="1" outlineLevel="1">
      <c r="A44" s="437" t="s">
        <v>664</v>
      </c>
      <c r="B44" s="438"/>
    </row>
    <row r="45" spans="1:3" hidden="1" outlineLevel="1">
      <c r="A45" s="437" t="s">
        <v>666</v>
      </c>
      <c r="B45" s="438"/>
    </row>
    <row r="46" spans="1:3" hidden="1" outlineLevel="1">
      <c r="A46" s="437" t="s">
        <v>667</v>
      </c>
      <c r="B46" s="438"/>
    </row>
    <row r="47" spans="1:3" hidden="1" outlineLevel="1">
      <c r="A47" s="437" t="s">
        <v>668</v>
      </c>
      <c r="B47" s="438"/>
    </row>
    <row r="48" spans="1:3" hidden="1" outlineLevel="1">
      <c r="A48" s="437" t="s">
        <v>669</v>
      </c>
      <c r="B48" s="438" t="s">
        <v>670</v>
      </c>
    </row>
    <row r="49" spans="1:7" hidden="1" outlineLevel="1">
      <c r="A49" s="437" t="s">
        <v>671</v>
      </c>
      <c r="B49" s="438" t="s">
        <v>670</v>
      </c>
    </row>
    <row r="50" spans="1:7" hidden="1" outlineLevel="1">
      <c r="A50" s="437" t="s">
        <v>672</v>
      </c>
      <c r="B50" s="438"/>
    </row>
    <row r="51" spans="1:7" hidden="1" outlineLevel="1">
      <c r="A51" s="437" t="s">
        <v>673</v>
      </c>
      <c r="B51" s="438"/>
    </row>
    <row r="52" spans="1:7" hidden="1" outlineLevel="1">
      <c r="A52" s="437" t="s">
        <v>675</v>
      </c>
      <c r="B52" s="438"/>
    </row>
    <row r="53" spans="1:7" hidden="1" outlineLevel="1">
      <c r="A53" s="437" t="s">
        <v>676</v>
      </c>
      <c r="B53" s="438"/>
    </row>
    <row r="54" spans="1:7" hidden="1" outlineLevel="1">
      <c r="A54" s="437" t="s">
        <v>677</v>
      </c>
      <c r="B54" s="438"/>
    </row>
    <row r="55" spans="1:7" hidden="1" outlineLevel="1">
      <c r="A55" s="437" t="s">
        <v>678</v>
      </c>
      <c r="B55" s="438"/>
    </row>
    <row r="56" spans="1:7" hidden="1" outlineLevel="1">
      <c r="A56" s="437" t="s">
        <v>679</v>
      </c>
      <c r="B56" s="438"/>
    </row>
    <row r="57" spans="1:7" hidden="1" outlineLevel="1">
      <c r="A57" s="437" t="s">
        <v>680</v>
      </c>
      <c r="B57" s="438"/>
    </row>
    <row r="58" spans="1:7" hidden="1" outlineLevel="1">
      <c r="A58" s="437" t="s">
        <v>681</v>
      </c>
      <c r="B58" s="438"/>
    </row>
    <row r="59" spans="1:7" hidden="1" outlineLevel="1">
      <c r="A59" s="437" t="s">
        <v>682</v>
      </c>
      <c r="B59" s="438"/>
    </row>
    <row r="60" spans="1:7" hidden="1" outlineLevel="1">
      <c r="A60" s="437" t="s">
        <v>683</v>
      </c>
      <c r="B60" s="438"/>
    </row>
    <row r="61" spans="1:7" hidden="1" outlineLevel="1"/>
    <row r="62" spans="1:7" hidden="1" outlineLevel="1"/>
    <row r="63" spans="1:7" hidden="1" outlineLevel="1">
      <c r="A63" s="442" t="s">
        <v>706</v>
      </c>
      <c r="B63" s="443" t="s">
        <v>707</v>
      </c>
      <c r="C63" s="443" t="s">
        <v>708</v>
      </c>
      <c r="D63" s="443" t="s">
        <v>709</v>
      </c>
      <c r="E63" s="443" t="s">
        <v>710</v>
      </c>
      <c r="F63" s="444" t="s">
        <v>711</v>
      </c>
      <c r="G63" s="448"/>
    </row>
    <row r="64" spans="1:7" hidden="1" outlineLevel="1">
      <c r="A64" s="449"/>
      <c r="B64" s="450"/>
      <c r="C64" s="450"/>
      <c r="D64" s="450"/>
      <c r="E64" s="450"/>
      <c r="F64" s="451"/>
      <c r="G64" s="448"/>
    </row>
    <row r="65" spans="1:7" hidden="1" outlineLevel="1">
      <c r="A65" s="452" t="s">
        <v>712</v>
      </c>
      <c r="B65" s="448"/>
      <c r="C65" s="453">
        <v>12345</v>
      </c>
      <c r="D65" s="448"/>
      <c r="E65" s="448"/>
      <c r="F65" s="454" t="s">
        <v>721</v>
      </c>
      <c r="G65" s="448"/>
    </row>
    <row r="66" spans="1:7" hidden="1" outlineLevel="1">
      <c r="A66" s="452"/>
      <c r="B66" s="448"/>
      <c r="C66" s="455"/>
      <c r="D66" s="448"/>
      <c r="E66" s="448"/>
      <c r="F66" s="454"/>
      <c r="G66" s="448"/>
    </row>
    <row r="67" spans="1:7" hidden="1" outlineLevel="1">
      <c r="A67" s="452" t="s">
        <v>712</v>
      </c>
      <c r="B67" s="448"/>
      <c r="C67" s="453">
        <v>12345</v>
      </c>
      <c r="D67" s="448"/>
      <c r="E67" s="448"/>
      <c r="F67" s="454" t="s">
        <v>721</v>
      </c>
      <c r="G67" s="448"/>
    </row>
    <row r="68" spans="1:7" hidden="1" outlineLevel="1">
      <c r="A68" s="452"/>
      <c r="B68" s="448"/>
      <c r="C68" s="455"/>
      <c r="D68" s="448"/>
      <c r="E68" s="448"/>
      <c r="F68" s="454"/>
      <c r="G68" s="448"/>
    </row>
    <row r="69" spans="1:7" hidden="1" outlineLevel="1">
      <c r="A69" s="452" t="s">
        <v>712</v>
      </c>
      <c r="B69" s="448"/>
      <c r="C69" s="456" t="s">
        <v>1253</v>
      </c>
      <c r="D69" s="448" t="s">
        <v>713</v>
      </c>
      <c r="E69" s="448"/>
      <c r="F69" s="454" t="s">
        <v>714</v>
      </c>
      <c r="G69" s="448"/>
    </row>
    <row r="70" spans="1:7" hidden="1" outlineLevel="1">
      <c r="A70" s="452"/>
      <c r="B70" s="448"/>
      <c r="C70" s="448"/>
      <c r="D70" s="448"/>
      <c r="E70" s="448"/>
      <c r="F70" s="454"/>
      <c r="G70" s="448"/>
    </row>
    <row r="71" spans="1:7" hidden="1" outlineLevel="1">
      <c r="A71" s="452" t="s">
        <v>712</v>
      </c>
      <c r="B71" s="448" t="s">
        <v>643</v>
      </c>
      <c r="C71" s="457" t="s">
        <v>1253</v>
      </c>
      <c r="D71" s="448"/>
      <c r="E71" s="448"/>
      <c r="F71" s="454" t="s">
        <v>716</v>
      </c>
      <c r="G71" s="448"/>
    </row>
    <row r="72" spans="1:7" hidden="1" outlineLevel="1">
      <c r="A72" s="452"/>
      <c r="B72" s="448"/>
      <c r="C72" s="448"/>
      <c r="D72" s="448"/>
      <c r="E72" s="448"/>
      <c r="F72" s="454"/>
      <c r="G72" s="448"/>
    </row>
    <row r="73" spans="1:7" hidden="1" outlineLevel="1">
      <c r="A73" s="452" t="s">
        <v>712</v>
      </c>
      <c r="B73" s="448" t="s">
        <v>644</v>
      </c>
      <c r="C73" s="458" t="s">
        <v>1253</v>
      </c>
      <c r="D73" s="448"/>
      <c r="E73" s="448"/>
      <c r="F73" s="454" t="s">
        <v>716</v>
      </c>
      <c r="G73" s="448"/>
    </row>
    <row r="74" spans="1:7" hidden="1" outlineLevel="1">
      <c r="A74" s="452"/>
      <c r="B74" s="448"/>
      <c r="C74" s="448"/>
      <c r="D74" s="448"/>
      <c r="E74" s="448"/>
      <c r="F74" s="454"/>
      <c r="G74" s="448"/>
    </row>
    <row r="75" spans="1:7" hidden="1" outlineLevel="1">
      <c r="A75" s="452" t="s">
        <v>719</v>
      </c>
      <c r="B75" s="448"/>
      <c r="C75" s="459"/>
      <c r="D75" s="448" t="s">
        <v>720</v>
      </c>
      <c r="E75" s="448"/>
      <c r="F75" s="454" t="s">
        <v>721</v>
      </c>
      <c r="G75" s="448"/>
    </row>
    <row r="76" spans="1:7" hidden="1" outlineLevel="1">
      <c r="A76" s="452"/>
      <c r="B76" s="448"/>
      <c r="C76" s="448"/>
      <c r="D76" s="448"/>
      <c r="E76" s="448"/>
      <c r="F76" s="454"/>
      <c r="G76" s="448"/>
    </row>
    <row r="77" spans="1:7" hidden="1" outlineLevel="1">
      <c r="A77" s="452" t="s">
        <v>717</v>
      </c>
      <c r="B77" s="448"/>
      <c r="C77" s="460">
        <v>12345</v>
      </c>
      <c r="D77" s="448"/>
      <c r="E77" s="448"/>
      <c r="F77" s="454" t="s">
        <v>721</v>
      </c>
      <c r="G77" s="448"/>
    </row>
    <row r="78" spans="1:7" hidden="1" outlineLevel="1">
      <c r="A78" s="452" t="s">
        <v>717</v>
      </c>
      <c r="B78" s="448"/>
      <c r="C78" s="460">
        <v>12345</v>
      </c>
      <c r="D78" s="448"/>
      <c r="E78" s="448"/>
      <c r="F78" s="454" t="s">
        <v>721</v>
      </c>
      <c r="G78" s="448"/>
    </row>
    <row r="79" spans="1:7" hidden="1" outlineLevel="1">
      <c r="A79" s="452" t="s">
        <v>717</v>
      </c>
      <c r="B79" s="448" t="s">
        <v>644</v>
      </c>
      <c r="C79" s="461">
        <v>12345</v>
      </c>
      <c r="D79" s="448"/>
      <c r="E79" s="448"/>
      <c r="F79" s="454" t="s">
        <v>721</v>
      </c>
      <c r="G79" s="448"/>
    </row>
    <row r="80" spans="1:7" hidden="1" outlineLevel="1">
      <c r="A80" s="452" t="e">
        <f ca="1">"TIME.ID="&amp;$P$13</f>
        <v>#NAME?</v>
      </c>
      <c r="B80" s="448" t="s">
        <v>643</v>
      </c>
      <c r="C80" s="460">
        <v>12345</v>
      </c>
      <c r="D80" s="448" t="s">
        <v>1254</v>
      </c>
      <c r="E80" s="448"/>
      <c r="F80" s="454" t="s">
        <v>721</v>
      </c>
      <c r="G80" s="448"/>
    </row>
    <row r="81" spans="1:8" hidden="1" outlineLevel="1">
      <c r="A81" s="452" t="s">
        <v>717</v>
      </c>
      <c r="B81" s="448" t="s">
        <v>644</v>
      </c>
      <c r="C81" s="461">
        <v>12345</v>
      </c>
      <c r="D81" s="448"/>
      <c r="E81" s="448"/>
      <c r="F81" s="454" t="s">
        <v>721</v>
      </c>
      <c r="G81" s="448"/>
    </row>
    <row r="82" spans="1:8" hidden="1" outlineLevel="1">
      <c r="A82" s="452" t="str">
        <f>"FLOW.ID=M1_04_01"</f>
        <v>FLOW.ID=M1_04_01</v>
      </c>
      <c r="B82" s="448" t="s">
        <v>644</v>
      </c>
      <c r="C82" s="460">
        <v>12345</v>
      </c>
      <c r="D82" s="448" t="s">
        <v>1254</v>
      </c>
      <c r="E82" s="448"/>
      <c r="F82" s="454" t="s">
        <v>721</v>
      </c>
      <c r="G82" s="448"/>
    </row>
    <row r="83" spans="1:8" hidden="1" outlineLevel="1">
      <c r="A83" s="452" t="s">
        <v>717</v>
      </c>
      <c r="B83" s="448" t="s">
        <v>644</v>
      </c>
      <c r="C83" s="462" t="s">
        <v>1253</v>
      </c>
      <c r="D83" s="448"/>
      <c r="E83" s="448"/>
      <c r="F83" s="454" t="s">
        <v>716</v>
      </c>
    </row>
    <row r="84" spans="1:8" hidden="1" outlineLevel="1">
      <c r="A84" s="452" t="s">
        <v>733</v>
      </c>
      <c r="B84" s="448" t="s">
        <v>644</v>
      </c>
      <c r="C84" s="463" t="s">
        <v>1253</v>
      </c>
      <c r="D84" s="448" t="s">
        <v>735</v>
      </c>
      <c r="E84" s="448"/>
      <c r="F84" s="454" t="s">
        <v>716</v>
      </c>
    </row>
    <row r="85" spans="1:8" hidden="1" outlineLevel="1">
      <c r="A85" s="452" t="s">
        <v>1255</v>
      </c>
      <c r="B85" s="448" t="s">
        <v>644</v>
      </c>
      <c r="C85" s="464">
        <v>12345</v>
      </c>
      <c r="D85" s="448"/>
      <c r="E85" s="448"/>
      <c r="F85" s="454" t="s">
        <v>721</v>
      </c>
    </row>
    <row r="86" spans="1:8" hidden="1" outlineLevel="1">
      <c r="A86" s="452"/>
      <c r="B86" s="448"/>
      <c r="C86" s="448"/>
      <c r="D86" s="448"/>
      <c r="E86" s="448"/>
      <c r="F86" s="454"/>
    </row>
    <row r="87" spans="1:8" hidden="1" outlineLevel="1">
      <c r="A87" s="452" t="s">
        <v>1255</v>
      </c>
      <c r="B87" s="448" t="s">
        <v>644</v>
      </c>
      <c r="C87" s="464">
        <v>12345</v>
      </c>
      <c r="D87" s="448"/>
      <c r="E87" s="448"/>
      <c r="F87" s="454" t="s">
        <v>721</v>
      </c>
    </row>
    <row r="88" spans="1:8" hidden="1" outlineLevel="1">
      <c r="A88" s="452"/>
      <c r="B88" s="448"/>
      <c r="C88" s="465"/>
      <c r="D88" s="448"/>
      <c r="E88" s="448"/>
      <c r="F88" s="454"/>
    </row>
    <row r="89" spans="1:8" hidden="1" outlineLevel="1">
      <c r="A89" s="452" t="s">
        <v>1255</v>
      </c>
      <c r="B89" s="448" t="s">
        <v>644</v>
      </c>
      <c r="C89" s="462" t="s">
        <v>1253</v>
      </c>
      <c r="D89" s="448"/>
      <c r="E89" s="448"/>
      <c r="F89" s="454" t="s">
        <v>716</v>
      </c>
    </row>
    <row r="90" spans="1:8" hidden="1" outlineLevel="1">
      <c r="A90" s="452"/>
      <c r="B90" s="448" t="s">
        <v>643</v>
      </c>
      <c r="C90" s="460">
        <v>12345</v>
      </c>
      <c r="D90" s="448"/>
      <c r="E90" s="448"/>
      <c r="F90" s="454" t="s">
        <v>721</v>
      </c>
    </row>
    <row r="91" spans="1:8" hidden="1" outlineLevel="1">
      <c r="A91" s="452" t="s">
        <v>1256</v>
      </c>
      <c r="B91" s="448" t="s">
        <v>644</v>
      </c>
      <c r="C91" s="466" t="s">
        <v>1257</v>
      </c>
      <c r="D91" s="448" t="s">
        <v>724</v>
      </c>
      <c r="E91" s="448"/>
      <c r="F91" s="454" t="s">
        <v>716</v>
      </c>
    </row>
    <row r="92" spans="1:8" hidden="1" outlineLevel="1">
      <c r="A92" s="467" t="s">
        <v>1258</v>
      </c>
      <c r="B92" s="468" t="s">
        <v>644</v>
      </c>
      <c r="C92" s="469" t="s">
        <v>1257</v>
      </c>
      <c r="D92" s="468" t="s">
        <v>724</v>
      </c>
      <c r="E92" s="468"/>
      <c r="F92" s="470" t="s">
        <v>716</v>
      </c>
    </row>
    <row r="93" spans="1:8" hidden="1" outlineLevel="1">
      <c r="C93" s="471"/>
      <c r="D93" s="448"/>
    </row>
    <row r="94" spans="1:8" hidden="1" outlineLevel="1">
      <c r="A94" s="472"/>
      <c r="B94" s="473"/>
      <c r="C94" s="474"/>
      <c r="D94" s="474"/>
      <c r="E94" s="474"/>
      <c r="F94" s="474"/>
      <c r="G94" s="475"/>
      <c r="H94" s="476"/>
    </row>
    <row r="95" spans="1:8" hidden="1" outlineLevel="1">
      <c r="A95" s="475"/>
      <c r="B95" s="475"/>
      <c r="C95" s="475"/>
      <c r="D95" s="475"/>
      <c r="E95" s="475"/>
      <c r="F95" s="475"/>
      <c r="G95" s="475"/>
      <c r="H95" s="476"/>
    </row>
    <row r="96" spans="1:8" hidden="1" outlineLevel="1">
      <c r="A96" s="472"/>
      <c r="B96" s="472"/>
      <c r="C96" s="475"/>
      <c r="D96" s="475"/>
      <c r="E96" s="475"/>
      <c r="F96" s="475"/>
      <c r="G96" s="475"/>
      <c r="H96" s="476"/>
    </row>
    <row r="97" spans="1:14" hidden="1" outlineLevel="1">
      <c r="A97" s="472"/>
      <c r="B97" s="475"/>
      <c r="C97" s="477"/>
      <c r="D97" s="475"/>
      <c r="E97" s="475"/>
      <c r="F97" s="475"/>
      <c r="G97" s="475"/>
      <c r="H97" s="476"/>
    </row>
    <row r="98" spans="1:14" hidden="1" outlineLevel="1">
      <c r="A98" s="472"/>
      <c r="B98" s="475"/>
      <c r="C98" s="477"/>
      <c r="D98" s="475"/>
      <c r="E98" s="475"/>
      <c r="F98" s="475"/>
      <c r="G98" s="475"/>
      <c r="H98" s="476"/>
    </row>
    <row r="99" spans="1:14" hidden="1" outlineLevel="1">
      <c r="A99" s="472"/>
      <c r="B99" s="475"/>
      <c r="C99" s="477"/>
      <c r="D99" s="475"/>
      <c r="E99" s="475"/>
      <c r="F99" s="475"/>
      <c r="G99" s="475"/>
      <c r="H99" s="476"/>
    </row>
    <row r="100" spans="1:14" hidden="1" outlineLevel="1">
      <c r="A100" s="472"/>
      <c r="B100" s="475"/>
      <c r="C100" s="475"/>
      <c r="D100" s="475"/>
      <c r="E100" s="475"/>
      <c r="F100" s="475"/>
      <c r="G100" s="475"/>
      <c r="H100" s="476"/>
    </row>
    <row r="101" spans="1:14" hidden="1" outlineLevel="1">
      <c r="A101" s="472"/>
      <c r="B101" s="475"/>
      <c r="C101" s="475"/>
      <c r="D101" s="475"/>
      <c r="E101" s="475"/>
      <c r="F101" s="475"/>
      <c r="G101" s="477"/>
      <c r="H101" s="476"/>
    </row>
    <row r="102" spans="1:14" hidden="1" outlineLevel="1">
      <c r="A102" s="472"/>
      <c r="B102" s="475"/>
      <c r="C102" s="475"/>
      <c r="D102" s="475"/>
      <c r="E102" s="475"/>
      <c r="F102" s="475"/>
      <c r="G102" s="477"/>
      <c r="H102" s="476"/>
    </row>
    <row r="103" spans="1:14" hidden="1" outlineLevel="1">
      <c r="A103" s="472"/>
      <c r="B103" s="475"/>
      <c r="C103" s="475"/>
      <c r="D103" s="475"/>
      <c r="E103" s="475"/>
      <c r="F103" s="475"/>
      <c r="G103" s="475"/>
      <c r="H103" s="476"/>
    </row>
    <row r="104" spans="1:14" hidden="1" outlineLevel="1">
      <c r="A104" s="472"/>
      <c r="B104" s="475"/>
      <c r="C104" s="475"/>
      <c r="D104" s="475"/>
      <c r="E104" s="475"/>
      <c r="F104" s="475"/>
      <c r="G104" s="475"/>
      <c r="H104" s="476"/>
    </row>
    <row r="105" spans="1:14" hidden="1" outlineLevel="1">
      <c r="A105" s="475"/>
      <c r="B105" s="475"/>
      <c r="C105" s="475"/>
      <c r="D105" s="475"/>
      <c r="E105" s="475"/>
      <c r="F105" s="475"/>
      <c r="G105" s="475"/>
      <c r="H105" s="476"/>
    </row>
    <row r="106" spans="1:14" hidden="1" outlineLevel="1">
      <c r="A106" s="472"/>
      <c r="B106" s="475"/>
      <c r="C106" s="475"/>
      <c r="D106" s="475"/>
      <c r="E106" s="475"/>
      <c r="F106" s="475"/>
      <c r="G106" s="475"/>
      <c r="H106" s="475"/>
      <c r="I106" s="430"/>
      <c r="M106" s="429"/>
      <c r="N106" s="431"/>
    </row>
    <row r="107" spans="1:14" hidden="1" outlineLevel="1">
      <c r="A107" s="478"/>
      <c r="B107" s="475"/>
      <c r="C107" s="475"/>
      <c r="D107" s="475"/>
      <c r="E107" s="475"/>
      <c r="F107" s="475"/>
      <c r="G107" s="475"/>
      <c r="H107" s="475"/>
      <c r="I107" s="430"/>
      <c r="M107" s="429"/>
      <c r="N107" s="431"/>
    </row>
    <row r="108" spans="1:14" hidden="1" outlineLevel="1">
      <c r="A108" s="478"/>
      <c r="B108" s="475"/>
      <c r="C108" s="475"/>
      <c r="D108" s="475"/>
      <c r="E108" s="475"/>
      <c r="F108" s="475"/>
      <c r="G108" s="475"/>
      <c r="H108" s="475"/>
      <c r="I108" s="430"/>
      <c r="M108" s="429"/>
      <c r="N108" s="431"/>
    </row>
    <row r="109" spans="1:14" hidden="1" outlineLevel="1">
      <c r="A109" s="478"/>
      <c r="B109" s="475"/>
      <c r="C109" s="475"/>
      <c r="D109" s="475"/>
      <c r="E109" s="475"/>
      <c r="F109" s="475"/>
      <c r="G109" s="475"/>
      <c r="H109" s="477"/>
      <c r="I109" s="430"/>
      <c r="M109" s="429"/>
      <c r="N109" s="431"/>
    </row>
    <row r="110" spans="1:14" hidden="1" outlineLevel="1">
      <c r="A110" s="478"/>
      <c r="B110" s="475"/>
      <c r="C110" s="475"/>
      <c r="D110" s="475"/>
      <c r="E110" s="475"/>
      <c r="F110" s="475"/>
      <c r="G110" s="475"/>
      <c r="H110" s="475"/>
      <c r="I110" s="430"/>
      <c r="M110" s="429"/>
      <c r="N110" s="431"/>
    </row>
    <row r="111" spans="1:14" hidden="1" outlineLevel="1">
      <c r="A111" s="478"/>
      <c r="B111" s="475"/>
      <c r="C111" s="475"/>
      <c r="D111" s="475"/>
      <c r="E111" s="475"/>
      <c r="F111" s="475"/>
      <c r="G111" s="475"/>
      <c r="H111" s="475"/>
      <c r="I111" s="430"/>
      <c r="M111" s="429"/>
      <c r="N111" s="431"/>
    </row>
    <row r="112" spans="1:14" hidden="1" outlineLevel="1">
      <c r="A112" s="478"/>
      <c r="B112" s="475"/>
      <c r="C112" s="475"/>
      <c r="D112" s="475"/>
      <c r="E112" s="475"/>
      <c r="F112" s="475"/>
      <c r="G112" s="475"/>
      <c r="H112" s="475"/>
      <c r="I112" s="430"/>
      <c r="M112" s="429"/>
      <c r="N112" s="431"/>
    </row>
    <row r="113" spans="1:14" hidden="1" outlineLevel="1">
      <c r="A113" s="478"/>
      <c r="B113" s="475"/>
      <c r="C113" s="475"/>
      <c r="D113" s="475"/>
      <c r="E113" s="475"/>
      <c r="F113" s="475"/>
      <c r="G113" s="475"/>
      <c r="H113" s="475"/>
      <c r="I113" s="430"/>
      <c r="M113" s="429"/>
      <c r="N113" s="431"/>
    </row>
    <row r="114" spans="1:14" hidden="1" outlineLevel="1">
      <c r="A114" s="475"/>
      <c r="B114" s="475"/>
      <c r="C114" s="475"/>
      <c r="D114" s="475"/>
      <c r="E114" s="475"/>
      <c r="F114" s="475"/>
      <c r="G114" s="475"/>
      <c r="H114" s="479"/>
    </row>
    <row r="115" spans="1:14" hidden="1" outlineLevel="1">
      <c r="A115" s="475"/>
      <c r="B115" s="475"/>
      <c r="C115" s="475"/>
      <c r="D115" s="475"/>
      <c r="E115" s="475"/>
      <c r="F115" s="475"/>
      <c r="G115" s="475"/>
      <c r="H115" s="479"/>
    </row>
    <row r="116" spans="1:14" hidden="1" outlineLevel="1">
      <c r="A116" s="475"/>
      <c r="B116" s="475"/>
      <c r="C116" s="475"/>
      <c r="D116" s="475"/>
      <c r="E116" s="475"/>
      <c r="F116" s="475"/>
      <c r="G116" s="475"/>
      <c r="H116" s="479"/>
    </row>
    <row r="117" spans="1:14" hidden="1" outlineLevel="1">
      <c r="A117" s="475"/>
      <c r="B117" s="475"/>
      <c r="C117" s="475"/>
      <c r="D117" s="475"/>
      <c r="E117" s="475"/>
      <c r="F117" s="475"/>
      <c r="G117" s="475"/>
      <c r="H117" s="479"/>
    </row>
    <row r="118" spans="1:14" hidden="1" outlineLevel="1">
      <c r="A118" s="475"/>
      <c r="B118" s="475"/>
      <c r="C118" s="475"/>
      <c r="D118" s="475"/>
      <c r="E118" s="475"/>
      <c r="F118" s="475"/>
      <c r="G118" s="475"/>
      <c r="H118" s="479"/>
    </row>
    <row r="119" spans="1:14" hidden="1" outlineLevel="1">
      <c r="A119" s="475"/>
      <c r="B119" s="475"/>
      <c r="C119" s="475"/>
      <c r="D119" s="475"/>
      <c r="E119" s="475"/>
      <c r="F119" s="475"/>
      <c r="G119" s="475"/>
      <c r="H119" s="479"/>
    </row>
    <row r="120" spans="1:14" hidden="1" outlineLevel="1">
      <c r="A120" s="475"/>
      <c r="B120" s="475"/>
      <c r="C120" s="475"/>
      <c r="D120" s="475"/>
      <c r="E120" s="475"/>
      <c r="F120" s="475"/>
      <c r="G120" s="475"/>
      <c r="H120" s="479"/>
    </row>
    <row r="121" spans="1:14" hidden="1" outlineLevel="1">
      <c r="A121" s="475"/>
      <c r="B121" s="475"/>
      <c r="C121" s="475"/>
      <c r="D121" s="475"/>
      <c r="E121" s="475"/>
      <c r="F121" s="475"/>
      <c r="G121" s="475"/>
      <c r="H121" s="479"/>
    </row>
    <row r="122" spans="1:14" hidden="1" outlineLevel="1">
      <c r="A122" s="475"/>
      <c r="B122" s="475"/>
      <c r="C122" s="475"/>
      <c r="D122" s="475"/>
      <c r="E122" s="475"/>
      <c r="F122" s="475"/>
      <c r="G122" s="475"/>
      <c r="H122" s="479"/>
    </row>
    <row r="123" spans="1:14" hidden="1" outlineLevel="1">
      <c r="A123" s="475"/>
      <c r="B123" s="475"/>
      <c r="C123" s="475"/>
      <c r="D123" s="475"/>
      <c r="E123" s="475"/>
      <c r="F123" s="475"/>
      <c r="G123" s="475"/>
      <c r="H123" s="479"/>
    </row>
    <row r="124" spans="1:14" hidden="1" outlineLevel="1">
      <c r="A124" s="475"/>
      <c r="B124" s="475"/>
      <c r="C124" s="475"/>
      <c r="D124" s="475"/>
      <c r="E124" s="475"/>
      <c r="F124" s="475"/>
      <c r="G124" s="475"/>
      <c r="H124" s="479"/>
    </row>
    <row r="125" spans="1:14" hidden="1" outlineLevel="1">
      <c r="A125" s="475"/>
      <c r="B125" s="475"/>
      <c r="C125" s="475"/>
      <c r="D125" s="475"/>
      <c r="E125" s="475"/>
      <c r="F125" s="475"/>
      <c r="G125" s="475"/>
      <c r="H125" s="479"/>
    </row>
    <row r="126" spans="1:14" hidden="1" outlineLevel="1">
      <c r="A126" s="475"/>
      <c r="B126" s="475"/>
      <c r="C126" s="475"/>
      <c r="D126" s="475"/>
      <c r="E126" s="475"/>
      <c r="F126" s="475"/>
      <c r="G126" s="475"/>
      <c r="H126" s="479"/>
    </row>
    <row r="127" spans="1:14" hidden="1" outlineLevel="1">
      <c r="A127" s="475"/>
      <c r="B127" s="475"/>
      <c r="C127" s="475"/>
      <c r="D127" s="475"/>
      <c r="E127" s="475"/>
      <c r="F127" s="475"/>
      <c r="G127" s="475"/>
      <c r="H127" s="479"/>
    </row>
    <row r="128" spans="1:14" hidden="1" outlineLevel="1">
      <c r="A128" s="475"/>
      <c r="B128" s="475"/>
      <c r="C128" s="475"/>
      <c r="D128" s="475"/>
      <c r="E128" s="475"/>
      <c r="F128" s="475"/>
      <c r="G128" s="475"/>
      <c r="H128" s="479"/>
    </row>
    <row r="129" spans="1:8" hidden="1" outlineLevel="1">
      <c r="A129" s="475"/>
      <c r="B129" s="475"/>
      <c r="C129" s="475"/>
      <c r="D129" s="475"/>
      <c r="E129" s="475"/>
      <c r="F129" s="475"/>
      <c r="G129" s="475"/>
      <c r="H129" s="479"/>
    </row>
    <row r="130" spans="1:8" hidden="1" outlineLevel="1">
      <c r="A130" s="475"/>
      <c r="B130" s="475"/>
      <c r="C130" s="475"/>
      <c r="D130" s="475"/>
      <c r="E130" s="475"/>
      <c r="F130" s="475"/>
      <c r="G130" s="475"/>
      <c r="H130" s="479"/>
    </row>
    <row r="131" spans="1:8" hidden="1" outlineLevel="1">
      <c r="A131" s="475"/>
      <c r="B131" s="475"/>
      <c r="C131" s="475"/>
      <c r="D131" s="475"/>
      <c r="E131" s="475"/>
      <c r="F131" s="475"/>
      <c r="G131" s="475"/>
      <c r="H131" s="479"/>
    </row>
    <row r="132" spans="1:8" hidden="1" outlineLevel="1">
      <c r="A132" s="475"/>
      <c r="B132" s="475"/>
      <c r="C132" s="475"/>
      <c r="D132" s="475"/>
      <c r="E132" s="475"/>
      <c r="F132" s="475"/>
      <c r="G132" s="475"/>
      <c r="H132" s="479"/>
    </row>
    <row r="133" spans="1:8" hidden="1" outlineLevel="1">
      <c r="A133" s="475"/>
      <c r="B133" s="475"/>
      <c r="C133" s="475"/>
      <c r="D133" s="475"/>
      <c r="E133" s="475"/>
      <c r="F133" s="475"/>
      <c r="G133" s="475"/>
      <c r="H133" s="479"/>
    </row>
    <row r="134" spans="1:8" hidden="1" outlineLevel="1">
      <c r="A134" s="475"/>
      <c r="B134" s="475"/>
      <c r="C134" s="475"/>
      <c r="D134" s="475"/>
      <c r="E134" s="475"/>
      <c r="F134" s="475"/>
      <c r="G134" s="475"/>
      <c r="H134" s="479"/>
    </row>
    <row r="135" spans="1:8" hidden="1" outlineLevel="1">
      <c r="A135" s="475"/>
      <c r="B135" s="475"/>
      <c r="C135" s="475"/>
      <c r="D135" s="475"/>
      <c r="E135" s="475"/>
      <c r="F135" s="475"/>
      <c r="G135" s="475"/>
      <c r="H135" s="479"/>
    </row>
    <row r="136" spans="1:8" hidden="1" outlineLevel="1">
      <c r="A136" s="475"/>
      <c r="B136" s="475"/>
      <c r="C136" s="475"/>
      <c r="D136" s="475"/>
      <c r="E136" s="475"/>
      <c r="F136" s="475"/>
      <c r="G136" s="475"/>
      <c r="H136" s="479"/>
    </row>
    <row r="137" spans="1:8" hidden="1" outlineLevel="1">
      <c r="A137" s="475"/>
      <c r="B137" s="475"/>
      <c r="C137" s="475"/>
      <c r="D137" s="475"/>
      <c r="E137" s="475"/>
      <c r="F137" s="475"/>
      <c r="G137" s="475"/>
      <c r="H137" s="476"/>
    </row>
    <row r="138" spans="1:8" hidden="1" outlineLevel="1">
      <c r="A138" s="475"/>
      <c r="B138" s="475"/>
      <c r="C138" s="475"/>
      <c r="D138" s="475"/>
      <c r="E138" s="475"/>
      <c r="F138" s="475"/>
      <c r="G138" s="475"/>
      <c r="H138" s="476"/>
    </row>
    <row r="139" spans="1:8" hidden="1" outlineLevel="1">
      <c r="A139" s="475"/>
      <c r="B139" s="475"/>
      <c r="C139" s="475"/>
      <c r="D139" s="475"/>
      <c r="E139" s="475"/>
      <c r="F139" s="475"/>
      <c r="G139" s="475"/>
      <c r="H139" s="476"/>
    </row>
    <row r="140" spans="1:8" hidden="1" outlineLevel="1">
      <c r="A140" s="475"/>
      <c r="B140" s="475"/>
      <c r="C140" s="475"/>
      <c r="D140" s="475"/>
      <c r="E140" s="475"/>
      <c r="F140" s="475"/>
      <c r="G140" s="475"/>
      <c r="H140" s="476"/>
    </row>
    <row r="141" spans="1:8" hidden="1" outlineLevel="1">
      <c r="A141" s="475"/>
      <c r="B141" s="475"/>
      <c r="C141" s="475"/>
      <c r="D141" s="475"/>
      <c r="E141" s="475"/>
      <c r="F141" s="475"/>
      <c r="G141" s="475"/>
      <c r="H141" s="476"/>
    </row>
    <row r="142" spans="1:8" hidden="1" outlineLevel="1">
      <c r="A142" s="438" t="s">
        <v>1259</v>
      </c>
      <c r="B142" s="618" t="str">
        <f>"501010000 504000000 501020000 503000000 505010000 505020000 505030000 505040000 505990000 502000000"</f>
        <v>501010000 504000000 501020000 503000000 505010000 505020000 505030000 505040000 505990000 502000000</v>
      </c>
      <c r="C142" s="619"/>
      <c r="D142" s="619"/>
      <c r="E142" s="619"/>
      <c r="F142" s="619"/>
      <c r="G142" s="620"/>
      <c r="H142" s="476"/>
    </row>
    <row r="143" spans="1:8" hidden="1" outlineLevel="1">
      <c r="A143" s="438" t="s">
        <v>1260</v>
      </c>
      <c r="B143" s="618" t="str">
        <f>"501010000 504000000 501020000 506000000"</f>
        <v>501010000 504000000 501020000 506000000</v>
      </c>
      <c r="C143" s="619"/>
      <c r="D143" s="619"/>
      <c r="E143" s="619"/>
      <c r="F143" s="619"/>
      <c r="G143" s="620"/>
      <c r="H143" s="476"/>
    </row>
    <row r="144" spans="1:8" hidden="1" outlineLevel="1">
      <c r="A144" s="438" t="s">
        <v>1261</v>
      </c>
      <c r="B144" s="618" t="str">
        <f>"501010000"</f>
        <v>501010000</v>
      </c>
      <c r="C144" s="619"/>
      <c r="D144" s="619"/>
      <c r="E144" s="619"/>
      <c r="F144" s="619"/>
      <c r="G144" s="620"/>
      <c r="H144" s="476"/>
    </row>
    <row r="145" spans="1:8" hidden="1" outlineLevel="1">
      <c r="A145" s="438" t="s">
        <v>1262</v>
      </c>
      <c r="B145" s="618" t="str">
        <f>"501010000"</f>
        <v>501010000</v>
      </c>
      <c r="C145" s="619"/>
      <c r="D145" s="619"/>
      <c r="E145" s="619"/>
      <c r="F145" s="619"/>
      <c r="G145" s="620"/>
      <c r="H145" s="476"/>
    </row>
    <row r="146" spans="1:8" hidden="1" outlineLevel="1">
      <c r="A146" s="438" t="s">
        <v>1263</v>
      </c>
      <c r="B146" s="618" t="str">
        <f>"501010000"</f>
        <v>501010000</v>
      </c>
      <c r="C146" s="619"/>
      <c r="D146" s="619"/>
      <c r="E146" s="619"/>
      <c r="F146" s="619"/>
      <c r="G146" s="620"/>
      <c r="H146" s="476"/>
    </row>
    <row r="147" spans="1:8" hidden="1" outlineLevel="1">
      <c r="A147" s="438" t="s">
        <v>1264</v>
      </c>
      <c r="B147" s="618" t="str">
        <f>"501010000"</f>
        <v>501010000</v>
      </c>
      <c r="C147" s="619"/>
      <c r="D147" s="619"/>
      <c r="E147" s="619"/>
      <c r="F147" s="619"/>
      <c r="G147" s="620"/>
      <c r="H147" s="476"/>
    </row>
    <row r="148" spans="1:8" hidden="1" outlineLevel="1">
      <c r="A148" s="438" t="s">
        <v>1265</v>
      </c>
      <c r="B148" s="618" t="str">
        <f>"501010000 503000000 504000000 501020000 505010000 505020000 505030000 505040000 502000000 599990000"</f>
        <v>501010000 503000000 504000000 501020000 505010000 505020000 505030000 505040000 502000000 599990000</v>
      </c>
      <c r="C148" s="619"/>
      <c r="D148" s="619"/>
      <c r="E148" s="619"/>
      <c r="F148" s="619"/>
      <c r="G148" s="620"/>
      <c r="H148" s="476"/>
    </row>
    <row r="149" spans="1:8" hidden="1" outlineLevel="1">
      <c r="A149" s="438" t="s">
        <v>1266</v>
      </c>
      <c r="B149" s="618" t="str">
        <f>"501010000 503000000 504000000 501020000 505010000 505020000 505040000 505990000 502000000 599990000"</f>
        <v>501010000 503000000 504000000 501020000 505010000 505020000 505040000 505990000 502000000 599990000</v>
      </c>
      <c r="C149" s="619"/>
      <c r="D149" s="619"/>
      <c r="E149" s="619"/>
      <c r="F149" s="619"/>
      <c r="G149" s="620"/>
      <c r="H149" s="476"/>
    </row>
    <row r="150" spans="1:8" hidden="1" outlineLevel="1">
      <c r="H150" s="476"/>
    </row>
    <row r="151" spans="1:8" hidden="1" outlineLevel="1">
      <c r="H151" s="476"/>
    </row>
    <row r="152" spans="1:8" hidden="1" outlineLevel="1">
      <c r="A152" s="438" t="s">
        <v>1267</v>
      </c>
      <c r="B152" s="618" t="str">
        <f>"501010000 503000000 504000000"</f>
        <v>501010000 503000000 504000000</v>
      </c>
      <c r="C152" s="619"/>
      <c r="D152" s="619"/>
      <c r="E152" s="619"/>
      <c r="F152" s="619"/>
      <c r="G152" s="620"/>
      <c r="H152" s="476"/>
    </row>
    <row r="153" spans="1:8" hidden="1" outlineLevel="1">
      <c r="A153" s="438" t="s">
        <v>1268</v>
      </c>
      <c r="B153" s="618" t="str">
        <f>"501010000 503000000 504000000 505010000 505020000 505030000 505040000 505990000 502000000"</f>
        <v>501010000 503000000 504000000 505010000 505020000 505030000 505040000 505990000 502000000</v>
      </c>
      <c r="C153" s="619"/>
      <c r="D153" s="619"/>
      <c r="E153" s="619"/>
      <c r="F153" s="619"/>
      <c r="G153" s="620"/>
      <c r="H153" s="476"/>
    </row>
    <row r="154" spans="1:8" hidden="1" outlineLevel="1">
      <c r="A154" s="438" t="s">
        <v>1269</v>
      </c>
      <c r="B154" s="618" t="str">
        <f>"501010000 503000000 504000000 501020000 505010000 505020000 505030000 505040000 505990000 506000000"</f>
        <v>501010000 503000000 504000000 501020000 505010000 505020000 505030000 505040000 505990000 506000000</v>
      </c>
      <c r="C154" s="619"/>
      <c r="D154" s="619"/>
      <c r="E154" s="619"/>
      <c r="F154" s="619"/>
      <c r="G154" s="620"/>
      <c r="H154" s="476"/>
    </row>
    <row r="155" spans="1:8" hidden="1" outlineLevel="1">
      <c r="A155" s="438" t="s">
        <v>1270</v>
      </c>
      <c r="B155" s="618" t="str">
        <f>"501010000 503000000 504000000 501020000 505010000 505020000 505030000 505040000 505990000"</f>
        <v>501010000 503000000 504000000 501020000 505010000 505020000 505030000 505040000 505990000</v>
      </c>
      <c r="C155" s="619"/>
      <c r="D155" s="619"/>
      <c r="E155" s="619"/>
      <c r="F155" s="619"/>
      <c r="G155" s="620"/>
      <c r="H155" s="476"/>
    </row>
    <row r="156" spans="1:8" hidden="1" outlineLevel="1">
      <c r="A156" s="438" t="s">
        <v>1271</v>
      </c>
      <c r="B156" s="618" t="str">
        <f>"501010000 503000000 504000000 501020000 505010000 505020000 505030000 505040000 505990000"</f>
        <v>501010000 503000000 504000000 501020000 505010000 505020000 505030000 505040000 505990000</v>
      </c>
      <c r="C156" s="619"/>
      <c r="D156" s="619"/>
      <c r="E156" s="619"/>
      <c r="F156" s="619"/>
      <c r="G156" s="620"/>
      <c r="H156" s="476"/>
    </row>
    <row r="157" spans="1:8" hidden="1" outlineLevel="1">
      <c r="A157" s="438" t="s">
        <v>1272</v>
      </c>
      <c r="B157" s="618" t="str">
        <f>"501010000 503000000 504000000 501020000 505010000 505020000 505030000 505040000 505990000"</f>
        <v>501010000 503000000 504000000 501020000 505010000 505020000 505030000 505040000 505990000</v>
      </c>
      <c r="C157" s="619"/>
      <c r="D157" s="619"/>
      <c r="E157" s="619"/>
      <c r="F157" s="619"/>
      <c r="G157" s="620"/>
      <c r="H157" s="476"/>
    </row>
    <row r="158" spans="1:8" hidden="1" outlineLevel="1">
      <c r="A158" s="438" t="s">
        <v>1273</v>
      </c>
      <c r="B158" s="618" t="str">
        <f>"501010000 503000000 504000000 501020000 505010000 505020000 505030000 505040000 505990000 502000000"</f>
        <v>501010000 503000000 504000000 501020000 505010000 505020000 505030000 505040000 505990000 502000000</v>
      </c>
      <c r="C158" s="619"/>
      <c r="D158" s="619"/>
      <c r="E158" s="619"/>
      <c r="F158" s="619"/>
      <c r="G158" s="620"/>
      <c r="H158" s="476"/>
    </row>
    <row r="159" spans="1:8" hidden="1" outlineLevel="1">
      <c r="H159" s="476"/>
    </row>
    <row r="160" spans="1:8" hidden="1" outlineLevel="1">
      <c r="A160" s="438" t="s">
        <v>1274</v>
      </c>
      <c r="B160" s="618" t="str">
        <f>"501010000"</f>
        <v>501010000</v>
      </c>
      <c r="C160" s="619"/>
      <c r="D160" s="619"/>
      <c r="E160" s="619"/>
      <c r="F160" s="619"/>
      <c r="G160" s="620"/>
      <c r="H160" s="476"/>
    </row>
    <row r="161" spans="1:27" hidden="1" outlineLevel="1">
      <c r="A161" s="438" t="s">
        <v>1275</v>
      </c>
      <c r="B161" s="618" t="str">
        <f>""</f>
        <v/>
      </c>
      <c r="C161" s="619"/>
      <c r="D161" s="619"/>
      <c r="E161" s="619"/>
      <c r="F161" s="619"/>
      <c r="G161" s="620"/>
      <c r="H161" s="476"/>
    </row>
    <row r="162" spans="1:27" hidden="1" outlineLevel="1">
      <c r="A162" s="438" t="s">
        <v>1276</v>
      </c>
      <c r="B162" s="618" t="str">
        <f>"501010000"</f>
        <v>501010000</v>
      </c>
      <c r="C162" s="619"/>
      <c r="D162" s="619"/>
      <c r="E162" s="619"/>
      <c r="F162" s="619"/>
      <c r="G162" s="620"/>
      <c r="H162" s="476"/>
    </row>
    <row r="163" spans="1:27" hidden="1" outlineLevel="1">
      <c r="H163" s="476"/>
    </row>
    <row r="164" spans="1:27" hidden="1" outlineLevel="1">
      <c r="H164" s="476"/>
    </row>
    <row r="165" spans="1:27" hidden="1" outlineLevel="1">
      <c r="H165" s="476"/>
    </row>
    <row r="166" spans="1:27" collapsed="1">
      <c r="A166" s="438" t="s">
        <v>1259</v>
      </c>
      <c r="B166" s="618" t="str">
        <f>"501010000 504000000 501020000 506000000"</f>
        <v>501010000 504000000 501020000 506000000</v>
      </c>
      <c r="C166" s="619"/>
      <c r="D166" s="619"/>
      <c r="E166" s="619"/>
      <c r="F166" s="619"/>
      <c r="G166" s="620"/>
      <c r="H166" s="476"/>
      <c r="L166" s="432" t="e">
        <f ca="1">EV_DES(O6,$O$2)</f>
        <v>#NAME?</v>
      </c>
    </row>
    <row r="167" spans="1:27">
      <c r="A167" s="438"/>
      <c r="B167" s="480"/>
      <c r="C167" s="481"/>
      <c r="D167" s="481"/>
      <c r="E167" s="481"/>
      <c r="F167" s="481"/>
      <c r="G167" s="482"/>
      <c r="H167" s="476"/>
      <c r="L167" s="483" t="e">
        <f ca="1">IF(OR(currentStatus="Checking",currentStatus="Approved",currentStatus="LOCKED"),"Текущий рабочий статус : " &amp;currentStatus,"")</f>
        <v>#NAME?</v>
      </c>
    </row>
    <row r="168" spans="1:27">
      <c r="A168" s="438" t="s">
        <v>1260</v>
      </c>
      <c r="B168" s="618" t="str">
        <f>"501010000 504000000 501020000 506000000"</f>
        <v>501010000 504000000 501020000 506000000</v>
      </c>
      <c r="C168" s="619"/>
      <c r="D168" s="619"/>
      <c r="E168" s="619"/>
      <c r="F168" s="619"/>
      <c r="G168" s="620"/>
      <c r="H168" s="476"/>
      <c r="L168" s="484" t="e">
        <f ca="1">EV_DES(O13,$O$2)</f>
        <v>#NAME?</v>
      </c>
    </row>
    <row r="169" spans="1:27">
      <c r="A169" s="438" t="s">
        <v>1261</v>
      </c>
      <c r="B169" s="618" t="str">
        <f>"501010000"</f>
        <v>501010000</v>
      </c>
      <c r="C169" s="619"/>
      <c r="D169" s="619"/>
      <c r="E169" s="619"/>
      <c r="F169" s="619"/>
      <c r="G169" s="620"/>
      <c r="H169" s="476"/>
      <c r="L169" s="485" t="e">
        <f ca="1">IF(OR(currentStatus="Checking",currentStatus="Approved",currentStatus="LOCKED"),"","НЕВОЗМОЖНО ПОДПИСАНИЕ ЭЦП")</f>
        <v>#NAME?</v>
      </c>
    </row>
    <row r="170" spans="1:27">
      <c r="A170" s="438" t="s">
        <v>1262</v>
      </c>
      <c r="B170" s="618" t="str">
        <f>"501010000"</f>
        <v>501010000</v>
      </c>
      <c r="C170" s="619"/>
      <c r="D170" s="619"/>
      <c r="E170" s="619"/>
      <c r="F170" s="619"/>
      <c r="G170" s="620"/>
      <c r="H170" s="476"/>
      <c r="L170" s="432" t="s">
        <v>1277</v>
      </c>
    </row>
    <row r="171" spans="1:27">
      <c r="A171" s="438" t="s">
        <v>1263</v>
      </c>
      <c r="B171" s="618" t="str">
        <f>"501010000"</f>
        <v>501010000</v>
      </c>
      <c r="C171" s="619"/>
      <c r="D171" s="619"/>
      <c r="E171" s="619"/>
      <c r="F171" s="619"/>
      <c r="G171" s="620"/>
      <c r="H171" s="476"/>
      <c r="L171" s="486"/>
      <c r="M171" s="486"/>
      <c r="N171" s="621" t="str">
        <f>"Приходится на акционера материнской компании"</f>
        <v>Приходится на акционера материнской компании</v>
      </c>
      <c r="O171" s="621"/>
      <c r="P171" s="621"/>
      <c r="Q171" s="621"/>
      <c r="R171" s="621"/>
      <c r="S171" s="621"/>
      <c r="T171" s="621"/>
      <c r="U171" s="621"/>
      <c r="V171" s="621"/>
      <c r="W171" s="621"/>
      <c r="X171" s="621"/>
      <c r="Y171" s="622"/>
      <c r="Z171" s="487"/>
      <c r="AA171" s="488"/>
    </row>
    <row r="172" spans="1:27" hidden="1">
      <c r="A172" s="438" t="s">
        <v>1264</v>
      </c>
      <c r="B172" s="618" t="str">
        <f>"501010000"</f>
        <v>501010000</v>
      </c>
      <c r="C172" s="619"/>
      <c r="D172" s="619"/>
      <c r="E172" s="619"/>
      <c r="F172" s="619"/>
      <c r="G172" s="620"/>
      <c r="H172" s="476"/>
      <c r="L172" s="489"/>
      <c r="M172" s="490" t="s">
        <v>1278</v>
      </c>
      <c r="N172" s="491" t="s">
        <v>629</v>
      </c>
      <c r="O172" s="491" t="s">
        <v>629</v>
      </c>
      <c r="P172" s="491" t="s">
        <v>629</v>
      </c>
      <c r="Q172" s="491" t="s">
        <v>629</v>
      </c>
      <c r="R172" s="491" t="s">
        <v>629</v>
      </c>
      <c r="S172" s="491" t="s">
        <v>629</v>
      </c>
      <c r="T172" s="491" t="s">
        <v>629</v>
      </c>
      <c r="U172" s="491" t="s">
        <v>629</v>
      </c>
      <c r="V172" s="491" t="s">
        <v>629</v>
      </c>
      <c r="W172" s="491" t="s">
        <v>629</v>
      </c>
      <c r="X172" s="491" t="s">
        <v>629</v>
      </c>
      <c r="Z172" s="491" t="s">
        <v>629</v>
      </c>
      <c r="AA172" s="491" t="s">
        <v>629</v>
      </c>
    </row>
    <row r="173" spans="1:27" hidden="1">
      <c r="A173" s="438" t="s">
        <v>1265</v>
      </c>
      <c r="B173" s="618" t="str">
        <f>"501010000 503000000 504000000 501020000 505010000 505020000 505030000 505040000 502000000 599990000"</f>
        <v>501010000 503000000 504000000 501020000 505010000 505020000 505030000 505040000 502000000 599990000</v>
      </c>
      <c r="C173" s="619"/>
      <c r="D173" s="619"/>
      <c r="E173" s="619"/>
      <c r="F173" s="619"/>
      <c r="G173" s="620"/>
      <c r="H173" s="476"/>
      <c r="L173" s="489"/>
      <c r="M173" s="492"/>
      <c r="N173" s="493">
        <v>501010000</v>
      </c>
      <c r="O173" s="493">
        <v>503000000</v>
      </c>
      <c r="P173" s="493">
        <v>504000000</v>
      </c>
      <c r="Q173" s="493">
        <v>501020000</v>
      </c>
      <c r="R173" s="493">
        <v>505010000</v>
      </c>
      <c r="S173" s="493">
        <v>505020000</v>
      </c>
      <c r="T173" s="493">
        <v>505030000</v>
      </c>
      <c r="U173" s="493">
        <v>505040000</v>
      </c>
      <c r="V173" s="493">
        <v>505990000</v>
      </c>
      <c r="W173" s="493">
        <v>502000000</v>
      </c>
      <c r="X173" s="493">
        <v>506000000</v>
      </c>
      <c r="Z173" s="493">
        <v>599990000</v>
      </c>
      <c r="AA173" s="493">
        <v>500000000</v>
      </c>
    </row>
    <row r="174" spans="1:27">
      <c r="A174" s="438" t="s">
        <v>1266</v>
      </c>
      <c r="B174" s="618" t="str">
        <f>"501010000 503000000 504000000 501020000 505010000 505020000 505040000 505990000 502000000 599990000"</f>
        <v>501010000 503000000 504000000 501020000 505010000 505020000 505040000 505990000 502000000 599990000</v>
      </c>
      <c r="C174" s="619"/>
      <c r="D174" s="619"/>
      <c r="E174" s="619"/>
      <c r="F174" s="619"/>
      <c r="G174" s="620"/>
      <c r="H174" s="476"/>
      <c r="L174" s="494"/>
      <c r="M174" s="494"/>
      <c r="N174" s="457" t="e">
        <f t="shared" ref="N174:X174" ca="1" si="2">IF(EV_DES(N173,$O$2)="#NODATA","",EV_DES(N173,$O$2))</f>
        <v>#NAME?</v>
      </c>
      <c r="O174" s="457" t="e">
        <f t="shared" ca="1" si="2"/>
        <v>#NAME?</v>
      </c>
      <c r="P174" s="457" t="e">
        <f t="shared" ca="1" si="2"/>
        <v>#NAME?</v>
      </c>
      <c r="Q174" s="457" t="e">
        <f t="shared" ca="1" si="2"/>
        <v>#NAME?</v>
      </c>
      <c r="R174" s="457" t="e">
        <f t="shared" ca="1" si="2"/>
        <v>#NAME?</v>
      </c>
      <c r="S174" s="457" t="e">
        <f t="shared" ca="1" si="2"/>
        <v>#NAME?</v>
      </c>
      <c r="T174" s="457" t="e">
        <f t="shared" ca="1" si="2"/>
        <v>#NAME?</v>
      </c>
      <c r="U174" s="457" t="e">
        <f t="shared" ca="1" si="2"/>
        <v>#NAME?</v>
      </c>
      <c r="V174" s="457" t="e">
        <f t="shared" ca="1" si="2"/>
        <v>#NAME?</v>
      </c>
      <c r="W174" s="457" t="e">
        <f t="shared" ca="1" si="2"/>
        <v>#NAME?</v>
      </c>
      <c r="X174" s="457" t="e">
        <f t="shared" ca="1" si="2"/>
        <v>#NAME?</v>
      </c>
      <c r="Y174" s="495" t="s">
        <v>523</v>
      </c>
      <c r="Z174" s="457" t="e">
        <f ca="1">IF(EV_DES(Z173,$O$2)="#NODATA","",EV_DES(Z173,$O$2))</f>
        <v>#NAME?</v>
      </c>
      <c r="AA174" s="457" t="e">
        <f ca="1">IF(EV_DES(AA173,$O$2)="#NODATA","",EV_DES(AA173,$O$2))</f>
        <v>#NAME?</v>
      </c>
    </row>
    <row r="175" spans="1:27">
      <c r="H175" s="476"/>
      <c r="J175" s="496" t="s">
        <v>1250</v>
      </c>
      <c r="K175" s="496" t="s">
        <v>1133</v>
      </c>
      <c r="L175" s="462" t="e">
        <f ca="1">IF(EV_DES(K175,$O$2)="#NODATA","",EV_PRO($O$2,K175,"U_DESCRIPTION")&amp;" "&amp;$O$13)</f>
        <v>#NAME?</v>
      </c>
      <c r="M175" s="462"/>
      <c r="N175" s="464">
        <v>-355364386</v>
      </c>
      <c r="O175" s="464"/>
      <c r="P175" s="464"/>
      <c r="Q175" s="464">
        <v>-37194831</v>
      </c>
      <c r="R175" s="464"/>
      <c r="S175" s="464"/>
      <c r="T175" s="464"/>
      <c r="U175" s="464"/>
      <c r="V175" s="464"/>
      <c r="W175" s="464"/>
      <c r="X175" s="464">
        <v>-98355018</v>
      </c>
      <c r="Y175" s="497">
        <f t="shared" ref="Y175:Y214" si="3">SUM(N175:X175)</f>
        <v>-490914235</v>
      </c>
      <c r="Z175" s="464">
        <v>-2138284</v>
      </c>
      <c r="AA175" s="464">
        <v>-493052519</v>
      </c>
    </row>
    <row r="176" spans="1:27" hidden="1">
      <c r="C176" s="439" t="s">
        <v>834</v>
      </c>
      <c r="H176" s="476"/>
      <c r="J176" s="496"/>
      <c r="K176" s="496"/>
      <c r="L176" s="458" t="e">
        <f ca="1">IF(EV_DES(K176,$O$2)="#NODATA","",EV_PRO($O$2,K176,"U_DESCRIPTION")&amp;" "&amp;$O$13)</f>
        <v>#NAME?</v>
      </c>
      <c r="M176" s="458"/>
      <c r="N176" s="453"/>
      <c r="O176" s="453"/>
      <c r="P176" s="453"/>
      <c r="Q176" s="453"/>
      <c r="R176" s="453"/>
      <c r="S176" s="453"/>
      <c r="T176" s="453"/>
      <c r="U176" s="453"/>
      <c r="V176" s="453"/>
      <c r="W176" s="453"/>
      <c r="X176" s="453"/>
      <c r="Y176" s="497">
        <f t="shared" si="3"/>
        <v>0</v>
      </c>
      <c r="Z176" s="453"/>
      <c r="AA176" s="460"/>
    </row>
    <row r="177" spans="1:27">
      <c r="C177" s="439" t="s">
        <v>834</v>
      </c>
      <c r="H177" s="476"/>
      <c r="J177" s="496" t="s">
        <v>1250</v>
      </c>
      <c r="K177" s="496" t="s">
        <v>1279</v>
      </c>
      <c r="L177" s="458" t="e">
        <f t="shared" ref="L177:L212" ca="1" si="4">IF(EV_DES(K177,$O$2)="#NODATA","",EV_PRO($O$2,K177,"U_DESCRIPTION"))</f>
        <v>#NAME?</v>
      </c>
      <c r="M177" s="458" t="str">
        <f>"501010000 503000000 504000000 501020000 502000000"</f>
        <v>501010000 503000000 504000000 501020000 502000000</v>
      </c>
      <c r="N177" s="460"/>
      <c r="O177" s="460"/>
      <c r="P177" s="460"/>
      <c r="Q177" s="460"/>
      <c r="R177" s="460"/>
      <c r="S177" s="460"/>
      <c r="T177" s="460"/>
      <c r="U177" s="460"/>
      <c r="V177" s="460"/>
      <c r="W177" s="460"/>
      <c r="X177" s="460">
        <v>-17185989.221999999</v>
      </c>
      <c r="Y177" s="498">
        <f t="shared" si="3"/>
        <v>-17185989.221999999</v>
      </c>
      <c r="Z177" s="460">
        <v>-291802</v>
      </c>
      <c r="AA177" s="460">
        <v>-17477791.221999999</v>
      </c>
    </row>
    <row r="178" spans="1:27" hidden="1">
      <c r="A178" s="438" t="s">
        <v>1269</v>
      </c>
      <c r="B178" s="618" t="str">
        <f>"501010000 503000000 504000000 501020000 505010000 505020000 505030000 505040000 505990000"</f>
        <v>501010000 503000000 504000000 501020000 505010000 505020000 505030000 505040000 505990000</v>
      </c>
      <c r="C178" s="619"/>
      <c r="D178" s="619"/>
      <c r="E178" s="619"/>
      <c r="F178" s="619"/>
      <c r="G178" s="620"/>
      <c r="H178" s="476"/>
      <c r="J178" s="496"/>
      <c r="K178" s="496"/>
      <c r="L178" s="458" t="e">
        <f t="shared" ca="1" si="4"/>
        <v>#NAME?</v>
      </c>
      <c r="M178" s="458" t="str">
        <f>"501010000 503000000 504000000 501020000 502000000"</f>
        <v>501010000 503000000 504000000 501020000 502000000</v>
      </c>
      <c r="N178" s="453"/>
      <c r="O178" s="453"/>
      <c r="P178" s="453"/>
      <c r="Q178" s="453"/>
      <c r="R178" s="453"/>
      <c r="S178" s="453"/>
      <c r="T178" s="453"/>
      <c r="U178" s="453"/>
      <c r="V178" s="453"/>
      <c r="W178" s="453"/>
      <c r="X178" s="453"/>
      <c r="Y178" s="498">
        <f t="shared" ref="Y178" si="5">SUM(N178:X178)</f>
        <v>0</v>
      </c>
      <c r="Z178" s="453"/>
      <c r="AA178" s="460"/>
    </row>
    <row r="179" spans="1:27" hidden="1">
      <c r="A179" s="438" t="s">
        <v>1270</v>
      </c>
      <c r="B179" s="618" t="str">
        <f>"501010000 503000000 504000000 501020000 505010000 505020000 505030000 505040000 505990000"</f>
        <v>501010000 503000000 504000000 501020000 505010000 505020000 505030000 505040000 505990000</v>
      </c>
      <c r="C179" s="619"/>
      <c r="D179" s="619"/>
      <c r="E179" s="619"/>
      <c r="F179" s="619"/>
      <c r="G179" s="620"/>
      <c r="H179" s="476"/>
      <c r="J179" s="496"/>
      <c r="K179" s="496"/>
      <c r="L179" s="458" t="e">
        <f t="shared" ca="1" si="4"/>
        <v>#NAME?</v>
      </c>
      <c r="M179" s="458" t="str">
        <f>"503000000 501020000 505010000 505020000 505030000 505040000 505990000 502000000"</f>
        <v>503000000 501020000 505010000 505020000 505030000 505040000 505990000 502000000</v>
      </c>
      <c r="N179" s="453"/>
      <c r="O179" s="453"/>
      <c r="P179" s="453"/>
      <c r="Q179" s="453"/>
      <c r="R179" s="453"/>
      <c r="S179" s="453"/>
      <c r="T179" s="453"/>
      <c r="U179" s="453"/>
      <c r="V179" s="453"/>
      <c r="W179" s="453"/>
      <c r="X179" s="453"/>
      <c r="Y179" s="498">
        <f t="shared" si="3"/>
        <v>0</v>
      </c>
      <c r="Z179" s="453"/>
      <c r="AA179" s="460"/>
    </row>
    <row r="180" spans="1:27" hidden="1">
      <c r="A180" s="438" t="s">
        <v>1271</v>
      </c>
      <c r="B180" s="618" t="str">
        <f>"501010000 503000000 504000000 501020000 505010000 505020000 505030000 505040000 505990000"</f>
        <v>501010000 503000000 504000000 501020000 505010000 505020000 505030000 505040000 505990000</v>
      </c>
      <c r="C180" s="619"/>
      <c r="D180" s="619"/>
      <c r="E180" s="619"/>
      <c r="F180" s="619"/>
      <c r="G180" s="620"/>
      <c r="H180" s="476"/>
      <c r="J180" s="496"/>
      <c r="K180" s="496"/>
      <c r="L180" s="458" t="e">
        <f t="shared" ca="1" si="4"/>
        <v>#NAME?</v>
      </c>
      <c r="M180" s="458" t="str">
        <f>"503000000 501020000 505010000 505020000 505030000 505040000 505990000 502000000"</f>
        <v>503000000 501020000 505010000 505020000 505030000 505040000 505990000 502000000</v>
      </c>
      <c r="N180" s="453"/>
      <c r="O180" s="453"/>
      <c r="P180" s="453"/>
      <c r="Q180" s="453"/>
      <c r="R180" s="453"/>
      <c r="S180" s="453"/>
      <c r="T180" s="453"/>
      <c r="U180" s="453"/>
      <c r="V180" s="453"/>
      <c r="W180" s="453"/>
      <c r="X180" s="453"/>
      <c r="Y180" s="498">
        <f t="shared" ref="Y180" si="6">SUM(N180:X180)</f>
        <v>0</v>
      </c>
      <c r="Z180" s="453"/>
      <c r="AA180" s="460"/>
    </row>
    <row r="181" spans="1:27" hidden="1">
      <c r="A181" s="438" t="s">
        <v>1272</v>
      </c>
      <c r="B181" s="618" t="str">
        <f>"501010000 503000000 504000000 501020000 505010000 505020000 505030000 505040000 505990000"</f>
        <v>501010000 503000000 504000000 501020000 505010000 505020000 505030000 505040000 505990000</v>
      </c>
      <c r="C181" s="619"/>
      <c r="D181" s="619"/>
      <c r="E181" s="619"/>
      <c r="F181" s="619"/>
      <c r="G181" s="620"/>
      <c r="H181" s="476"/>
      <c r="J181" s="496"/>
      <c r="K181" s="496"/>
      <c r="L181" s="458" t="e">
        <f t="shared" ca="1" si="4"/>
        <v>#NAME?</v>
      </c>
      <c r="M181" s="458" t="str">
        <f>"503000000 501020000 505010000 505020000 505030000 505040000 505990000 502000000"</f>
        <v>503000000 501020000 505010000 505020000 505030000 505040000 505990000 502000000</v>
      </c>
      <c r="N181" s="453"/>
      <c r="O181" s="453"/>
      <c r="P181" s="453"/>
      <c r="Q181" s="453"/>
      <c r="R181" s="453"/>
      <c r="S181" s="453"/>
      <c r="T181" s="453"/>
      <c r="U181" s="453"/>
      <c r="V181" s="453"/>
      <c r="W181" s="453"/>
      <c r="X181" s="453"/>
      <c r="Y181" s="498">
        <f t="shared" si="3"/>
        <v>0</v>
      </c>
      <c r="Z181" s="453"/>
      <c r="AA181" s="460"/>
    </row>
    <row r="182" spans="1:27" hidden="1">
      <c r="A182" s="438" t="s">
        <v>1273</v>
      </c>
      <c r="B182" s="618" t="str">
        <f>"501010000 503000000 504000000 501020000 505010000 505020000 505030000 505040000 505990000 502000000"</f>
        <v>501010000 503000000 504000000 501020000 505010000 505020000 505030000 505040000 505990000 502000000</v>
      </c>
      <c r="C182" s="619"/>
      <c r="D182" s="619"/>
      <c r="E182" s="619"/>
      <c r="F182" s="619"/>
      <c r="G182" s="620"/>
      <c r="H182" s="476"/>
      <c r="J182" s="496"/>
      <c r="K182" s="496"/>
      <c r="L182" s="458" t="e">
        <f t="shared" ca="1" si="4"/>
        <v>#NAME?</v>
      </c>
      <c r="M182" s="458" t="str">
        <f>"503000000 501020000 505010000 505020000 505030000 505040000 505990000 502000000"</f>
        <v>503000000 501020000 505010000 505020000 505030000 505040000 505990000 502000000</v>
      </c>
      <c r="N182" s="453"/>
      <c r="O182" s="453"/>
      <c r="P182" s="453"/>
      <c r="Q182" s="453"/>
      <c r="R182" s="453"/>
      <c r="S182" s="453"/>
      <c r="T182" s="453"/>
      <c r="U182" s="453"/>
      <c r="V182" s="453"/>
      <c r="W182" s="453"/>
      <c r="X182" s="453"/>
      <c r="Y182" s="498">
        <f t="shared" ref="Y182" si="7">SUM(N182:X182)</f>
        <v>0</v>
      </c>
      <c r="Z182" s="453"/>
      <c r="AA182" s="460"/>
    </row>
    <row r="183" spans="1:27" hidden="1">
      <c r="A183" s="475"/>
      <c r="B183" s="475"/>
      <c r="C183" s="475"/>
      <c r="D183" s="475"/>
      <c r="E183" s="475"/>
      <c r="F183" s="475"/>
      <c r="G183" s="475"/>
      <c r="H183" s="476"/>
      <c r="J183" s="496"/>
      <c r="K183" s="496"/>
      <c r="L183" s="458" t="e">
        <f t="shared" ca="1" si="4"/>
        <v>#NAME?</v>
      </c>
      <c r="M183" s="458" t="str">
        <f>"501010000 504000000 505010000 505020000 505030000 505040000 505990000 502000000 506000000"</f>
        <v>501010000 504000000 505010000 505020000 505030000 505040000 505990000 502000000 506000000</v>
      </c>
      <c r="N183" s="453"/>
      <c r="O183" s="453"/>
      <c r="P183" s="453"/>
      <c r="Q183" s="453"/>
      <c r="R183" s="453"/>
      <c r="S183" s="453"/>
      <c r="T183" s="453"/>
      <c r="U183" s="453"/>
      <c r="V183" s="453"/>
      <c r="W183" s="453"/>
      <c r="X183" s="453"/>
      <c r="Y183" s="498">
        <f t="shared" si="3"/>
        <v>0</v>
      </c>
      <c r="Z183" s="453"/>
      <c r="AA183" s="460"/>
    </row>
    <row r="184" spans="1:27" hidden="1">
      <c r="A184" s="475"/>
      <c r="B184" s="475"/>
      <c r="C184" s="475"/>
      <c r="D184" s="475"/>
      <c r="E184" s="475"/>
      <c r="F184" s="475"/>
      <c r="G184" s="475"/>
      <c r="H184" s="476"/>
      <c r="J184" s="496"/>
      <c r="K184" s="496"/>
      <c r="L184" s="458" t="e">
        <f t="shared" ca="1" si="4"/>
        <v>#NAME?</v>
      </c>
      <c r="M184" s="458" t="str">
        <f>"501010000 504000000 505010000 505020000 505030000 505040000 505990000 502000000 506000000"</f>
        <v>501010000 504000000 505010000 505020000 505030000 505040000 505990000 502000000 506000000</v>
      </c>
      <c r="N184" s="453"/>
      <c r="O184" s="453"/>
      <c r="P184" s="453"/>
      <c r="Q184" s="453"/>
      <c r="R184" s="453"/>
      <c r="S184" s="453"/>
      <c r="T184" s="453"/>
      <c r="U184" s="453"/>
      <c r="V184" s="453"/>
      <c r="W184" s="453"/>
      <c r="X184" s="453"/>
      <c r="Y184" s="498">
        <f t="shared" ref="Y184" si="8">SUM(N184:X184)</f>
        <v>0</v>
      </c>
      <c r="Z184" s="453"/>
      <c r="AA184" s="460"/>
    </row>
    <row r="185" spans="1:27" hidden="1">
      <c r="A185" s="475"/>
      <c r="B185" s="475"/>
      <c r="C185" s="475"/>
      <c r="D185" s="475"/>
      <c r="E185" s="475"/>
      <c r="F185" s="475"/>
      <c r="G185" s="475"/>
      <c r="H185" s="476"/>
      <c r="J185" s="496"/>
      <c r="K185" s="496"/>
      <c r="L185" s="458" t="e">
        <f t="shared" ca="1" si="4"/>
        <v>#NAME?</v>
      </c>
      <c r="M185" s="458" t="str">
        <f>"501010000 504000000 501020000 505010000 505020000 505030000 505040000 505990000 502000000 506000000"</f>
        <v>501010000 504000000 501020000 505010000 505020000 505030000 505040000 505990000 502000000 506000000</v>
      </c>
      <c r="N185" s="453"/>
      <c r="O185" s="453"/>
      <c r="P185" s="453"/>
      <c r="Q185" s="453"/>
      <c r="R185" s="453"/>
      <c r="S185" s="453"/>
      <c r="T185" s="453"/>
      <c r="U185" s="453"/>
      <c r="V185" s="453"/>
      <c r="W185" s="453"/>
      <c r="X185" s="453"/>
      <c r="Y185" s="498">
        <f t="shared" si="3"/>
        <v>0</v>
      </c>
      <c r="Z185" s="453"/>
      <c r="AA185" s="460"/>
    </row>
    <row r="186" spans="1:27" hidden="1">
      <c r="A186" s="475"/>
      <c r="B186" s="475"/>
      <c r="C186" s="475"/>
      <c r="D186" s="475"/>
      <c r="E186" s="475"/>
      <c r="F186" s="475"/>
      <c r="G186" s="475"/>
      <c r="H186" s="476"/>
      <c r="J186" s="496"/>
      <c r="K186" s="496"/>
      <c r="L186" s="458" t="e">
        <f t="shared" ca="1" si="4"/>
        <v>#NAME?</v>
      </c>
      <c r="M186" s="458" t="str">
        <f>"501010000 504000000 501020000 505010000 505020000 505030000 505040000 505990000 502000000 506000000"</f>
        <v>501010000 504000000 501020000 505010000 505020000 505030000 505040000 505990000 502000000 506000000</v>
      </c>
      <c r="N186" s="453"/>
      <c r="O186" s="453"/>
      <c r="P186" s="453"/>
      <c r="Q186" s="453"/>
      <c r="R186" s="453"/>
      <c r="S186" s="453"/>
      <c r="T186" s="453"/>
      <c r="U186" s="453"/>
      <c r="V186" s="453"/>
      <c r="W186" s="453"/>
      <c r="X186" s="453"/>
      <c r="Y186" s="498">
        <f t="shared" ref="Y186" si="9">SUM(N186:X186)</f>
        <v>0</v>
      </c>
      <c r="Z186" s="453"/>
      <c r="AA186" s="460"/>
    </row>
    <row r="187" spans="1:27" hidden="1">
      <c r="A187" s="475"/>
      <c r="B187" s="475"/>
      <c r="C187" s="475"/>
      <c r="D187" s="475"/>
      <c r="E187" s="475"/>
      <c r="F187" s="475"/>
      <c r="G187" s="475"/>
      <c r="H187" s="476"/>
      <c r="J187" s="496"/>
      <c r="K187" s="496"/>
      <c r="L187" s="458" t="e">
        <f t="shared" ca="1" si="4"/>
        <v>#NAME?</v>
      </c>
      <c r="M187" s="458" t="str">
        <f>"501010000 504000000 501020000 505010000 505020000 505030000 505040000 505990000 502000000 506000000"</f>
        <v>501010000 504000000 501020000 505010000 505020000 505030000 505040000 505990000 502000000 506000000</v>
      </c>
      <c r="N187" s="453"/>
      <c r="O187" s="453"/>
      <c r="P187" s="453"/>
      <c r="Q187" s="453"/>
      <c r="R187" s="453"/>
      <c r="S187" s="453"/>
      <c r="T187" s="453"/>
      <c r="U187" s="453"/>
      <c r="V187" s="453"/>
      <c r="W187" s="453"/>
      <c r="X187" s="453"/>
      <c r="Y187" s="498">
        <f t="shared" si="3"/>
        <v>0</v>
      </c>
      <c r="Z187" s="453"/>
      <c r="AA187" s="460"/>
    </row>
    <row r="188" spans="1:27" hidden="1">
      <c r="A188" s="475"/>
      <c r="B188" s="475"/>
      <c r="C188" s="475"/>
      <c r="D188" s="475"/>
      <c r="E188" s="475"/>
      <c r="F188" s="475"/>
      <c r="G188" s="475"/>
      <c r="H188" s="476"/>
      <c r="J188" s="496"/>
      <c r="K188" s="496"/>
      <c r="L188" s="458" t="e">
        <f t="shared" ca="1" si="4"/>
        <v>#NAME?</v>
      </c>
      <c r="M188" s="458" t="str">
        <f>"501010000 504000000 501020000 505010000 505020000 505030000 505040000 505990000 502000000 506000000"</f>
        <v>501010000 504000000 501020000 505010000 505020000 505030000 505040000 505990000 502000000 506000000</v>
      </c>
      <c r="N188" s="453"/>
      <c r="O188" s="453"/>
      <c r="P188" s="453"/>
      <c r="Q188" s="453"/>
      <c r="R188" s="453"/>
      <c r="S188" s="453"/>
      <c r="T188" s="453"/>
      <c r="U188" s="453"/>
      <c r="V188" s="453"/>
      <c r="W188" s="453"/>
      <c r="X188" s="453"/>
      <c r="Y188" s="498">
        <f t="shared" ref="Y188" si="10">SUM(N188:X188)</f>
        <v>0</v>
      </c>
      <c r="Z188" s="453"/>
      <c r="AA188" s="460"/>
    </row>
    <row r="189" spans="1:27" hidden="1">
      <c r="A189" s="475"/>
      <c r="B189" s="475"/>
      <c r="C189" s="475"/>
      <c r="D189" s="475"/>
      <c r="E189" s="475"/>
      <c r="F189" s="475"/>
      <c r="G189" s="475"/>
      <c r="H189" s="476"/>
      <c r="J189" s="496"/>
      <c r="K189" s="496"/>
      <c r="L189" s="458" t="e">
        <f t="shared" ca="1" si="4"/>
        <v>#NAME?</v>
      </c>
      <c r="M189" s="458" t="str">
        <f>"501010000 503000000 504000000 505010000 505020000 505030000 505040000 505990000 502000000"</f>
        <v>501010000 503000000 504000000 505010000 505020000 505030000 505040000 505990000 502000000</v>
      </c>
      <c r="N189" s="453"/>
      <c r="O189" s="453"/>
      <c r="P189" s="453"/>
      <c r="Q189" s="453"/>
      <c r="R189" s="453"/>
      <c r="S189" s="453"/>
      <c r="T189" s="453"/>
      <c r="U189" s="453"/>
      <c r="V189" s="453"/>
      <c r="W189" s="453"/>
      <c r="X189" s="453"/>
      <c r="Y189" s="497">
        <f t="shared" si="3"/>
        <v>0</v>
      </c>
      <c r="Z189" s="453"/>
      <c r="AA189" s="460"/>
    </row>
    <row r="190" spans="1:27" hidden="1">
      <c r="A190" s="475"/>
      <c r="B190" s="475"/>
      <c r="C190" s="475"/>
      <c r="D190" s="475"/>
      <c r="E190" s="475"/>
      <c r="F190" s="475"/>
      <c r="G190" s="475"/>
      <c r="H190" s="476"/>
      <c r="J190" s="496"/>
      <c r="K190" s="496"/>
      <c r="L190" s="458" t="e">
        <f t="shared" ca="1" si="4"/>
        <v>#NAME?</v>
      </c>
      <c r="M190" s="458" t="str">
        <f>"501010000 503000000 504000000 505010000 505020000 505030000 505040000 505990000 502000000"</f>
        <v>501010000 503000000 504000000 505010000 505020000 505030000 505040000 505990000 502000000</v>
      </c>
      <c r="N190" s="453"/>
      <c r="O190" s="453"/>
      <c r="P190" s="453"/>
      <c r="Q190" s="453"/>
      <c r="R190" s="453"/>
      <c r="S190" s="453"/>
      <c r="T190" s="453"/>
      <c r="U190" s="453"/>
      <c r="V190" s="453"/>
      <c r="W190" s="453"/>
      <c r="X190" s="453"/>
      <c r="Y190" s="497">
        <f t="shared" ref="Y190" si="11">SUM(N190:X190)</f>
        <v>0</v>
      </c>
      <c r="Z190" s="453"/>
      <c r="AA190" s="460"/>
    </row>
    <row r="191" spans="1:27" hidden="1">
      <c r="A191" s="429" t="s">
        <v>658</v>
      </c>
      <c r="J191" s="496"/>
      <c r="K191" s="496"/>
      <c r="L191" s="458" t="e">
        <f t="shared" ca="1" si="4"/>
        <v>#NAME?</v>
      </c>
      <c r="M191" s="458" t="str">
        <f>"501010000 503000000 504000000 505010000 505020000 505030000 505040000 505990000 502000000 599990000"</f>
        <v>501010000 503000000 504000000 505010000 505020000 505030000 505040000 505990000 502000000 599990000</v>
      </c>
      <c r="N191" s="453"/>
      <c r="O191" s="453"/>
      <c r="P191" s="453"/>
      <c r="Q191" s="453"/>
      <c r="R191" s="453"/>
      <c r="S191" s="453"/>
      <c r="T191" s="453"/>
      <c r="U191" s="453"/>
      <c r="V191" s="453"/>
      <c r="W191" s="453"/>
      <c r="X191" s="453"/>
      <c r="Y191" s="498">
        <f t="shared" si="3"/>
        <v>0</v>
      </c>
      <c r="Z191" s="453"/>
      <c r="AA191" s="460"/>
    </row>
    <row r="192" spans="1:27" hidden="1">
      <c r="A192" s="429" t="e">
        <f ca="1">EV_LCK(EV_APP(),0,EV_CVW(EV_APP(),"TIME"),EV_CVW(EV_APP(),"C_ENTITY"),"ACTUAL",EV_CVW(EV_APP(),"C_DATATS"))</f>
        <v>#NAME?</v>
      </c>
      <c r="J192" s="496"/>
      <c r="K192" s="496"/>
      <c r="L192" s="458" t="e">
        <f t="shared" ca="1" si="4"/>
        <v>#NAME?</v>
      </c>
      <c r="M192" s="458" t="str">
        <f>"501010000 503000000 504000000 505010000 505020000 505030000 505040000 505990000 502000000 599990000"</f>
        <v>501010000 503000000 504000000 505010000 505020000 505030000 505040000 505990000 502000000 599990000</v>
      </c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98">
        <f t="shared" ref="Y192" si="12">SUM(N192:X192)</f>
        <v>0</v>
      </c>
      <c r="Z192" s="453"/>
      <c r="AA192" s="460"/>
    </row>
    <row r="193" spans="10:27" hidden="1">
      <c r="J193" s="496"/>
      <c r="K193" s="496"/>
      <c r="L193" s="458" t="e">
        <f t="shared" ca="1" si="4"/>
        <v>#NAME?</v>
      </c>
      <c r="M193" s="458" t="str">
        <f>"501010000 503000000 504000000 505010000 505020000 505030000 505040000 505990000 502000000"</f>
        <v>501010000 503000000 504000000 505010000 505020000 505030000 505040000 505990000 502000000</v>
      </c>
      <c r="N193" s="453"/>
      <c r="O193" s="453"/>
      <c r="P193" s="453"/>
      <c r="Q193" s="453"/>
      <c r="R193" s="453"/>
      <c r="S193" s="453"/>
      <c r="T193" s="453"/>
      <c r="U193" s="453"/>
      <c r="V193" s="453"/>
      <c r="W193" s="453"/>
      <c r="X193" s="453"/>
      <c r="Y193" s="498">
        <f t="shared" si="3"/>
        <v>0</v>
      </c>
      <c r="Z193" s="453"/>
      <c r="AA193" s="460"/>
    </row>
    <row r="194" spans="10:27" hidden="1">
      <c r="J194" s="496"/>
      <c r="K194" s="496"/>
      <c r="L194" s="458" t="e">
        <f t="shared" ca="1" si="4"/>
        <v>#NAME?</v>
      </c>
      <c r="M194" s="458" t="str">
        <f>"501010000 503000000 504000000 505010000 505020000 505030000 505040000 505990000 502000000"</f>
        <v>501010000 503000000 504000000 505010000 505020000 505030000 505040000 505990000 502000000</v>
      </c>
      <c r="N194" s="453"/>
      <c r="O194" s="453"/>
      <c r="P194" s="453"/>
      <c r="Q194" s="453"/>
      <c r="R194" s="453"/>
      <c r="S194" s="453"/>
      <c r="T194" s="453"/>
      <c r="U194" s="453"/>
      <c r="V194" s="453"/>
      <c r="W194" s="453"/>
      <c r="X194" s="453"/>
      <c r="Y194" s="498">
        <f t="shared" ref="Y194" si="13">SUM(N194:X194)</f>
        <v>0</v>
      </c>
      <c r="Z194" s="453"/>
      <c r="AA194" s="460"/>
    </row>
    <row r="195" spans="10:27" hidden="1">
      <c r="J195" s="496"/>
      <c r="K195" s="496"/>
      <c r="L195" s="458" t="e">
        <f t="shared" ca="1" si="4"/>
        <v>#NAME?</v>
      </c>
      <c r="M195" s="458" t="e">
        <f ca="1">OFFSET($B$141,MATCH(K195,$A$142:$A$149,0),0)</f>
        <v>#N/A</v>
      </c>
      <c r="N195" s="453"/>
      <c r="O195" s="453"/>
      <c r="P195" s="453"/>
      <c r="Q195" s="453"/>
      <c r="R195" s="453"/>
      <c r="S195" s="453"/>
      <c r="T195" s="453"/>
      <c r="U195" s="453"/>
      <c r="V195" s="453"/>
      <c r="W195" s="453"/>
      <c r="X195" s="453"/>
      <c r="Y195" s="498">
        <f t="shared" si="3"/>
        <v>0</v>
      </c>
      <c r="Z195" s="453"/>
      <c r="AA195" s="460"/>
    </row>
    <row r="196" spans="10:27" hidden="1">
      <c r="J196" s="496"/>
      <c r="K196" s="496"/>
      <c r="L196" s="458" t="e">
        <f t="shared" ca="1" si="4"/>
        <v>#NAME?</v>
      </c>
      <c r="M196" s="458" t="e">
        <f ca="1">OFFSET($B$141,MATCH(K196,$A$142:$A$149,0),0)</f>
        <v>#N/A</v>
      </c>
      <c r="N196" s="453"/>
      <c r="O196" s="453"/>
      <c r="P196" s="453"/>
      <c r="Q196" s="453"/>
      <c r="R196" s="453"/>
      <c r="S196" s="453"/>
      <c r="T196" s="453"/>
      <c r="U196" s="453"/>
      <c r="V196" s="453"/>
      <c r="W196" s="453"/>
      <c r="X196" s="453"/>
      <c r="Y196" s="498">
        <f t="shared" ref="Y196" si="14">SUM(N196:X196)</f>
        <v>0</v>
      </c>
      <c r="Z196" s="453"/>
      <c r="AA196" s="460"/>
    </row>
    <row r="197" spans="10:27" hidden="1">
      <c r="J197" s="496"/>
      <c r="K197" s="496"/>
      <c r="L197" s="458" t="e">
        <f t="shared" ca="1" si="4"/>
        <v>#NAME?</v>
      </c>
      <c r="M197" s="458" t="str">
        <f>"501010000 503000000 504000000"</f>
        <v>501010000 503000000 504000000</v>
      </c>
      <c r="N197" s="453"/>
      <c r="O197" s="453"/>
      <c r="P197" s="453"/>
      <c r="Q197" s="453"/>
      <c r="R197" s="453"/>
      <c r="S197" s="453"/>
      <c r="T197" s="453"/>
      <c r="U197" s="453"/>
      <c r="V197" s="453"/>
      <c r="W197" s="453"/>
      <c r="X197" s="453"/>
      <c r="Y197" s="498">
        <f t="shared" si="3"/>
        <v>0</v>
      </c>
      <c r="Z197" s="453"/>
      <c r="AA197" s="460"/>
    </row>
    <row r="198" spans="10:27" hidden="1">
      <c r="J198" s="496"/>
      <c r="K198" s="496"/>
      <c r="L198" s="458" t="e">
        <f t="shared" ca="1" si="4"/>
        <v>#NAME?</v>
      </c>
      <c r="M198" s="458" t="str">
        <f>"501010000 503000000 504000000"</f>
        <v>501010000 503000000 504000000</v>
      </c>
      <c r="N198" s="453"/>
      <c r="O198" s="453"/>
      <c r="P198" s="453"/>
      <c r="Q198" s="453"/>
      <c r="R198" s="453"/>
      <c r="S198" s="453"/>
      <c r="T198" s="453"/>
      <c r="U198" s="453"/>
      <c r="V198" s="453"/>
      <c r="W198" s="453"/>
      <c r="X198" s="453"/>
      <c r="Y198" s="498">
        <f t="shared" ref="Y198" si="15">SUM(N198:X198)</f>
        <v>0</v>
      </c>
      <c r="Z198" s="453"/>
      <c r="AA198" s="460"/>
    </row>
    <row r="199" spans="10:27">
      <c r="J199" s="496" t="s">
        <v>903</v>
      </c>
      <c r="K199" s="496" t="s">
        <v>1280</v>
      </c>
      <c r="L199" s="458" t="e">
        <f t="shared" ca="1" si="4"/>
        <v>#NAME?</v>
      </c>
      <c r="M199" s="458" t="str">
        <f>"501010000 503000000 504000000 501020000 505010000 505020000 505030000 505040000 505990000 502000000 599990000"</f>
        <v>501010000 503000000 504000000 501020000 505010000 505020000 505030000 505040000 505990000 502000000 599990000</v>
      </c>
      <c r="N199" s="453"/>
      <c r="O199" s="453"/>
      <c r="P199" s="453"/>
      <c r="Q199" s="453"/>
      <c r="R199" s="453"/>
      <c r="S199" s="453"/>
      <c r="T199" s="453"/>
      <c r="U199" s="453"/>
      <c r="V199" s="453"/>
      <c r="W199" s="453"/>
      <c r="X199" s="453">
        <v>4781073</v>
      </c>
      <c r="Y199" s="498">
        <f t="shared" si="3"/>
        <v>4781073</v>
      </c>
      <c r="Z199" s="453"/>
      <c r="AA199" s="460">
        <v>4781073</v>
      </c>
    </row>
    <row r="200" spans="10:27" hidden="1">
      <c r="J200" s="496"/>
      <c r="K200" s="496"/>
      <c r="L200" s="458" t="e">
        <f t="shared" ca="1" si="4"/>
        <v>#NAME?</v>
      </c>
      <c r="M200" s="458" t="str">
        <f>"501010000 503000000 504000000 501020000 505010000 505020000 505030000 505040000 505990000 502000000 599990000"</f>
        <v>501010000 503000000 504000000 501020000 505010000 505020000 505030000 505040000 505990000 502000000 599990000</v>
      </c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98">
        <f t="shared" ref="Y200" si="16">SUM(N200:X200)</f>
        <v>0</v>
      </c>
      <c r="Z200" s="453"/>
      <c r="AA200" s="460"/>
    </row>
    <row r="201" spans="10:27" hidden="1">
      <c r="J201" s="496"/>
      <c r="K201" s="496"/>
      <c r="L201" s="458" t="e">
        <f t="shared" ca="1" si="4"/>
        <v>#NAME?</v>
      </c>
      <c r="M201" s="458" t="str">
        <f>"501010000 503000000 504000000 501020000 505010000 505020000 505030000 505040000 505990000 502000000"</f>
        <v>501010000 503000000 504000000 501020000 505010000 505020000 505030000 505040000 505990000 502000000</v>
      </c>
      <c r="N201" s="453"/>
      <c r="O201" s="453"/>
      <c r="P201" s="453"/>
      <c r="Q201" s="453"/>
      <c r="R201" s="453"/>
      <c r="S201" s="453"/>
      <c r="T201" s="453"/>
      <c r="U201" s="453"/>
      <c r="V201" s="453"/>
      <c r="W201" s="453"/>
      <c r="X201" s="453"/>
      <c r="Y201" s="498">
        <f t="shared" si="3"/>
        <v>0</v>
      </c>
      <c r="Z201" s="453"/>
      <c r="AA201" s="460"/>
    </row>
    <row r="202" spans="10:27" hidden="1">
      <c r="J202" s="496"/>
      <c r="K202" s="496"/>
      <c r="L202" s="458" t="e">
        <f t="shared" ca="1" si="4"/>
        <v>#NAME?</v>
      </c>
      <c r="M202" s="458" t="str">
        <f>"501010000 503000000 504000000 501020000 505010000 505020000 505030000 505040000 505990000 502000000"</f>
        <v>501010000 503000000 504000000 501020000 505010000 505020000 505030000 505040000 505990000 502000000</v>
      </c>
      <c r="N202" s="453"/>
      <c r="O202" s="453"/>
      <c r="P202" s="453"/>
      <c r="Q202" s="453"/>
      <c r="R202" s="453"/>
      <c r="S202" s="453"/>
      <c r="T202" s="453"/>
      <c r="U202" s="453"/>
      <c r="V202" s="453"/>
      <c r="W202" s="453"/>
      <c r="X202" s="453"/>
      <c r="Y202" s="498">
        <f t="shared" ref="Y202" si="17">SUM(N202:X202)</f>
        <v>0</v>
      </c>
      <c r="Z202" s="453"/>
      <c r="AA202" s="460"/>
    </row>
    <row r="203" spans="10:27" hidden="1">
      <c r="J203" s="496"/>
      <c r="K203" s="496"/>
      <c r="L203" s="458" t="e">
        <f t="shared" ca="1" si="4"/>
        <v>#NAME?</v>
      </c>
      <c r="M203" s="458" t="e">
        <f ca="1">OFFSET($B$151,MATCH(K203,$A$152:$A$158,0),0)</f>
        <v>#N/A</v>
      </c>
      <c r="N203" s="453"/>
      <c r="O203" s="453"/>
      <c r="P203" s="453"/>
      <c r="Q203" s="453"/>
      <c r="R203" s="453"/>
      <c r="S203" s="453"/>
      <c r="T203" s="453"/>
      <c r="U203" s="453"/>
      <c r="V203" s="453"/>
      <c r="W203" s="453"/>
      <c r="X203" s="453"/>
      <c r="Y203" s="498">
        <f t="shared" si="3"/>
        <v>0</v>
      </c>
      <c r="Z203" s="453"/>
      <c r="AA203" s="460"/>
    </row>
    <row r="204" spans="10:27" hidden="1">
      <c r="J204" s="496"/>
      <c r="K204" s="496"/>
      <c r="L204" s="458" t="e">
        <f t="shared" ca="1" si="4"/>
        <v>#NAME?</v>
      </c>
      <c r="M204" s="458" t="e">
        <f ca="1">OFFSET($B$151,MATCH(K204,$A$152:$A$158,0),0)</f>
        <v>#N/A</v>
      </c>
      <c r="N204" s="453"/>
      <c r="O204" s="453"/>
      <c r="P204" s="453"/>
      <c r="Q204" s="453"/>
      <c r="R204" s="453"/>
      <c r="S204" s="453"/>
      <c r="T204" s="453"/>
      <c r="U204" s="453"/>
      <c r="V204" s="453"/>
      <c r="W204" s="453"/>
      <c r="X204" s="453"/>
      <c r="Y204" s="498">
        <f t="shared" ref="Y204" si="18">SUM(N204:X204)</f>
        <v>0</v>
      </c>
      <c r="Z204" s="453"/>
      <c r="AA204" s="460"/>
    </row>
    <row r="205" spans="10:27" hidden="1">
      <c r="J205" s="496"/>
      <c r="K205" s="496"/>
      <c r="L205" s="458" t="e">
        <f t="shared" ca="1" si="4"/>
        <v>#NAME?</v>
      </c>
      <c r="M205" s="458" t="e">
        <f ca="1">OFFSET($B$151,MATCH(K205,$A$152:$A$158,0),0)</f>
        <v>#N/A</v>
      </c>
      <c r="N205" s="453"/>
      <c r="O205" s="453"/>
      <c r="P205" s="453"/>
      <c r="Q205" s="453"/>
      <c r="R205" s="453"/>
      <c r="S205" s="453"/>
      <c r="T205" s="453"/>
      <c r="U205" s="453"/>
      <c r="V205" s="453"/>
      <c r="W205" s="453"/>
      <c r="X205" s="453"/>
      <c r="Y205" s="498">
        <f t="shared" si="3"/>
        <v>0</v>
      </c>
      <c r="Z205" s="453"/>
      <c r="AA205" s="460"/>
    </row>
    <row r="206" spans="10:27" hidden="1">
      <c r="J206" s="496"/>
      <c r="K206" s="496"/>
      <c r="L206" s="458" t="e">
        <f t="shared" ca="1" si="4"/>
        <v>#NAME?</v>
      </c>
      <c r="M206" s="458" t="e">
        <f ca="1">OFFSET($B$151,MATCH(K206,$A$152:$A$158,0),0)</f>
        <v>#N/A</v>
      </c>
      <c r="N206" s="453"/>
      <c r="O206" s="453"/>
      <c r="P206" s="453"/>
      <c r="Q206" s="453"/>
      <c r="R206" s="453"/>
      <c r="S206" s="453"/>
      <c r="T206" s="453"/>
      <c r="U206" s="453"/>
      <c r="V206" s="453"/>
      <c r="W206" s="453"/>
      <c r="X206" s="453"/>
      <c r="Y206" s="498">
        <f t="shared" ref="Y206" si="19">SUM(N206:X206)</f>
        <v>0</v>
      </c>
      <c r="Z206" s="453"/>
      <c r="AA206" s="460"/>
    </row>
    <row r="207" spans="10:27" hidden="1">
      <c r="J207" s="496"/>
      <c r="K207" s="496"/>
      <c r="L207" s="458" t="e">
        <f t="shared" ca="1" si="4"/>
        <v>#NAME?</v>
      </c>
      <c r="M207" s="458" t="str">
        <f>"501010000 503000000 504000000 505010000 505020000 505030000 505040000 505990000 502000000 599990000"</f>
        <v>501010000 503000000 504000000 505010000 505020000 505030000 505040000 505990000 502000000 599990000</v>
      </c>
      <c r="N207" s="453"/>
      <c r="O207" s="453"/>
      <c r="P207" s="453"/>
      <c r="Q207" s="453"/>
      <c r="R207" s="453"/>
      <c r="S207" s="453"/>
      <c r="T207" s="453"/>
      <c r="U207" s="453"/>
      <c r="V207" s="453"/>
      <c r="W207" s="453"/>
      <c r="X207" s="453"/>
      <c r="Y207" s="498">
        <f t="shared" si="3"/>
        <v>0</v>
      </c>
      <c r="Z207" s="453"/>
      <c r="AA207" s="460"/>
    </row>
    <row r="208" spans="10:27" hidden="1">
      <c r="J208" s="496"/>
      <c r="K208" s="496"/>
      <c r="L208" s="458" t="e">
        <f t="shared" ca="1" si="4"/>
        <v>#NAME?</v>
      </c>
      <c r="M208" s="458" t="str">
        <f>"501010000 503000000 504000000 505010000 505020000 505030000 505040000 505990000 502000000 599990000"</f>
        <v>501010000 503000000 504000000 505010000 505020000 505030000 505040000 505990000 502000000 599990000</v>
      </c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98">
        <f t="shared" ref="Y208" si="20">SUM(N208:X208)</f>
        <v>0</v>
      </c>
      <c r="Z208" s="453"/>
      <c r="AA208" s="460"/>
    </row>
    <row r="209" spans="8:27" hidden="1">
      <c r="J209" s="496"/>
      <c r="K209" s="496"/>
      <c r="L209" s="458" t="e">
        <f t="shared" ca="1" si="4"/>
        <v>#NAME?</v>
      </c>
      <c r="M209" s="458" t="str">
        <f>"501010000 503000000 504000000 505010000 505020000 505030000 505040000 505990000 502000000"</f>
        <v>501010000 503000000 504000000 505010000 505020000 505030000 505040000 505990000 502000000</v>
      </c>
      <c r="N209" s="453"/>
      <c r="O209" s="453"/>
      <c r="P209" s="453"/>
      <c r="Q209" s="453"/>
      <c r="R209" s="453"/>
      <c r="S209" s="453"/>
      <c r="T209" s="453"/>
      <c r="U209" s="453"/>
      <c r="V209" s="453"/>
      <c r="W209" s="453"/>
      <c r="X209" s="453"/>
      <c r="Y209" s="498">
        <f t="shared" si="3"/>
        <v>0</v>
      </c>
      <c r="Z209" s="453"/>
      <c r="AA209" s="460"/>
    </row>
    <row r="210" spans="8:27" hidden="1">
      <c r="J210" s="496"/>
      <c r="K210" s="496"/>
      <c r="L210" s="458" t="e">
        <f t="shared" ca="1" si="4"/>
        <v>#NAME?</v>
      </c>
      <c r="M210" s="458" t="str">
        <f>"501010000 503000000 504000000 505010000 505020000 505030000 505040000 505990000 502000000"</f>
        <v>501010000 503000000 504000000 505010000 505020000 505030000 505040000 505990000 502000000</v>
      </c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3"/>
      <c r="Y210" s="498">
        <f t="shared" ref="Y210" si="21">SUM(N210:X210)</f>
        <v>0</v>
      </c>
      <c r="Z210" s="453"/>
      <c r="AA210" s="460"/>
    </row>
    <row r="211" spans="8:27" hidden="1">
      <c r="J211" s="496"/>
      <c r="K211" s="496"/>
      <c r="L211" s="458" t="e">
        <f t="shared" ca="1" si="4"/>
        <v>#NAME?</v>
      </c>
      <c r="M211" s="458" t="e">
        <f ca="1">OFFSET($B$151,MATCH(K211,$A$152:$A$158,0),0)</f>
        <v>#N/A</v>
      </c>
      <c r="N211" s="453"/>
      <c r="O211" s="453"/>
      <c r="P211" s="453"/>
      <c r="Q211" s="453"/>
      <c r="R211" s="453"/>
      <c r="S211" s="453"/>
      <c r="T211" s="453"/>
      <c r="U211" s="453"/>
      <c r="V211" s="453"/>
      <c r="W211" s="453"/>
      <c r="X211" s="453"/>
      <c r="Y211" s="498">
        <f t="shared" si="3"/>
        <v>0</v>
      </c>
      <c r="Z211" s="453"/>
      <c r="AA211" s="460"/>
    </row>
    <row r="212" spans="8:27" hidden="1">
      <c r="H212" s="429"/>
      <c r="J212" s="496"/>
      <c r="K212" s="496"/>
      <c r="L212" s="458" t="e">
        <f t="shared" ca="1" si="4"/>
        <v>#NAME?</v>
      </c>
      <c r="M212" s="458" t="e">
        <f ca="1">OFFSET($B$151,MATCH(K212,$A$152:$A$158,0),0)</f>
        <v>#N/A</v>
      </c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98">
        <f t="shared" ref="Y212" si="22">SUM(N212:X212)</f>
        <v>0</v>
      </c>
      <c r="Z212" s="453"/>
      <c r="AA212" s="460"/>
    </row>
    <row r="213" spans="8:27">
      <c r="J213" s="496" t="s">
        <v>1250</v>
      </c>
      <c r="K213" s="496" t="s">
        <v>625</v>
      </c>
      <c r="L213" s="499" t="e">
        <f ca="1">IF(EV_DES(K213,$O$2)="#NODATA","",EV_PRO($O$2,K213,"U_DESCRIPTION")&amp;" "&amp;$O$13)</f>
        <v>#NAME?</v>
      </c>
      <c r="M213" s="499"/>
      <c r="N213" s="453">
        <v>-355364386</v>
      </c>
      <c r="O213" s="453"/>
      <c r="P213" s="453"/>
      <c r="Q213" s="453">
        <v>-37194831</v>
      </c>
      <c r="R213" s="453"/>
      <c r="S213" s="453"/>
      <c r="T213" s="453"/>
      <c r="U213" s="453"/>
      <c r="V213" s="453"/>
      <c r="W213" s="453"/>
      <c r="X213" s="453">
        <v>-103354494</v>
      </c>
      <c r="Y213" s="498">
        <f t="shared" si="3"/>
        <v>-495913711</v>
      </c>
      <c r="Z213" s="453">
        <v>-2138284</v>
      </c>
      <c r="AA213" s="460">
        <v>-498051995</v>
      </c>
    </row>
    <row r="214" spans="8:27" hidden="1">
      <c r="H214" s="429"/>
      <c r="J214" s="496"/>
      <c r="K214" s="496"/>
      <c r="L214" s="458" t="e">
        <f ca="1">IF(EV_DES(K214,$O$2)="#NODATA","",EV_PRO($O$2,K214,"U_DESCRIPTION")&amp;" "&amp;$O$13)</f>
        <v>#NAME?</v>
      </c>
      <c r="M214" s="458"/>
      <c r="N214" s="453"/>
      <c r="O214" s="453"/>
      <c r="P214" s="453"/>
      <c r="Q214" s="453"/>
      <c r="R214" s="453"/>
      <c r="S214" s="453"/>
      <c r="T214" s="453"/>
      <c r="U214" s="453"/>
      <c r="V214" s="453"/>
      <c r="W214" s="453"/>
      <c r="X214" s="453"/>
      <c r="Y214" s="498">
        <f t="shared" si="3"/>
        <v>0</v>
      </c>
      <c r="Z214" s="453"/>
      <c r="AA214" s="460"/>
    </row>
    <row r="215" spans="8:27" ht="52.5" customHeight="1">
      <c r="L215" s="500" t="s">
        <v>699</v>
      </c>
    </row>
    <row r="216" spans="8:27" ht="39.75" customHeight="1">
      <c r="L216" s="500" t="s">
        <v>1281</v>
      </c>
    </row>
    <row r="217" spans="8:27">
      <c r="L217" s="501"/>
    </row>
    <row r="227" spans="3:3">
      <c r="C227" s="439" t="s">
        <v>834</v>
      </c>
    </row>
    <row r="228" spans="3:3">
      <c r="C228" s="439" t="s">
        <v>834</v>
      </c>
    </row>
    <row r="229" spans="3:3">
      <c r="C229" s="439" t="s">
        <v>834</v>
      </c>
    </row>
    <row r="230" spans="3:3">
      <c r="C230" s="439" t="s">
        <v>834</v>
      </c>
    </row>
    <row r="231" spans="3:3">
      <c r="C231" s="439" t="s">
        <v>834</v>
      </c>
    </row>
  </sheetData>
  <mergeCells count="32">
    <mergeCell ref="B181:G181"/>
    <mergeCell ref="B182:G182"/>
    <mergeCell ref="B172:G172"/>
    <mergeCell ref="B173:G173"/>
    <mergeCell ref="B174:G174"/>
    <mergeCell ref="B178:G178"/>
    <mergeCell ref="B179:G179"/>
    <mergeCell ref="B180:G180"/>
    <mergeCell ref="N171:Y171"/>
    <mergeCell ref="B156:G156"/>
    <mergeCell ref="B157:G157"/>
    <mergeCell ref="B158:G158"/>
    <mergeCell ref="B160:G160"/>
    <mergeCell ref="B161:G161"/>
    <mergeCell ref="B162:G162"/>
    <mergeCell ref="B166:G166"/>
    <mergeCell ref="B168:G168"/>
    <mergeCell ref="B169:G169"/>
    <mergeCell ref="B170:G170"/>
    <mergeCell ref="B171:G171"/>
    <mergeCell ref="B155:G155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2:G152"/>
    <mergeCell ref="B153:G153"/>
    <mergeCell ref="B154:G154"/>
  </mergeCells>
  <conditionalFormatting sqref="C78 C81 C87 Y175">
    <cfRule type="expression" dxfId="63" priority="64" stopIfTrue="1">
      <formula>IF(ISERROR(SEARCH(C$173,$M78,1)),0,1)</formula>
    </cfRule>
  </conditionalFormatting>
  <conditionalFormatting sqref="C67">
    <cfRule type="expression" dxfId="62" priority="63" stopIfTrue="1">
      <formula>IF(ISERROR(SEARCH(C$173,$M67,1)),0,1)</formula>
    </cfRule>
  </conditionalFormatting>
  <conditionalFormatting sqref="Y176">
    <cfRule type="expression" dxfId="61" priority="62" stopIfTrue="1">
      <formula>IF(ISERROR(SEARCH(Y$173,$M176,1)),0,1)</formula>
    </cfRule>
  </conditionalFormatting>
  <conditionalFormatting sqref="N176:X176">
    <cfRule type="expression" dxfId="60" priority="61" stopIfTrue="1">
      <formula>IF(ISERROR(SEARCH(N$173,$M176,1)),0,1)</formula>
    </cfRule>
  </conditionalFormatting>
  <conditionalFormatting sqref="N177:X178">
    <cfRule type="expression" dxfId="59" priority="60" stopIfTrue="1">
      <formula>IF(ISERROR(SEARCH(N$173,$M177,1)),0,1)</formula>
    </cfRule>
  </conditionalFormatting>
  <conditionalFormatting sqref="N179:X180">
    <cfRule type="expression" dxfId="58" priority="59" stopIfTrue="1">
      <formula>IF(ISERROR(SEARCH(N$173,$M179,1)),0,1)</formula>
    </cfRule>
  </conditionalFormatting>
  <conditionalFormatting sqref="N181:X182">
    <cfRule type="expression" dxfId="57" priority="58" stopIfTrue="1">
      <formula>IF(ISERROR(SEARCH(N$173,$M181,1)),0,1)</formula>
    </cfRule>
  </conditionalFormatting>
  <conditionalFormatting sqref="N183:X184">
    <cfRule type="expression" dxfId="56" priority="57" stopIfTrue="1">
      <formula>IF(ISERROR(SEARCH(N$173,$M183,1)),0,1)</formula>
    </cfRule>
  </conditionalFormatting>
  <conditionalFormatting sqref="N185:X186">
    <cfRule type="expression" dxfId="55" priority="56" stopIfTrue="1">
      <formula>IF(ISERROR(SEARCH(N$173,$M185,1)),0,1)</formula>
    </cfRule>
  </conditionalFormatting>
  <conditionalFormatting sqref="N187:X188">
    <cfRule type="expression" dxfId="54" priority="55" stopIfTrue="1">
      <formula>IF(ISERROR(SEARCH(N$173,$M187,1)),0,1)</formula>
    </cfRule>
  </conditionalFormatting>
  <conditionalFormatting sqref="N189:X190">
    <cfRule type="expression" dxfId="53" priority="54" stopIfTrue="1">
      <formula>IF(ISERROR(SEARCH(N$173,$M189,1)),0,1)</formula>
    </cfRule>
  </conditionalFormatting>
  <conditionalFormatting sqref="N191:X192">
    <cfRule type="expression" dxfId="52" priority="53" stopIfTrue="1">
      <formula>IF(ISERROR(SEARCH(N$173,$M191,1)),0,1)</formula>
    </cfRule>
  </conditionalFormatting>
  <conditionalFormatting sqref="N193:X194">
    <cfRule type="expression" dxfId="51" priority="52" stopIfTrue="1">
      <formula>IF(ISERROR(SEARCH(N$173,$M193,1)),0,1)</formula>
    </cfRule>
  </conditionalFormatting>
  <conditionalFormatting sqref="N195:X196">
    <cfRule type="expression" dxfId="50" priority="51" stopIfTrue="1">
      <formula>IF(ISERROR(SEARCH(N$173,$M195,1)),0,1)</formula>
    </cfRule>
  </conditionalFormatting>
  <conditionalFormatting sqref="N197:X198">
    <cfRule type="expression" dxfId="49" priority="50" stopIfTrue="1">
      <formula>IF(ISERROR(SEARCH(N$173,$M197,1)),0,1)</formula>
    </cfRule>
  </conditionalFormatting>
  <conditionalFormatting sqref="N199:X200">
    <cfRule type="expression" dxfId="48" priority="49" stopIfTrue="1">
      <formula>IF(ISERROR(SEARCH(N$173,$M199,1)),0,1)</formula>
    </cfRule>
  </conditionalFormatting>
  <conditionalFormatting sqref="N201:X202">
    <cfRule type="expression" dxfId="47" priority="48" stopIfTrue="1">
      <formula>IF(ISERROR(SEARCH(N$173,$M201,1)),0,1)</formula>
    </cfRule>
  </conditionalFormatting>
  <conditionalFormatting sqref="N203:X204">
    <cfRule type="expression" dxfId="46" priority="47" stopIfTrue="1">
      <formula>IF(ISERROR(SEARCH(N$173,$M203,1)),0,1)</formula>
    </cfRule>
  </conditionalFormatting>
  <conditionalFormatting sqref="N205:X206">
    <cfRule type="expression" dxfId="45" priority="46" stopIfTrue="1">
      <formula>IF(ISERROR(SEARCH(N$173,$M205,1)),0,1)</formula>
    </cfRule>
  </conditionalFormatting>
  <conditionalFormatting sqref="N207:X208">
    <cfRule type="expression" dxfId="44" priority="45" stopIfTrue="1">
      <formula>IF(ISERROR(SEARCH(N$173,$M207,1)),0,1)</formula>
    </cfRule>
  </conditionalFormatting>
  <conditionalFormatting sqref="N209:X210">
    <cfRule type="expression" dxfId="43" priority="44" stopIfTrue="1">
      <formula>IF(ISERROR(SEARCH(N$173,$M209,1)),0,1)</formula>
    </cfRule>
  </conditionalFormatting>
  <conditionalFormatting sqref="N211:X212">
    <cfRule type="expression" dxfId="42" priority="43" stopIfTrue="1">
      <formula>IF(ISERROR(SEARCH(N$173,$M211,1)),0,1)</formula>
    </cfRule>
  </conditionalFormatting>
  <conditionalFormatting sqref="N213:X214">
    <cfRule type="expression" dxfId="41" priority="42" stopIfTrue="1">
      <formula>IF(ISERROR(SEARCH(N$173,$M213,1)),0,1)</formula>
    </cfRule>
  </conditionalFormatting>
  <conditionalFormatting sqref="Z176">
    <cfRule type="expression" dxfId="40" priority="41" stopIfTrue="1">
      <formula>IF(ISERROR(SEARCH(Z$173,$M176,1)),0,1)</formula>
    </cfRule>
  </conditionalFormatting>
  <conditionalFormatting sqref="Z177:Z178">
    <cfRule type="expression" dxfId="39" priority="40" stopIfTrue="1">
      <formula>IF(ISERROR(SEARCH(Z$173,$M177,1)),0,1)</formula>
    </cfRule>
  </conditionalFormatting>
  <conditionalFormatting sqref="Z179:Z180">
    <cfRule type="expression" dxfId="38" priority="39" stopIfTrue="1">
      <formula>IF(ISERROR(SEARCH(Z$173,$M179,1)),0,1)</formula>
    </cfRule>
  </conditionalFormatting>
  <conditionalFormatting sqref="Z181:Z182">
    <cfRule type="expression" dxfId="37" priority="38" stopIfTrue="1">
      <formula>IF(ISERROR(SEARCH(Z$173,$M181,1)),0,1)</formula>
    </cfRule>
  </conditionalFormatting>
  <conditionalFormatting sqref="Z183:Z184">
    <cfRule type="expression" dxfId="36" priority="37" stopIfTrue="1">
      <formula>IF(ISERROR(SEARCH(Z$173,$M183,1)),0,1)</formula>
    </cfRule>
  </conditionalFormatting>
  <conditionalFormatting sqref="Z185:Z186">
    <cfRule type="expression" dxfId="35" priority="36" stopIfTrue="1">
      <formula>IF(ISERROR(SEARCH(Z$173,$M185,1)),0,1)</formula>
    </cfRule>
  </conditionalFormatting>
  <conditionalFormatting sqref="Z187:Z188">
    <cfRule type="expression" dxfId="34" priority="35" stopIfTrue="1">
      <formula>IF(ISERROR(SEARCH(Z$173,$M187,1)),0,1)</formula>
    </cfRule>
  </conditionalFormatting>
  <conditionalFormatting sqref="Z189:Z190">
    <cfRule type="expression" dxfId="33" priority="34" stopIfTrue="1">
      <formula>IF(ISERROR(SEARCH(Z$173,$M189,1)),0,1)</formula>
    </cfRule>
  </conditionalFormatting>
  <conditionalFormatting sqref="Z191:Z192">
    <cfRule type="expression" dxfId="32" priority="33" stopIfTrue="1">
      <formula>IF(ISERROR(SEARCH(Z$173,$M191,1)),0,1)</formula>
    </cfRule>
  </conditionalFormatting>
  <conditionalFormatting sqref="Z193:Z194">
    <cfRule type="expression" dxfId="31" priority="32" stopIfTrue="1">
      <formula>IF(ISERROR(SEARCH(Z$173,$M193,1)),0,1)</formula>
    </cfRule>
  </conditionalFormatting>
  <conditionalFormatting sqref="Z195:Z196">
    <cfRule type="expression" dxfId="30" priority="31" stopIfTrue="1">
      <formula>IF(ISERROR(SEARCH(Z$173,$M195,1)),0,1)</formula>
    </cfRule>
  </conditionalFormatting>
  <conditionalFormatting sqref="Z197:Z198">
    <cfRule type="expression" dxfId="29" priority="30" stopIfTrue="1">
      <formula>IF(ISERROR(SEARCH(Z$173,$M197,1)),0,1)</formula>
    </cfRule>
  </conditionalFormatting>
  <conditionalFormatting sqref="Z199:Z200">
    <cfRule type="expression" dxfId="28" priority="29" stopIfTrue="1">
      <formula>IF(ISERROR(SEARCH(Z$173,$M199,1)),0,1)</formula>
    </cfRule>
  </conditionalFormatting>
  <conditionalFormatting sqref="Z201:Z202">
    <cfRule type="expression" dxfId="27" priority="28" stopIfTrue="1">
      <formula>IF(ISERROR(SEARCH(Z$173,$M201,1)),0,1)</formula>
    </cfRule>
  </conditionalFormatting>
  <conditionalFormatting sqref="Z203:Z204">
    <cfRule type="expression" dxfId="26" priority="27" stopIfTrue="1">
      <formula>IF(ISERROR(SEARCH(Z$173,$M203,1)),0,1)</formula>
    </cfRule>
  </conditionalFormatting>
  <conditionalFormatting sqref="Z205:Z206">
    <cfRule type="expression" dxfId="25" priority="26" stopIfTrue="1">
      <formula>IF(ISERROR(SEARCH(Z$173,$M205,1)),0,1)</formula>
    </cfRule>
  </conditionalFormatting>
  <conditionalFormatting sqref="Z207:Z208">
    <cfRule type="expression" dxfId="24" priority="25" stopIfTrue="1">
      <formula>IF(ISERROR(SEARCH(Z$173,$M207,1)),0,1)</formula>
    </cfRule>
  </conditionalFormatting>
  <conditionalFormatting sqref="Z209:Z210">
    <cfRule type="expression" dxfId="23" priority="24" stopIfTrue="1">
      <formula>IF(ISERROR(SEARCH(Z$173,$M209,1)),0,1)</formula>
    </cfRule>
  </conditionalFormatting>
  <conditionalFormatting sqref="Z211:Z212">
    <cfRule type="expression" dxfId="22" priority="23" stopIfTrue="1">
      <formula>IF(ISERROR(SEARCH(Z$173,$M211,1)),0,1)</formula>
    </cfRule>
  </conditionalFormatting>
  <conditionalFormatting sqref="Z213:Z214">
    <cfRule type="expression" dxfId="21" priority="22" stopIfTrue="1">
      <formula>IF(ISERROR(SEARCH(Z$173,$M213,1)),0,1)</formula>
    </cfRule>
  </conditionalFormatting>
  <conditionalFormatting sqref="AA176">
    <cfRule type="expression" dxfId="20" priority="21" stopIfTrue="1">
      <formula>IF(ISERROR(SEARCH(AA$173,$M176,1)),0,1)</formula>
    </cfRule>
  </conditionalFormatting>
  <conditionalFormatting sqref="AA177:AA178">
    <cfRule type="expression" dxfId="19" priority="20" stopIfTrue="1">
      <formula>IF(ISERROR(SEARCH(AA$173,$M177,1)),0,1)</formula>
    </cfRule>
  </conditionalFormatting>
  <conditionalFormatting sqref="AA179:AA180">
    <cfRule type="expression" dxfId="18" priority="19" stopIfTrue="1">
      <formula>IF(ISERROR(SEARCH(AA$173,$M179,1)),0,1)</formula>
    </cfRule>
  </conditionalFormatting>
  <conditionalFormatting sqref="AA181:AA182">
    <cfRule type="expression" dxfId="17" priority="18" stopIfTrue="1">
      <formula>IF(ISERROR(SEARCH(AA$173,$M181,1)),0,1)</formula>
    </cfRule>
  </conditionalFormatting>
  <conditionalFormatting sqref="AA183:AA184">
    <cfRule type="expression" dxfId="16" priority="17" stopIfTrue="1">
      <formula>IF(ISERROR(SEARCH(AA$173,$M183,1)),0,1)</formula>
    </cfRule>
  </conditionalFormatting>
  <conditionalFormatting sqref="AA185:AA186">
    <cfRule type="expression" dxfId="15" priority="16" stopIfTrue="1">
      <formula>IF(ISERROR(SEARCH(AA$173,$M185,1)),0,1)</formula>
    </cfRule>
  </conditionalFormatting>
  <conditionalFormatting sqref="AA187:AA188">
    <cfRule type="expression" dxfId="14" priority="15" stopIfTrue="1">
      <formula>IF(ISERROR(SEARCH(AA$173,$M187,1)),0,1)</formula>
    </cfRule>
  </conditionalFormatting>
  <conditionalFormatting sqref="AA189:AA190">
    <cfRule type="expression" dxfId="13" priority="14" stopIfTrue="1">
      <formula>IF(ISERROR(SEARCH(AA$173,$M189,1)),0,1)</formula>
    </cfRule>
  </conditionalFormatting>
  <conditionalFormatting sqref="AA191:AA192">
    <cfRule type="expression" dxfId="12" priority="13" stopIfTrue="1">
      <formula>IF(ISERROR(SEARCH(AA$173,$M191,1)),0,1)</formula>
    </cfRule>
  </conditionalFormatting>
  <conditionalFormatting sqref="AA193:AA194">
    <cfRule type="expression" dxfId="11" priority="12" stopIfTrue="1">
      <formula>IF(ISERROR(SEARCH(AA$173,$M193,1)),0,1)</formula>
    </cfRule>
  </conditionalFormatting>
  <conditionalFormatting sqref="AA195:AA196">
    <cfRule type="expression" dxfId="10" priority="11" stopIfTrue="1">
      <formula>IF(ISERROR(SEARCH(AA$173,$M195,1)),0,1)</formula>
    </cfRule>
  </conditionalFormatting>
  <conditionalFormatting sqref="AA197:AA198">
    <cfRule type="expression" dxfId="9" priority="10" stopIfTrue="1">
      <formula>IF(ISERROR(SEARCH(AA$173,$M197,1)),0,1)</formula>
    </cfRule>
  </conditionalFormatting>
  <conditionalFormatting sqref="AA199:AA200">
    <cfRule type="expression" dxfId="8" priority="9" stopIfTrue="1">
      <formula>IF(ISERROR(SEARCH(AA$173,$M199,1)),0,1)</formula>
    </cfRule>
  </conditionalFormatting>
  <conditionalFormatting sqref="AA201:AA202">
    <cfRule type="expression" dxfId="7" priority="8" stopIfTrue="1">
      <formula>IF(ISERROR(SEARCH(AA$173,$M201,1)),0,1)</formula>
    </cfRule>
  </conditionalFormatting>
  <conditionalFormatting sqref="AA203:AA204">
    <cfRule type="expression" dxfId="6" priority="7" stopIfTrue="1">
      <formula>IF(ISERROR(SEARCH(AA$173,$M203,1)),0,1)</formula>
    </cfRule>
  </conditionalFormatting>
  <conditionalFormatting sqref="AA205:AA206">
    <cfRule type="expression" dxfId="5" priority="6" stopIfTrue="1">
      <formula>IF(ISERROR(SEARCH(AA$173,$M205,1)),0,1)</formula>
    </cfRule>
  </conditionalFormatting>
  <conditionalFormatting sqref="AA207:AA208">
    <cfRule type="expression" dxfId="4" priority="5" stopIfTrue="1">
      <formula>IF(ISERROR(SEARCH(AA$173,$M207,1)),0,1)</formula>
    </cfRule>
  </conditionalFormatting>
  <conditionalFormatting sqref="AA209:AA210">
    <cfRule type="expression" dxfId="3" priority="4" stopIfTrue="1">
      <formula>IF(ISERROR(SEARCH(AA$173,$M209,1)),0,1)</formula>
    </cfRule>
  </conditionalFormatting>
  <conditionalFormatting sqref="AA211:AA212">
    <cfRule type="expression" dxfId="2" priority="3" stopIfTrue="1">
      <formula>IF(ISERROR(SEARCH(AA$173,$M211,1)),0,1)</formula>
    </cfRule>
  </conditionalFormatting>
  <conditionalFormatting sqref="AA213:AA214">
    <cfRule type="expression" dxfId="1" priority="2" stopIfTrue="1">
      <formula>IF(ISERROR(SEARCH(AA$173,$M213,1)),0,1)</formula>
    </cfRule>
  </conditionalFormatting>
  <conditionalFormatting sqref="Z175:AA175 N175:X175">
    <cfRule type="expression" dxfId="0" priority="1" stopIfTrue="1">
      <formula>IF(ISERROR(SEARCH(N$173,$M175,1)),0,1)</formula>
    </cfRule>
  </conditionalFormatting>
  <dataValidations count="2">
    <dataValidation type="list" allowBlank="1" sqref="B17:E17 B109:E109">
      <formula1>"SELF,ALL,BAS,DEP,BASMEMBERS,MEMBERS,NOEXPAND,,"</formula1>
    </dataValidation>
    <dataValidation type="list" allowBlank="1" sqref="B108:E108 B16:E16">
      <formula1>"C_ACCT,C_CATEGORY,C_DATATS,C_ENTITY,C_M003,C_M004,C_M005,FLOW,GROUPS,INTCO,RPTCURRENCY,TIME,MEASURES"</formula1>
    </dataValidation>
  </dataValidations>
  <pageMargins left="0.15748031496062992" right="0.15748031496062992" top="0.15748031496062992" bottom="0.15748031496062992" header="0.15748031496062992" footer="0.15748031496062992"/>
  <pageSetup paperSize="9" scale="43" orientation="landscape" r:id="rId1"/>
  <customProperties>
    <customPr name="CofWorksheetType" r:id="rId2"/>
    <customPr name="EpmWorksheetKeyString_GUID" r:id="rId3"/>
  </customProperties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opLeftCell="A61" zoomScale="85" zoomScaleNormal="85" workbookViewId="0">
      <selection activeCell="F33" sqref="F33"/>
    </sheetView>
  </sheetViews>
  <sheetFormatPr defaultColWidth="8.85546875" defaultRowHeight="15"/>
  <cols>
    <col min="1" max="1" width="62.7109375" style="140" customWidth="1"/>
    <col min="2" max="2" width="12.42578125" style="140" customWidth="1"/>
    <col min="3" max="3" width="20.85546875" style="140" customWidth="1"/>
    <col min="4" max="4" width="7.140625" style="140" customWidth="1"/>
    <col min="5" max="5" width="15.140625" style="141" customWidth="1"/>
    <col min="6" max="6" width="14.140625" style="141" customWidth="1"/>
    <col min="7" max="7" width="11.42578125" style="140" customWidth="1"/>
    <col min="8" max="9" width="8.85546875" style="140"/>
    <col min="10" max="10" width="9" style="140" bestFit="1" customWidth="1"/>
    <col min="11" max="11" width="12.140625" style="140" bestFit="1" customWidth="1"/>
    <col min="12" max="16384" width="8.85546875" style="140"/>
  </cols>
  <sheetData>
    <row r="1" spans="1:6">
      <c r="F1" s="164" t="s">
        <v>314</v>
      </c>
    </row>
    <row r="2" spans="1:6" ht="15" customHeight="1">
      <c r="F2" s="165" t="s">
        <v>315</v>
      </c>
    </row>
    <row r="3" spans="1:6" ht="15" customHeight="1">
      <c r="F3" s="164" t="s">
        <v>316</v>
      </c>
    </row>
    <row r="4" spans="1:6" ht="15" customHeight="1">
      <c r="F4" s="164" t="s">
        <v>1291</v>
      </c>
    </row>
    <row r="5" spans="1:6">
      <c r="B5" s="537" t="s">
        <v>306</v>
      </c>
      <c r="C5" s="537"/>
      <c r="D5" s="537"/>
      <c r="E5" s="142"/>
      <c r="F5" s="142"/>
    </row>
    <row r="6" spans="1:6">
      <c r="B6" s="548" t="s">
        <v>1289</v>
      </c>
      <c r="C6" s="548"/>
      <c r="D6" s="548"/>
    </row>
    <row r="7" spans="1:6" s="143" customFormat="1">
      <c r="B7" s="144"/>
      <c r="C7" s="144"/>
      <c r="D7" s="144"/>
      <c r="E7" s="145"/>
      <c r="F7" s="146"/>
    </row>
    <row r="8" spans="1:6">
      <c r="A8" s="166" t="s">
        <v>57</v>
      </c>
      <c r="B8" s="531" t="s">
        <v>367</v>
      </c>
      <c r="C8" s="531"/>
      <c r="D8" s="531"/>
      <c r="E8" s="531"/>
      <c r="F8" s="531"/>
    </row>
    <row r="9" spans="1:6">
      <c r="A9" s="166" t="s">
        <v>308</v>
      </c>
      <c r="B9" s="147"/>
      <c r="C9" s="147"/>
      <c r="D9" s="147"/>
      <c r="E9" s="148"/>
      <c r="F9" s="148"/>
    </row>
    <row r="10" spans="1:6">
      <c r="A10" s="166" t="s">
        <v>1</v>
      </c>
      <c r="B10" s="545" t="s">
        <v>1283</v>
      </c>
      <c r="C10" s="545"/>
      <c r="D10" s="545"/>
      <c r="E10" s="545"/>
      <c r="F10" s="545"/>
    </row>
    <row r="11" spans="1:6">
      <c r="A11" s="166" t="s">
        <v>2</v>
      </c>
      <c r="B11" s="149" t="s">
        <v>368</v>
      </c>
      <c r="C11" s="149"/>
      <c r="D11" s="149"/>
      <c r="E11" s="150"/>
      <c r="F11" s="150"/>
    </row>
    <row r="12" spans="1:6">
      <c r="A12" s="166" t="s">
        <v>390</v>
      </c>
      <c r="B12" s="149" t="s">
        <v>375</v>
      </c>
      <c r="C12" s="149"/>
      <c r="D12" s="149"/>
      <c r="E12" s="150"/>
      <c r="F12" s="150"/>
    </row>
    <row r="13" spans="1:6">
      <c r="A13" s="166" t="s">
        <v>309</v>
      </c>
      <c r="B13" s="525">
        <v>9375</v>
      </c>
      <c r="C13" s="149"/>
      <c r="D13" s="149"/>
      <c r="E13" s="150"/>
      <c r="F13" s="150"/>
    </row>
    <row r="14" spans="1:6">
      <c r="A14" s="166" t="s">
        <v>391</v>
      </c>
      <c r="B14" s="149" t="s">
        <v>369</v>
      </c>
      <c r="C14" s="149"/>
      <c r="D14" s="149"/>
      <c r="E14" s="150"/>
      <c r="F14" s="150"/>
    </row>
    <row r="15" spans="1:6">
      <c r="A15" s="166" t="s">
        <v>310</v>
      </c>
      <c r="B15" s="149" t="s">
        <v>1282</v>
      </c>
      <c r="C15" s="149"/>
      <c r="D15" s="149"/>
      <c r="E15" s="150"/>
      <c r="F15" s="150"/>
    </row>
    <row r="16" spans="1:6">
      <c r="A16" s="167"/>
      <c r="F16" s="168" t="s">
        <v>189</v>
      </c>
    </row>
    <row r="17" spans="1:11" ht="45">
      <c r="A17" s="549" t="s">
        <v>3</v>
      </c>
      <c r="B17" s="549"/>
      <c r="C17" s="549"/>
      <c r="D17" s="151" t="s">
        <v>4</v>
      </c>
      <c r="E17" s="152" t="s">
        <v>5</v>
      </c>
      <c r="F17" s="152" t="s">
        <v>6</v>
      </c>
    </row>
    <row r="18" spans="1:11">
      <c r="A18" s="547" t="s">
        <v>7</v>
      </c>
      <c r="B18" s="547"/>
      <c r="C18" s="547"/>
      <c r="D18" s="153"/>
      <c r="E18" s="154"/>
      <c r="F18" s="154"/>
    </row>
    <row r="19" spans="1:11">
      <c r="A19" s="550" t="s">
        <v>8</v>
      </c>
      <c r="B19" s="550"/>
      <c r="C19" s="550"/>
      <c r="D19" s="155" t="s">
        <v>9</v>
      </c>
      <c r="E19" s="514">
        <v>9042840</v>
      </c>
      <c r="F19" s="514">
        <v>32719043</v>
      </c>
      <c r="G19" s="156"/>
    </row>
    <row r="20" spans="1:11">
      <c r="A20" s="532" t="s">
        <v>80</v>
      </c>
      <c r="B20" s="532"/>
      <c r="C20" s="532"/>
      <c r="D20" s="155" t="s">
        <v>10</v>
      </c>
      <c r="E20" s="514"/>
      <c r="F20" s="514"/>
    </row>
    <row r="21" spans="1:11">
      <c r="A21" s="532" t="s">
        <v>81</v>
      </c>
      <c r="B21" s="532"/>
      <c r="C21" s="532"/>
      <c r="D21" s="155" t="s">
        <v>11</v>
      </c>
      <c r="E21" s="514"/>
      <c r="F21" s="514"/>
      <c r="G21" s="156"/>
    </row>
    <row r="22" spans="1:11">
      <c r="A22" s="532" t="s">
        <v>82</v>
      </c>
      <c r="B22" s="532"/>
      <c r="C22" s="532"/>
      <c r="D22" s="155" t="s">
        <v>13</v>
      </c>
      <c r="E22" s="514"/>
      <c r="F22" s="514"/>
    </row>
    <row r="23" spans="1:11">
      <c r="A23" s="532" t="s">
        <v>83</v>
      </c>
      <c r="B23" s="532"/>
      <c r="C23" s="532"/>
      <c r="D23" s="155" t="s">
        <v>14</v>
      </c>
      <c r="E23" s="514"/>
      <c r="F23" s="514"/>
      <c r="G23" s="156"/>
    </row>
    <row r="24" spans="1:11">
      <c r="A24" s="532" t="s">
        <v>84</v>
      </c>
      <c r="B24" s="532"/>
      <c r="C24" s="532"/>
      <c r="D24" s="155" t="s">
        <v>15</v>
      </c>
      <c r="E24" s="514"/>
      <c r="F24" s="514"/>
      <c r="G24" s="156"/>
    </row>
    <row r="25" spans="1:11">
      <c r="A25" s="532" t="s">
        <v>85</v>
      </c>
      <c r="B25" s="532"/>
      <c r="C25" s="532"/>
      <c r="D25" s="155" t="s">
        <v>17</v>
      </c>
      <c r="E25" s="514">
        <v>18354492</v>
      </c>
      <c r="F25" s="514">
        <v>23956827</v>
      </c>
      <c r="G25" s="266"/>
    </row>
    <row r="26" spans="1:11">
      <c r="A26" s="542" t="s">
        <v>88</v>
      </c>
      <c r="B26" s="543"/>
      <c r="C26" s="543"/>
      <c r="D26" s="155" t="s">
        <v>86</v>
      </c>
      <c r="E26" s="515">
        <v>1197420</v>
      </c>
      <c r="F26" s="515">
        <v>1432148</v>
      </c>
    </row>
    <row r="27" spans="1:11">
      <c r="A27" s="532" t="s">
        <v>12</v>
      </c>
      <c r="B27" s="544"/>
      <c r="C27" s="544"/>
      <c r="D27" s="155" t="s">
        <v>87</v>
      </c>
      <c r="E27" s="154">
        <v>8786104</v>
      </c>
      <c r="F27" s="154">
        <v>9046924</v>
      </c>
      <c r="G27" s="266"/>
      <c r="K27" s="267"/>
    </row>
    <row r="28" spans="1:11">
      <c r="A28" s="535" t="s">
        <v>16</v>
      </c>
      <c r="B28" s="535"/>
      <c r="C28" s="535"/>
      <c r="D28" s="155" t="s">
        <v>89</v>
      </c>
      <c r="E28" s="514">
        <v>21000743</v>
      </c>
      <c r="F28" s="514">
        <v>18531019</v>
      </c>
      <c r="G28" s="266"/>
    </row>
    <row r="29" spans="1:11">
      <c r="A29" s="535" t="s">
        <v>90</v>
      </c>
      <c r="B29" s="535"/>
      <c r="C29" s="535"/>
      <c r="D29" s="155">
        <v>100</v>
      </c>
      <c r="E29" s="516">
        <f>SUM(E19:E28)</f>
        <v>58381599</v>
      </c>
      <c r="F29" s="516">
        <f>SUM(F19:F28)</f>
        <v>85685961</v>
      </c>
      <c r="G29" s="156"/>
    </row>
    <row r="30" spans="1:11">
      <c r="A30" s="535" t="s">
        <v>91</v>
      </c>
      <c r="B30" s="535"/>
      <c r="C30" s="535"/>
      <c r="D30" s="157">
        <v>101</v>
      </c>
      <c r="E30" s="516">
        <v>14790540</v>
      </c>
      <c r="F30" s="516">
        <v>14816829</v>
      </c>
      <c r="G30" s="156"/>
    </row>
    <row r="31" spans="1:11">
      <c r="A31" s="535" t="s">
        <v>18</v>
      </c>
      <c r="B31" s="535"/>
      <c r="C31" s="535"/>
      <c r="D31" s="157"/>
      <c r="F31" s="514"/>
    </row>
    <row r="32" spans="1:11">
      <c r="A32" s="535" t="s">
        <v>80</v>
      </c>
      <c r="B32" s="535"/>
      <c r="C32" s="535"/>
      <c r="D32" s="157">
        <v>110</v>
      </c>
      <c r="E32" s="514"/>
      <c r="F32" s="514"/>
    </row>
    <row r="33" spans="1:7">
      <c r="A33" s="535" t="s">
        <v>81</v>
      </c>
      <c r="B33" s="535"/>
      <c r="C33" s="535"/>
      <c r="D33" s="157">
        <v>111</v>
      </c>
      <c r="E33" s="514"/>
      <c r="F33" s="514"/>
    </row>
    <row r="34" spans="1:7">
      <c r="A34" s="535" t="s">
        <v>82</v>
      </c>
      <c r="B34" s="535"/>
      <c r="C34" s="535"/>
      <c r="D34" s="157">
        <v>112</v>
      </c>
      <c r="E34" s="514"/>
      <c r="F34" s="514"/>
    </row>
    <row r="35" spans="1:7">
      <c r="A35" s="535" t="s">
        <v>83</v>
      </c>
      <c r="B35" s="535"/>
      <c r="C35" s="535"/>
      <c r="D35" s="157">
        <v>113</v>
      </c>
      <c r="E35" s="514"/>
      <c r="F35" s="514"/>
    </row>
    <row r="36" spans="1:7">
      <c r="A36" s="535" t="s">
        <v>92</v>
      </c>
      <c r="B36" s="535"/>
      <c r="C36" s="535"/>
      <c r="D36" s="157">
        <v>114</v>
      </c>
      <c r="E36" s="514"/>
      <c r="F36" s="514"/>
    </row>
    <row r="37" spans="1:7">
      <c r="A37" s="535" t="s">
        <v>93</v>
      </c>
      <c r="B37" s="535"/>
      <c r="C37" s="535"/>
      <c r="D37" s="157">
        <v>115</v>
      </c>
      <c r="E37" s="514"/>
      <c r="F37" s="514"/>
    </row>
    <row r="38" spans="1:7">
      <c r="A38" s="542" t="s">
        <v>94</v>
      </c>
      <c r="B38" s="542"/>
      <c r="C38" s="542"/>
      <c r="D38" s="157">
        <v>116</v>
      </c>
      <c r="E38" s="514">
        <v>60174324</v>
      </c>
      <c r="F38" s="514">
        <v>52888220</v>
      </c>
    </row>
    <row r="39" spans="1:7">
      <c r="A39" s="535" t="s">
        <v>95</v>
      </c>
      <c r="B39" s="535"/>
      <c r="C39" s="535"/>
      <c r="D39" s="157">
        <v>117</v>
      </c>
      <c r="E39" s="515">
        <v>454513</v>
      </c>
      <c r="F39" s="515">
        <v>531852</v>
      </c>
    </row>
    <row r="40" spans="1:7">
      <c r="A40" s="532" t="s">
        <v>23</v>
      </c>
      <c r="B40" s="532"/>
      <c r="C40" s="532"/>
      <c r="D40" s="157">
        <v>118</v>
      </c>
      <c r="E40" s="514">
        <v>765928626</v>
      </c>
      <c r="F40" s="514">
        <v>780565005</v>
      </c>
    </row>
    <row r="41" spans="1:7">
      <c r="A41" s="535" t="s">
        <v>25</v>
      </c>
      <c r="B41" s="535"/>
      <c r="C41" s="535"/>
      <c r="D41" s="157">
        <v>119</v>
      </c>
      <c r="E41" s="514"/>
      <c r="F41" s="514"/>
    </row>
    <row r="42" spans="1:7">
      <c r="A42" s="535" t="s">
        <v>27</v>
      </c>
      <c r="B42" s="535"/>
      <c r="C42" s="535"/>
      <c r="D42" s="157">
        <v>120</v>
      </c>
      <c r="E42" s="514">
        <v>0</v>
      </c>
      <c r="F42" s="514">
        <v>0</v>
      </c>
    </row>
    <row r="43" spans="1:7">
      <c r="A43" s="535" t="s">
        <v>29</v>
      </c>
      <c r="B43" s="535"/>
      <c r="C43" s="535"/>
      <c r="D43" s="157">
        <v>121</v>
      </c>
      <c r="E43" s="514">
        <v>4945235</v>
      </c>
      <c r="F43" s="514">
        <v>3799095</v>
      </c>
    </row>
    <row r="44" spans="1:7">
      <c r="A44" s="535" t="s">
        <v>31</v>
      </c>
      <c r="B44" s="535"/>
      <c r="C44" s="535"/>
      <c r="D44" s="157">
        <v>122</v>
      </c>
      <c r="E44" s="514"/>
      <c r="F44" s="514"/>
      <c r="G44" s="156"/>
    </row>
    <row r="45" spans="1:7">
      <c r="A45" s="535" t="s">
        <v>32</v>
      </c>
      <c r="B45" s="535"/>
      <c r="C45" s="535"/>
      <c r="D45" s="157">
        <v>123</v>
      </c>
      <c r="E45" s="514">
        <v>17371120</v>
      </c>
      <c r="F45" s="514">
        <v>17991254</v>
      </c>
      <c r="G45" s="156"/>
    </row>
    <row r="46" spans="1:7">
      <c r="A46" s="535" t="s">
        <v>96</v>
      </c>
      <c r="B46" s="535"/>
      <c r="C46" s="535"/>
      <c r="D46" s="157">
        <v>200</v>
      </c>
      <c r="E46" s="516">
        <f>SUM(E32:E45)</f>
        <v>848873818</v>
      </c>
      <c r="F46" s="516">
        <f>SUM(F32:F45)</f>
        <v>855775426</v>
      </c>
      <c r="G46" s="156"/>
    </row>
    <row r="47" spans="1:7">
      <c r="A47" s="535" t="s">
        <v>97</v>
      </c>
      <c r="B47" s="535"/>
      <c r="C47" s="535"/>
      <c r="D47" s="158"/>
      <c r="E47" s="517">
        <f>E29+E30+E46</f>
        <v>922045957</v>
      </c>
      <c r="F47" s="517">
        <f>F29+F30+F46</f>
        <v>956278216</v>
      </c>
    </row>
    <row r="48" spans="1:7" ht="45">
      <c r="A48" s="541" t="s">
        <v>98</v>
      </c>
      <c r="B48" s="541"/>
      <c r="C48" s="541"/>
      <c r="D48" s="151" t="s">
        <v>116</v>
      </c>
      <c r="E48" s="152" t="s">
        <v>5</v>
      </c>
      <c r="F48" s="152" t="s">
        <v>6</v>
      </c>
    </row>
    <row r="49" spans="1:9">
      <c r="A49" s="535" t="s">
        <v>33</v>
      </c>
      <c r="B49" s="535"/>
      <c r="C49" s="535"/>
      <c r="D49" s="157"/>
      <c r="E49" s="514"/>
      <c r="F49" s="514"/>
    </row>
    <row r="50" spans="1:9">
      <c r="A50" s="535" t="s">
        <v>99</v>
      </c>
      <c r="B50" s="535"/>
      <c r="C50" s="535"/>
      <c r="D50" s="157">
        <v>210</v>
      </c>
      <c r="E50" s="518">
        <v>40415024</v>
      </c>
      <c r="F50" s="518">
        <v>45912886</v>
      </c>
    </row>
    <row r="51" spans="1:9">
      <c r="A51" s="535" t="s">
        <v>81</v>
      </c>
      <c r="B51" s="535"/>
      <c r="C51" s="535"/>
      <c r="D51" s="157">
        <v>211</v>
      </c>
      <c r="E51" s="154"/>
      <c r="F51" s="154"/>
    </row>
    <row r="52" spans="1:9">
      <c r="A52" s="535" t="s">
        <v>100</v>
      </c>
      <c r="B52" s="535"/>
      <c r="C52" s="535"/>
      <c r="D52" s="157">
        <v>212</v>
      </c>
      <c r="E52" s="154"/>
      <c r="F52" s="154"/>
    </row>
    <row r="53" spans="1:9">
      <c r="A53" s="535" t="s">
        <v>101</v>
      </c>
      <c r="B53" s="535"/>
      <c r="C53" s="535"/>
      <c r="D53" s="157">
        <v>213</v>
      </c>
      <c r="E53" s="514">
        <v>25449900</v>
      </c>
      <c r="F53" s="514">
        <v>24897537</v>
      </c>
    </row>
    <row r="54" spans="1:9">
      <c r="A54" s="535" t="s">
        <v>102</v>
      </c>
      <c r="B54" s="535"/>
      <c r="C54" s="535"/>
      <c r="D54" s="157">
        <v>214</v>
      </c>
      <c r="E54" s="514">
        <v>303533</v>
      </c>
      <c r="F54" s="514">
        <v>125000</v>
      </c>
    </row>
    <row r="55" spans="1:9">
      <c r="A55" s="535" t="s">
        <v>103</v>
      </c>
      <c r="B55" s="536"/>
      <c r="C55" s="536"/>
      <c r="D55" s="157">
        <v>215</v>
      </c>
      <c r="E55" s="514">
        <v>5670721</v>
      </c>
      <c r="F55" s="514">
        <v>369334</v>
      </c>
    </row>
    <row r="56" spans="1:9">
      <c r="A56" s="535" t="s">
        <v>104</v>
      </c>
      <c r="B56" s="535"/>
      <c r="C56" s="535"/>
      <c r="D56" s="157">
        <v>216</v>
      </c>
      <c r="E56" s="514">
        <v>123384</v>
      </c>
      <c r="F56" s="514">
        <v>120361</v>
      </c>
    </row>
    <row r="57" spans="1:9">
      <c r="A57" s="535" t="s">
        <v>35</v>
      </c>
      <c r="B57" s="535"/>
      <c r="C57" s="535"/>
      <c r="D57" s="157">
        <v>217</v>
      </c>
      <c r="E57" s="514">
        <v>3861589</v>
      </c>
      <c r="F57" s="519">
        <v>2600743</v>
      </c>
    </row>
    <row r="58" spans="1:9">
      <c r="A58" s="535" t="s">
        <v>105</v>
      </c>
      <c r="B58" s="535"/>
      <c r="C58" s="535"/>
      <c r="D58" s="157">
        <v>300</v>
      </c>
      <c r="E58" s="520">
        <f>SUM(E50:E57)</f>
        <v>75824151</v>
      </c>
      <c r="F58" s="516">
        <f>SUM(F50:F57)</f>
        <v>74025861</v>
      </c>
      <c r="G58" s="156"/>
    </row>
    <row r="59" spans="1:9">
      <c r="A59" s="535" t="s">
        <v>106</v>
      </c>
      <c r="B59" s="535"/>
      <c r="C59" s="535"/>
      <c r="D59" s="157">
        <v>301</v>
      </c>
      <c r="E59" s="521">
        <v>76617</v>
      </c>
      <c r="F59" s="521">
        <v>72906</v>
      </c>
    </row>
    <row r="60" spans="1:9">
      <c r="A60" s="535" t="s">
        <v>36</v>
      </c>
      <c r="B60" s="535"/>
      <c r="C60" s="535"/>
      <c r="D60" s="157"/>
      <c r="E60" s="514"/>
      <c r="F60" s="514"/>
    </row>
    <row r="61" spans="1:9">
      <c r="A61" s="535" t="s">
        <v>99</v>
      </c>
      <c r="B61" s="535"/>
      <c r="C61" s="535"/>
      <c r="D61" s="157">
        <v>310</v>
      </c>
      <c r="E61" s="514">
        <v>268597381</v>
      </c>
      <c r="F61" s="514">
        <v>312574158</v>
      </c>
    </row>
    <row r="62" spans="1:9">
      <c r="A62" s="535" t="s">
        <v>81</v>
      </c>
      <c r="B62" s="535"/>
      <c r="C62" s="535"/>
      <c r="D62" s="157">
        <v>311</v>
      </c>
      <c r="E62" s="514"/>
      <c r="F62" s="514"/>
      <c r="G62" s="156"/>
    </row>
    <row r="63" spans="1:9">
      <c r="A63" s="535" t="s">
        <v>107</v>
      </c>
      <c r="B63" s="535"/>
      <c r="C63" s="535"/>
      <c r="D63" s="159">
        <v>312</v>
      </c>
      <c r="E63" s="514"/>
      <c r="F63" s="514"/>
    </row>
    <row r="64" spans="1:9">
      <c r="A64" s="535" t="s">
        <v>108</v>
      </c>
      <c r="B64" s="535"/>
      <c r="C64" s="535"/>
      <c r="D64" s="157">
        <v>313</v>
      </c>
      <c r="E64" s="514"/>
      <c r="F64" s="514"/>
      <c r="I64" s="169"/>
    </row>
    <row r="65" spans="1:9">
      <c r="A65" s="535" t="s">
        <v>109</v>
      </c>
      <c r="B65" s="535"/>
      <c r="C65" s="535"/>
      <c r="D65" s="157">
        <v>314</v>
      </c>
      <c r="E65" s="514">
        <v>2526896</v>
      </c>
      <c r="F65" s="514">
        <v>2279270</v>
      </c>
    </row>
    <row r="66" spans="1:9">
      <c r="A66" s="538" t="s">
        <v>307</v>
      </c>
      <c r="B66" s="539"/>
      <c r="C66" s="540"/>
      <c r="D66" s="157">
        <v>315</v>
      </c>
      <c r="E66" s="514">
        <v>81822415</v>
      </c>
      <c r="F66" s="514">
        <v>82058114</v>
      </c>
    </row>
    <row r="67" spans="1:9">
      <c r="A67" s="535" t="s">
        <v>41</v>
      </c>
      <c r="B67" s="535"/>
      <c r="C67" s="535"/>
      <c r="D67" s="157">
        <v>316</v>
      </c>
      <c r="E67" s="514">
        <v>6398522</v>
      </c>
      <c r="F67" s="514">
        <v>5757231</v>
      </c>
    </row>
    <row r="68" spans="1:9">
      <c r="A68" s="535" t="s">
        <v>110</v>
      </c>
      <c r="B68" s="535"/>
      <c r="C68" s="535"/>
      <c r="D68" s="157">
        <v>400</v>
      </c>
      <c r="E68" s="520">
        <f>SUM(E61:E67)</f>
        <v>359345214</v>
      </c>
      <c r="F68" s="520">
        <f>SUM(F61:F67)</f>
        <v>402668773</v>
      </c>
    </row>
    <row r="69" spans="1:9">
      <c r="A69" s="535" t="s">
        <v>43</v>
      </c>
      <c r="B69" s="535"/>
      <c r="C69" s="535"/>
      <c r="D69" s="157"/>
      <c r="E69" s="514"/>
      <c r="F69" s="514"/>
    </row>
    <row r="70" spans="1:9">
      <c r="A70" s="535" t="s">
        <v>111</v>
      </c>
      <c r="B70" s="535"/>
      <c r="C70" s="535"/>
      <c r="D70" s="157">
        <v>410</v>
      </c>
      <c r="E70" s="524">
        <v>373314888</v>
      </c>
      <c r="F70" s="524">
        <v>373314888</v>
      </c>
    </row>
    <row r="71" spans="1:9">
      <c r="A71" s="535" t="s">
        <v>45</v>
      </c>
      <c r="B71" s="535"/>
      <c r="C71" s="535"/>
      <c r="D71" s="157">
        <v>411</v>
      </c>
      <c r="E71" s="514"/>
      <c r="F71" s="514"/>
    </row>
    <row r="72" spans="1:9">
      <c r="A72" s="535" t="s">
        <v>47</v>
      </c>
      <c r="B72" s="535"/>
      <c r="C72" s="535"/>
      <c r="D72" s="157">
        <v>412</v>
      </c>
      <c r="E72" s="514"/>
      <c r="F72" s="514"/>
    </row>
    <row r="73" spans="1:9">
      <c r="A73" s="535" t="s">
        <v>48</v>
      </c>
      <c r="B73" s="535"/>
      <c r="C73" s="535"/>
      <c r="D73" s="157">
        <v>413</v>
      </c>
      <c r="E73" s="514">
        <v>127405740</v>
      </c>
      <c r="F73" s="514">
        <v>127546130</v>
      </c>
    </row>
    <row r="74" spans="1:9">
      <c r="A74" s="535" t="s">
        <v>60</v>
      </c>
      <c r="B74" s="535"/>
      <c r="C74" s="535"/>
      <c r="D74" s="157">
        <v>414</v>
      </c>
      <c r="E74" s="514">
        <v>-14803401</v>
      </c>
      <c r="F74" s="514">
        <v>-22057982</v>
      </c>
    </row>
    <row r="75" spans="1:9">
      <c r="A75" s="535" t="s">
        <v>112</v>
      </c>
      <c r="B75" s="535"/>
      <c r="C75" s="535"/>
      <c r="D75" s="157">
        <v>420</v>
      </c>
      <c r="E75" s="516">
        <f>SUM(E70:E74)</f>
        <v>485917227</v>
      </c>
      <c r="F75" s="516">
        <f>SUM(F70:F74)</f>
        <v>478803036</v>
      </c>
    </row>
    <row r="76" spans="1:9">
      <c r="A76" s="532" t="s">
        <v>113</v>
      </c>
      <c r="B76" s="533"/>
      <c r="C76" s="534"/>
      <c r="D76" s="157">
        <v>421</v>
      </c>
      <c r="E76" s="524">
        <v>882748</v>
      </c>
      <c r="F76" s="524">
        <v>707640</v>
      </c>
    </row>
    <row r="77" spans="1:9">
      <c r="A77" s="532" t="s">
        <v>114</v>
      </c>
      <c r="B77" s="533"/>
      <c r="C77" s="534"/>
      <c r="D77" s="157">
        <v>500</v>
      </c>
      <c r="E77" s="520">
        <f>E75+E76</f>
        <v>486799975</v>
      </c>
      <c r="F77" s="516">
        <f>F75+F76</f>
        <v>479510676</v>
      </c>
    </row>
    <row r="78" spans="1:9">
      <c r="A78" s="532" t="s">
        <v>115</v>
      </c>
      <c r="B78" s="533"/>
      <c r="C78" s="534"/>
      <c r="D78" s="153"/>
      <c r="E78" s="516">
        <f>E58+E59+E68+E77</f>
        <v>922045957</v>
      </c>
      <c r="F78" s="516">
        <f>F58+F59+F68+F77</f>
        <v>956278216</v>
      </c>
      <c r="I78" s="509"/>
    </row>
    <row r="79" spans="1:9">
      <c r="A79" s="160"/>
      <c r="B79" s="160"/>
      <c r="C79" s="522"/>
    </row>
    <row r="80" spans="1:9" ht="60.75" customHeight="1">
      <c r="A80" s="513" t="s">
        <v>1288</v>
      </c>
      <c r="C80" s="523" t="s">
        <v>1287</v>
      </c>
      <c r="E80" s="161"/>
      <c r="F80" s="161"/>
    </row>
    <row r="81" spans="1:6">
      <c r="A81" s="162"/>
      <c r="C81" s="512" t="s">
        <v>371</v>
      </c>
      <c r="E81" s="546" t="s">
        <v>311</v>
      </c>
      <c r="F81" s="546"/>
    </row>
    <row r="82" spans="1:6" ht="81.75" customHeight="1">
      <c r="A82" s="170" t="s">
        <v>1285</v>
      </c>
      <c r="C82" s="523" t="s">
        <v>372</v>
      </c>
      <c r="E82" s="161"/>
      <c r="F82" s="161"/>
    </row>
    <row r="83" spans="1:6">
      <c r="A83" s="167"/>
      <c r="C83" s="512" t="s">
        <v>371</v>
      </c>
      <c r="E83" s="546" t="s">
        <v>311</v>
      </c>
      <c r="F83" s="546"/>
    </row>
    <row r="84" spans="1:6">
      <c r="A84" s="167"/>
      <c r="C84" s="163"/>
    </row>
    <row r="85" spans="1:6">
      <c r="A85" s="167"/>
    </row>
  </sheetData>
  <mergeCells count="68">
    <mergeCell ref="B10:F10"/>
    <mergeCell ref="E81:F81"/>
    <mergeCell ref="E83:F83"/>
    <mergeCell ref="A18:C18"/>
    <mergeCell ref="B6:D6"/>
    <mergeCell ref="A31:C31"/>
    <mergeCell ref="A17:C17"/>
    <mergeCell ref="A30:C30"/>
    <mergeCell ref="A19:C19"/>
    <mergeCell ref="A20:C20"/>
    <mergeCell ref="A34:C34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40:C40"/>
    <mergeCell ref="A39:C39"/>
    <mergeCell ref="A35:C35"/>
    <mergeCell ref="A36:C36"/>
    <mergeCell ref="A37:C37"/>
    <mergeCell ref="A38:C38"/>
    <mergeCell ref="A49:C49"/>
    <mergeCell ref="A50:C50"/>
    <mergeCell ref="A51:C51"/>
    <mergeCell ref="A42:C42"/>
    <mergeCell ref="A43:C43"/>
    <mergeCell ref="A44:C44"/>
    <mergeCell ref="A45:C45"/>
    <mergeCell ref="A46:C46"/>
    <mergeCell ref="A78:C78"/>
    <mergeCell ref="B5:D5"/>
    <mergeCell ref="A73:C73"/>
    <mergeCell ref="A72:C72"/>
    <mergeCell ref="A74:C74"/>
    <mergeCell ref="A75:C75"/>
    <mergeCell ref="A76:C76"/>
    <mergeCell ref="A59:C59"/>
    <mergeCell ref="A66:C66"/>
    <mergeCell ref="A67:C67"/>
    <mergeCell ref="A63:C63"/>
    <mergeCell ref="A65:C65"/>
    <mergeCell ref="A57:C57"/>
    <mergeCell ref="A58:C58"/>
    <mergeCell ref="A47:C47"/>
    <mergeCell ref="A48:C48"/>
    <mergeCell ref="B8:F8"/>
    <mergeCell ref="A77:C77"/>
    <mergeCell ref="A70:C70"/>
    <mergeCell ref="A64:C64"/>
    <mergeCell ref="A68:C68"/>
    <mergeCell ref="A69:C69"/>
    <mergeCell ref="A71:C71"/>
    <mergeCell ref="A60:C60"/>
    <mergeCell ref="A61:C61"/>
    <mergeCell ref="A62:C62"/>
    <mergeCell ref="A53:C53"/>
    <mergeCell ref="A52:C52"/>
    <mergeCell ref="A54:C54"/>
    <mergeCell ref="A55:C55"/>
    <mergeCell ref="A56:C56"/>
    <mergeCell ref="A41:C41"/>
  </mergeCells>
  <phoneticPr fontId="23" type="noConversion"/>
  <hyperlinks>
    <hyperlink ref="F2" r:id="rId1" display="jl:30820085.0 "/>
  </hyperlinks>
  <printOptions horizontalCentered="1"/>
  <pageMargins left="0.39" right="0" top="0.23622047244094491" bottom="0.27" header="0.22" footer="0.11811023622047245"/>
  <pageSetup paperSize="9" scale="76" fitToHeight="0" orientation="portrait" horizontalDpi="4294967292" verticalDpi="300" r:id="rId2"/>
  <headerFooter alignWithMargins="0"/>
  <customProperties>
    <customPr name="EpmWorksheetKeyString_GUID" r:id="rId3"/>
  </customProperties>
  <ignoredErrors>
    <ignoredError sqref="D20:D24 D28 D19 D27 D25 D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zoomScale="85" zoomScaleNormal="85" workbookViewId="0"/>
  </sheetViews>
  <sheetFormatPr defaultRowHeight="15"/>
  <cols>
    <col min="1" max="1" width="21.85546875" style="11" customWidth="1"/>
    <col min="2" max="2" width="31" style="11" customWidth="1"/>
    <col min="3" max="3" width="9.140625" style="11" customWidth="1"/>
    <col min="4" max="4" width="12.85546875" style="11" customWidth="1"/>
    <col min="5" max="5" width="10.85546875" style="11" customWidth="1"/>
    <col min="6" max="6" width="12.140625" style="11" customWidth="1"/>
    <col min="7" max="7" width="13.7109375" style="11" customWidth="1"/>
    <col min="8" max="9" width="13.28515625" style="11" customWidth="1"/>
    <col min="10" max="10" width="12.85546875" style="11" customWidth="1"/>
    <col min="11" max="11" width="7.42578125" style="11" customWidth="1"/>
    <col min="12" max="12" width="10.7109375" style="11" bestFit="1" customWidth="1"/>
    <col min="13" max="256" width="9.140625" style="11"/>
    <col min="257" max="257" width="21.85546875" style="11" customWidth="1"/>
    <col min="258" max="258" width="31" style="11" customWidth="1"/>
    <col min="259" max="259" width="9.140625" style="11" customWidth="1"/>
    <col min="260" max="260" width="12.85546875" style="11" customWidth="1"/>
    <col min="261" max="261" width="10.85546875" style="11" customWidth="1"/>
    <col min="262" max="262" width="12.140625" style="11" customWidth="1"/>
    <col min="263" max="263" width="13.7109375" style="11" customWidth="1"/>
    <col min="264" max="265" width="13.28515625" style="11" customWidth="1"/>
    <col min="266" max="266" width="12.85546875" style="11" customWidth="1"/>
    <col min="267" max="267" width="16" style="11" customWidth="1"/>
    <col min="268" max="512" width="9.140625" style="11"/>
    <col min="513" max="513" width="21.85546875" style="11" customWidth="1"/>
    <col min="514" max="514" width="31" style="11" customWidth="1"/>
    <col min="515" max="515" width="9.140625" style="11" customWidth="1"/>
    <col min="516" max="516" width="12.85546875" style="11" customWidth="1"/>
    <col min="517" max="517" width="10.85546875" style="11" customWidth="1"/>
    <col min="518" max="518" width="12.140625" style="11" customWidth="1"/>
    <col min="519" max="519" width="13.7109375" style="11" customWidth="1"/>
    <col min="520" max="521" width="13.28515625" style="11" customWidth="1"/>
    <col min="522" max="522" width="12.85546875" style="11" customWidth="1"/>
    <col min="523" max="523" width="16" style="11" customWidth="1"/>
    <col min="524" max="768" width="9.140625" style="11"/>
    <col min="769" max="769" width="21.85546875" style="11" customWidth="1"/>
    <col min="770" max="770" width="31" style="11" customWidth="1"/>
    <col min="771" max="771" width="9.140625" style="11" customWidth="1"/>
    <col min="772" max="772" width="12.85546875" style="11" customWidth="1"/>
    <col min="773" max="773" width="10.85546875" style="11" customWidth="1"/>
    <col min="774" max="774" width="12.140625" style="11" customWidth="1"/>
    <col min="775" max="775" width="13.7109375" style="11" customWidth="1"/>
    <col min="776" max="777" width="13.28515625" style="11" customWidth="1"/>
    <col min="778" max="778" width="12.85546875" style="11" customWidth="1"/>
    <col min="779" max="779" width="16" style="11" customWidth="1"/>
    <col min="780" max="1024" width="9.140625" style="11"/>
    <col min="1025" max="1025" width="21.85546875" style="11" customWidth="1"/>
    <col min="1026" max="1026" width="31" style="11" customWidth="1"/>
    <col min="1027" max="1027" width="9.140625" style="11" customWidth="1"/>
    <col min="1028" max="1028" width="12.85546875" style="11" customWidth="1"/>
    <col min="1029" max="1029" width="10.85546875" style="11" customWidth="1"/>
    <col min="1030" max="1030" width="12.140625" style="11" customWidth="1"/>
    <col min="1031" max="1031" width="13.7109375" style="11" customWidth="1"/>
    <col min="1032" max="1033" width="13.28515625" style="11" customWidth="1"/>
    <col min="1034" max="1034" width="12.85546875" style="11" customWidth="1"/>
    <col min="1035" max="1035" width="16" style="11" customWidth="1"/>
    <col min="1036" max="1280" width="9.140625" style="11"/>
    <col min="1281" max="1281" width="21.85546875" style="11" customWidth="1"/>
    <col min="1282" max="1282" width="31" style="11" customWidth="1"/>
    <col min="1283" max="1283" width="9.140625" style="11" customWidth="1"/>
    <col min="1284" max="1284" width="12.85546875" style="11" customWidth="1"/>
    <col min="1285" max="1285" width="10.85546875" style="11" customWidth="1"/>
    <col min="1286" max="1286" width="12.140625" style="11" customWidth="1"/>
    <col min="1287" max="1287" width="13.7109375" style="11" customWidth="1"/>
    <col min="1288" max="1289" width="13.28515625" style="11" customWidth="1"/>
    <col min="1290" max="1290" width="12.85546875" style="11" customWidth="1"/>
    <col min="1291" max="1291" width="16" style="11" customWidth="1"/>
    <col min="1292" max="1536" width="9.140625" style="11"/>
    <col min="1537" max="1537" width="21.85546875" style="11" customWidth="1"/>
    <col min="1538" max="1538" width="31" style="11" customWidth="1"/>
    <col min="1539" max="1539" width="9.140625" style="11" customWidth="1"/>
    <col min="1540" max="1540" width="12.85546875" style="11" customWidth="1"/>
    <col min="1541" max="1541" width="10.85546875" style="11" customWidth="1"/>
    <col min="1542" max="1542" width="12.140625" style="11" customWidth="1"/>
    <col min="1543" max="1543" width="13.7109375" style="11" customWidth="1"/>
    <col min="1544" max="1545" width="13.28515625" style="11" customWidth="1"/>
    <col min="1546" max="1546" width="12.85546875" style="11" customWidth="1"/>
    <col min="1547" max="1547" width="16" style="11" customWidth="1"/>
    <col min="1548" max="1792" width="9.140625" style="11"/>
    <col min="1793" max="1793" width="21.85546875" style="11" customWidth="1"/>
    <col min="1794" max="1794" width="31" style="11" customWidth="1"/>
    <col min="1795" max="1795" width="9.140625" style="11" customWidth="1"/>
    <col min="1796" max="1796" width="12.85546875" style="11" customWidth="1"/>
    <col min="1797" max="1797" width="10.85546875" style="11" customWidth="1"/>
    <col min="1798" max="1798" width="12.140625" style="11" customWidth="1"/>
    <col min="1799" max="1799" width="13.7109375" style="11" customWidth="1"/>
    <col min="1800" max="1801" width="13.28515625" style="11" customWidth="1"/>
    <col min="1802" max="1802" width="12.85546875" style="11" customWidth="1"/>
    <col min="1803" max="1803" width="16" style="11" customWidth="1"/>
    <col min="1804" max="2048" width="9.140625" style="11"/>
    <col min="2049" max="2049" width="21.85546875" style="11" customWidth="1"/>
    <col min="2050" max="2050" width="31" style="11" customWidth="1"/>
    <col min="2051" max="2051" width="9.140625" style="11" customWidth="1"/>
    <col min="2052" max="2052" width="12.85546875" style="11" customWidth="1"/>
    <col min="2053" max="2053" width="10.85546875" style="11" customWidth="1"/>
    <col min="2054" max="2054" width="12.140625" style="11" customWidth="1"/>
    <col min="2055" max="2055" width="13.7109375" style="11" customWidth="1"/>
    <col min="2056" max="2057" width="13.28515625" style="11" customWidth="1"/>
    <col min="2058" max="2058" width="12.85546875" style="11" customWidth="1"/>
    <col min="2059" max="2059" width="16" style="11" customWidth="1"/>
    <col min="2060" max="2304" width="9.140625" style="11"/>
    <col min="2305" max="2305" width="21.85546875" style="11" customWidth="1"/>
    <col min="2306" max="2306" width="31" style="11" customWidth="1"/>
    <col min="2307" max="2307" width="9.140625" style="11" customWidth="1"/>
    <col min="2308" max="2308" width="12.85546875" style="11" customWidth="1"/>
    <col min="2309" max="2309" width="10.85546875" style="11" customWidth="1"/>
    <col min="2310" max="2310" width="12.140625" style="11" customWidth="1"/>
    <col min="2311" max="2311" width="13.7109375" style="11" customWidth="1"/>
    <col min="2312" max="2313" width="13.28515625" style="11" customWidth="1"/>
    <col min="2314" max="2314" width="12.85546875" style="11" customWidth="1"/>
    <col min="2315" max="2315" width="16" style="11" customWidth="1"/>
    <col min="2316" max="2560" width="9.140625" style="11"/>
    <col min="2561" max="2561" width="21.85546875" style="11" customWidth="1"/>
    <col min="2562" max="2562" width="31" style="11" customWidth="1"/>
    <col min="2563" max="2563" width="9.140625" style="11" customWidth="1"/>
    <col min="2564" max="2564" width="12.85546875" style="11" customWidth="1"/>
    <col min="2565" max="2565" width="10.85546875" style="11" customWidth="1"/>
    <col min="2566" max="2566" width="12.140625" style="11" customWidth="1"/>
    <col min="2567" max="2567" width="13.7109375" style="11" customWidth="1"/>
    <col min="2568" max="2569" width="13.28515625" style="11" customWidth="1"/>
    <col min="2570" max="2570" width="12.85546875" style="11" customWidth="1"/>
    <col min="2571" max="2571" width="16" style="11" customWidth="1"/>
    <col min="2572" max="2816" width="9.140625" style="11"/>
    <col min="2817" max="2817" width="21.85546875" style="11" customWidth="1"/>
    <col min="2818" max="2818" width="31" style="11" customWidth="1"/>
    <col min="2819" max="2819" width="9.140625" style="11" customWidth="1"/>
    <col min="2820" max="2820" width="12.85546875" style="11" customWidth="1"/>
    <col min="2821" max="2821" width="10.85546875" style="11" customWidth="1"/>
    <col min="2822" max="2822" width="12.140625" style="11" customWidth="1"/>
    <col min="2823" max="2823" width="13.7109375" style="11" customWidth="1"/>
    <col min="2824" max="2825" width="13.28515625" style="11" customWidth="1"/>
    <col min="2826" max="2826" width="12.85546875" style="11" customWidth="1"/>
    <col min="2827" max="2827" width="16" style="11" customWidth="1"/>
    <col min="2828" max="3072" width="9.140625" style="11"/>
    <col min="3073" max="3073" width="21.85546875" style="11" customWidth="1"/>
    <col min="3074" max="3074" width="31" style="11" customWidth="1"/>
    <col min="3075" max="3075" width="9.140625" style="11" customWidth="1"/>
    <col min="3076" max="3076" width="12.85546875" style="11" customWidth="1"/>
    <col min="3077" max="3077" width="10.85546875" style="11" customWidth="1"/>
    <col min="3078" max="3078" width="12.140625" style="11" customWidth="1"/>
    <col min="3079" max="3079" width="13.7109375" style="11" customWidth="1"/>
    <col min="3080" max="3081" width="13.28515625" style="11" customWidth="1"/>
    <col min="3082" max="3082" width="12.85546875" style="11" customWidth="1"/>
    <col min="3083" max="3083" width="16" style="11" customWidth="1"/>
    <col min="3084" max="3328" width="9.140625" style="11"/>
    <col min="3329" max="3329" width="21.85546875" style="11" customWidth="1"/>
    <col min="3330" max="3330" width="31" style="11" customWidth="1"/>
    <col min="3331" max="3331" width="9.140625" style="11" customWidth="1"/>
    <col min="3332" max="3332" width="12.85546875" style="11" customWidth="1"/>
    <col min="3333" max="3333" width="10.85546875" style="11" customWidth="1"/>
    <col min="3334" max="3334" width="12.140625" style="11" customWidth="1"/>
    <col min="3335" max="3335" width="13.7109375" style="11" customWidth="1"/>
    <col min="3336" max="3337" width="13.28515625" style="11" customWidth="1"/>
    <col min="3338" max="3338" width="12.85546875" style="11" customWidth="1"/>
    <col min="3339" max="3339" width="16" style="11" customWidth="1"/>
    <col min="3340" max="3584" width="9.140625" style="11"/>
    <col min="3585" max="3585" width="21.85546875" style="11" customWidth="1"/>
    <col min="3586" max="3586" width="31" style="11" customWidth="1"/>
    <col min="3587" max="3587" width="9.140625" style="11" customWidth="1"/>
    <col min="3588" max="3588" width="12.85546875" style="11" customWidth="1"/>
    <col min="3589" max="3589" width="10.85546875" style="11" customWidth="1"/>
    <col min="3590" max="3590" width="12.140625" style="11" customWidth="1"/>
    <col min="3591" max="3591" width="13.7109375" style="11" customWidth="1"/>
    <col min="3592" max="3593" width="13.28515625" style="11" customWidth="1"/>
    <col min="3594" max="3594" width="12.85546875" style="11" customWidth="1"/>
    <col min="3595" max="3595" width="16" style="11" customWidth="1"/>
    <col min="3596" max="3840" width="9.140625" style="11"/>
    <col min="3841" max="3841" width="21.85546875" style="11" customWidth="1"/>
    <col min="3842" max="3842" width="31" style="11" customWidth="1"/>
    <col min="3843" max="3843" width="9.140625" style="11" customWidth="1"/>
    <col min="3844" max="3844" width="12.85546875" style="11" customWidth="1"/>
    <col min="3845" max="3845" width="10.85546875" style="11" customWidth="1"/>
    <col min="3846" max="3846" width="12.140625" style="11" customWidth="1"/>
    <col min="3847" max="3847" width="13.7109375" style="11" customWidth="1"/>
    <col min="3848" max="3849" width="13.28515625" style="11" customWidth="1"/>
    <col min="3850" max="3850" width="12.85546875" style="11" customWidth="1"/>
    <col min="3851" max="3851" width="16" style="11" customWidth="1"/>
    <col min="3852" max="4096" width="9.140625" style="11"/>
    <col min="4097" max="4097" width="21.85546875" style="11" customWidth="1"/>
    <col min="4098" max="4098" width="31" style="11" customWidth="1"/>
    <col min="4099" max="4099" width="9.140625" style="11" customWidth="1"/>
    <col min="4100" max="4100" width="12.85546875" style="11" customWidth="1"/>
    <col min="4101" max="4101" width="10.85546875" style="11" customWidth="1"/>
    <col min="4102" max="4102" width="12.140625" style="11" customWidth="1"/>
    <col min="4103" max="4103" width="13.7109375" style="11" customWidth="1"/>
    <col min="4104" max="4105" width="13.28515625" style="11" customWidth="1"/>
    <col min="4106" max="4106" width="12.85546875" style="11" customWidth="1"/>
    <col min="4107" max="4107" width="16" style="11" customWidth="1"/>
    <col min="4108" max="4352" width="9.140625" style="11"/>
    <col min="4353" max="4353" width="21.85546875" style="11" customWidth="1"/>
    <col min="4354" max="4354" width="31" style="11" customWidth="1"/>
    <col min="4355" max="4355" width="9.140625" style="11" customWidth="1"/>
    <col min="4356" max="4356" width="12.85546875" style="11" customWidth="1"/>
    <col min="4357" max="4357" width="10.85546875" style="11" customWidth="1"/>
    <col min="4358" max="4358" width="12.140625" style="11" customWidth="1"/>
    <col min="4359" max="4359" width="13.7109375" style="11" customWidth="1"/>
    <col min="4360" max="4361" width="13.28515625" style="11" customWidth="1"/>
    <col min="4362" max="4362" width="12.85546875" style="11" customWidth="1"/>
    <col min="4363" max="4363" width="16" style="11" customWidth="1"/>
    <col min="4364" max="4608" width="9.140625" style="11"/>
    <col min="4609" max="4609" width="21.85546875" style="11" customWidth="1"/>
    <col min="4610" max="4610" width="31" style="11" customWidth="1"/>
    <col min="4611" max="4611" width="9.140625" style="11" customWidth="1"/>
    <col min="4612" max="4612" width="12.85546875" style="11" customWidth="1"/>
    <col min="4613" max="4613" width="10.85546875" style="11" customWidth="1"/>
    <col min="4614" max="4614" width="12.140625" style="11" customWidth="1"/>
    <col min="4615" max="4615" width="13.7109375" style="11" customWidth="1"/>
    <col min="4616" max="4617" width="13.28515625" style="11" customWidth="1"/>
    <col min="4618" max="4618" width="12.85546875" style="11" customWidth="1"/>
    <col min="4619" max="4619" width="16" style="11" customWidth="1"/>
    <col min="4620" max="4864" width="9.140625" style="11"/>
    <col min="4865" max="4865" width="21.85546875" style="11" customWidth="1"/>
    <col min="4866" max="4866" width="31" style="11" customWidth="1"/>
    <col min="4867" max="4867" width="9.140625" style="11" customWidth="1"/>
    <col min="4868" max="4868" width="12.85546875" style="11" customWidth="1"/>
    <col min="4869" max="4869" width="10.85546875" style="11" customWidth="1"/>
    <col min="4870" max="4870" width="12.140625" style="11" customWidth="1"/>
    <col min="4871" max="4871" width="13.7109375" style="11" customWidth="1"/>
    <col min="4872" max="4873" width="13.28515625" style="11" customWidth="1"/>
    <col min="4874" max="4874" width="12.85546875" style="11" customWidth="1"/>
    <col min="4875" max="4875" width="16" style="11" customWidth="1"/>
    <col min="4876" max="5120" width="9.140625" style="11"/>
    <col min="5121" max="5121" width="21.85546875" style="11" customWidth="1"/>
    <col min="5122" max="5122" width="31" style="11" customWidth="1"/>
    <col min="5123" max="5123" width="9.140625" style="11" customWidth="1"/>
    <col min="5124" max="5124" width="12.85546875" style="11" customWidth="1"/>
    <col min="5125" max="5125" width="10.85546875" style="11" customWidth="1"/>
    <col min="5126" max="5126" width="12.140625" style="11" customWidth="1"/>
    <col min="5127" max="5127" width="13.7109375" style="11" customWidth="1"/>
    <col min="5128" max="5129" width="13.28515625" style="11" customWidth="1"/>
    <col min="5130" max="5130" width="12.85546875" style="11" customWidth="1"/>
    <col min="5131" max="5131" width="16" style="11" customWidth="1"/>
    <col min="5132" max="5376" width="9.140625" style="11"/>
    <col min="5377" max="5377" width="21.85546875" style="11" customWidth="1"/>
    <col min="5378" max="5378" width="31" style="11" customWidth="1"/>
    <col min="5379" max="5379" width="9.140625" style="11" customWidth="1"/>
    <col min="5380" max="5380" width="12.85546875" style="11" customWidth="1"/>
    <col min="5381" max="5381" width="10.85546875" style="11" customWidth="1"/>
    <col min="5382" max="5382" width="12.140625" style="11" customWidth="1"/>
    <col min="5383" max="5383" width="13.7109375" style="11" customWidth="1"/>
    <col min="5384" max="5385" width="13.28515625" style="11" customWidth="1"/>
    <col min="5386" max="5386" width="12.85546875" style="11" customWidth="1"/>
    <col min="5387" max="5387" width="16" style="11" customWidth="1"/>
    <col min="5388" max="5632" width="9.140625" style="11"/>
    <col min="5633" max="5633" width="21.85546875" style="11" customWidth="1"/>
    <col min="5634" max="5634" width="31" style="11" customWidth="1"/>
    <col min="5635" max="5635" width="9.140625" style="11" customWidth="1"/>
    <col min="5636" max="5636" width="12.85546875" style="11" customWidth="1"/>
    <col min="5637" max="5637" width="10.85546875" style="11" customWidth="1"/>
    <col min="5638" max="5638" width="12.140625" style="11" customWidth="1"/>
    <col min="5639" max="5639" width="13.7109375" style="11" customWidth="1"/>
    <col min="5640" max="5641" width="13.28515625" style="11" customWidth="1"/>
    <col min="5642" max="5642" width="12.85546875" style="11" customWidth="1"/>
    <col min="5643" max="5643" width="16" style="11" customWidth="1"/>
    <col min="5644" max="5888" width="9.140625" style="11"/>
    <col min="5889" max="5889" width="21.85546875" style="11" customWidth="1"/>
    <col min="5890" max="5890" width="31" style="11" customWidth="1"/>
    <col min="5891" max="5891" width="9.140625" style="11" customWidth="1"/>
    <col min="5892" max="5892" width="12.85546875" style="11" customWidth="1"/>
    <col min="5893" max="5893" width="10.85546875" style="11" customWidth="1"/>
    <col min="5894" max="5894" width="12.140625" style="11" customWidth="1"/>
    <col min="5895" max="5895" width="13.7109375" style="11" customWidth="1"/>
    <col min="5896" max="5897" width="13.28515625" style="11" customWidth="1"/>
    <col min="5898" max="5898" width="12.85546875" style="11" customWidth="1"/>
    <col min="5899" max="5899" width="16" style="11" customWidth="1"/>
    <col min="5900" max="6144" width="9.140625" style="11"/>
    <col min="6145" max="6145" width="21.85546875" style="11" customWidth="1"/>
    <col min="6146" max="6146" width="31" style="11" customWidth="1"/>
    <col min="6147" max="6147" width="9.140625" style="11" customWidth="1"/>
    <col min="6148" max="6148" width="12.85546875" style="11" customWidth="1"/>
    <col min="6149" max="6149" width="10.85546875" style="11" customWidth="1"/>
    <col min="6150" max="6150" width="12.140625" style="11" customWidth="1"/>
    <col min="6151" max="6151" width="13.7109375" style="11" customWidth="1"/>
    <col min="6152" max="6153" width="13.28515625" style="11" customWidth="1"/>
    <col min="6154" max="6154" width="12.85546875" style="11" customWidth="1"/>
    <col min="6155" max="6155" width="16" style="11" customWidth="1"/>
    <col min="6156" max="6400" width="9.140625" style="11"/>
    <col min="6401" max="6401" width="21.85546875" style="11" customWidth="1"/>
    <col min="6402" max="6402" width="31" style="11" customWidth="1"/>
    <col min="6403" max="6403" width="9.140625" style="11" customWidth="1"/>
    <col min="6404" max="6404" width="12.85546875" style="11" customWidth="1"/>
    <col min="6405" max="6405" width="10.85546875" style="11" customWidth="1"/>
    <col min="6406" max="6406" width="12.140625" style="11" customWidth="1"/>
    <col min="6407" max="6407" width="13.7109375" style="11" customWidth="1"/>
    <col min="6408" max="6409" width="13.28515625" style="11" customWidth="1"/>
    <col min="6410" max="6410" width="12.85546875" style="11" customWidth="1"/>
    <col min="6411" max="6411" width="16" style="11" customWidth="1"/>
    <col min="6412" max="6656" width="9.140625" style="11"/>
    <col min="6657" max="6657" width="21.85546875" style="11" customWidth="1"/>
    <col min="6658" max="6658" width="31" style="11" customWidth="1"/>
    <col min="6659" max="6659" width="9.140625" style="11" customWidth="1"/>
    <col min="6660" max="6660" width="12.85546875" style="11" customWidth="1"/>
    <col min="6661" max="6661" width="10.85546875" style="11" customWidth="1"/>
    <col min="6662" max="6662" width="12.140625" style="11" customWidth="1"/>
    <col min="6663" max="6663" width="13.7109375" style="11" customWidth="1"/>
    <col min="6664" max="6665" width="13.28515625" style="11" customWidth="1"/>
    <col min="6666" max="6666" width="12.85546875" style="11" customWidth="1"/>
    <col min="6667" max="6667" width="16" style="11" customWidth="1"/>
    <col min="6668" max="6912" width="9.140625" style="11"/>
    <col min="6913" max="6913" width="21.85546875" style="11" customWidth="1"/>
    <col min="6914" max="6914" width="31" style="11" customWidth="1"/>
    <col min="6915" max="6915" width="9.140625" style="11" customWidth="1"/>
    <col min="6916" max="6916" width="12.85546875" style="11" customWidth="1"/>
    <col min="6917" max="6917" width="10.85546875" style="11" customWidth="1"/>
    <col min="6918" max="6918" width="12.140625" style="11" customWidth="1"/>
    <col min="6919" max="6919" width="13.7109375" style="11" customWidth="1"/>
    <col min="6920" max="6921" width="13.28515625" style="11" customWidth="1"/>
    <col min="6922" max="6922" width="12.85546875" style="11" customWidth="1"/>
    <col min="6923" max="6923" width="16" style="11" customWidth="1"/>
    <col min="6924" max="7168" width="9.140625" style="11"/>
    <col min="7169" max="7169" width="21.85546875" style="11" customWidth="1"/>
    <col min="7170" max="7170" width="31" style="11" customWidth="1"/>
    <col min="7171" max="7171" width="9.140625" style="11" customWidth="1"/>
    <col min="7172" max="7172" width="12.85546875" style="11" customWidth="1"/>
    <col min="7173" max="7173" width="10.85546875" style="11" customWidth="1"/>
    <col min="7174" max="7174" width="12.140625" style="11" customWidth="1"/>
    <col min="7175" max="7175" width="13.7109375" style="11" customWidth="1"/>
    <col min="7176" max="7177" width="13.28515625" style="11" customWidth="1"/>
    <col min="7178" max="7178" width="12.85546875" style="11" customWidth="1"/>
    <col min="7179" max="7179" width="16" style="11" customWidth="1"/>
    <col min="7180" max="7424" width="9.140625" style="11"/>
    <col min="7425" max="7425" width="21.85546875" style="11" customWidth="1"/>
    <col min="7426" max="7426" width="31" style="11" customWidth="1"/>
    <col min="7427" max="7427" width="9.140625" style="11" customWidth="1"/>
    <col min="7428" max="7428" width="12.85546875" style="11" customWidth="1"/>
    <col min="7429" max="7429" width="10.85546875" style="11" customWidth="1"/>
    <col min="7430" max="7430" width="12.140625" style="11" customWidth="1"/>
    <col min="7431" max="7431" width="13.7109375" style="11" customWidth="1"/>
    <col min="7432" max="7433" width="13.28515625" style="11" customWidth="1"/>
    <col min="7434" max="7434" width="12.85546875" style="11" customWidth="1"/>
    <col min="7435" max="7435" width="16" style="11" customWidth="1"/>
    <col min="7436" max="7680" width="9.140625" style="11"/>
    <col min="7681" max="7681" width="21.85546875" style="11" customWidth="1"/>
    <col min="7682" max="7682" width="31" style="11" customWidth="1"/>
    <col min="7683" max="7683" width="9.140625" style="11" customWidth="1"/>
    <col min="7684" max="7684" width="12.85546875" style="11" customWidth="1"/>
    <col min="7685" max="7685" width="10.85546875" style="11" customWidth="1"/>
    <col min="7686" max="7686" width="12.140625" style="11" customWidth="1"/>
    <col min="7687" max="7687" width="13.7109375" style="11" customWidth="1"/>
    <col min="7688" max="7689" width="13.28515625" style="11" customWidth="1"/>
    <col min="7690" max="7690" width="12.85546875" style="11" customWidth="1"/>
    <col min="7691" max="7691" width="16" style="11" customWidth="1"/>
    <col min="7692" max="7936" width="9.140625" style="11"/>
    <col min="7937" max="7937" width="21.85546875" style="11" customWidth="1"/>
    <col min="7938" max="7938" width="31" style="11" customWidth="1"/>
    <col min="7939" max="7939" width="9.140625" style="11" customWidth="1"/>
    <col min="7940" max="7940" width="12.85546875" style="11" customWidth="1"/>
    <col min="7941" max="7941" width="10.85546875" style="11" customWidth="1"/>
    <col min="7942" max="7942" width="12.140625" style="11" customWidth="1"/>
    <col min="7943" max="7943" width="13.7109375" style="11" customWidth="1"/>
    <col min="7944" max="7945" width="13.28515625" style="11" customWidth="1"/>
    <col min="7946" max="7946" width="12.85546875" style="11" customWidth="1"/>
    <col min="7947" max="7947" width="16" style="11" customWidth="1"/>
    <col min="7948" max="8192" width="9.140625" style="11"/>
    <col min="8193" max="8193" width="21.85546875" style="11" customWidth="1"/>
    <col min="8194" max="8194" width="31" style="11" customWidth="1"/>
    <col min="8195" max="8195" width="9.140625" style="11" customWidth="1"/>
    <col min="8196" max="8196" width="12.85546875" style="11" customWidth="1"/>
    <col min="8197" max="8197" width="10.85546875" style="11" customWidth="1"/>
    <col min="8198" max="8198" width="12.140625" style="11" customWidth="1"/>
    <col min="8199" max="8199" width="13.7109375" style="11" customWidth="1"/>
    <col min="8200" max="8201" width="13.28515625" style="11" customWidth="1"/>
    <col min="8202" max="8202" width="12.85546875" style="11" customWidth="1"/>
    <col min="8203" max="8203" width="16" style="11" customWidth="1"/>
    <col min="8204" max="8448" width="9.140625" style="11"/>
    <col min="8449" max="8449" width="21.85546875" style="11" customWidth="1"/>
    <col min="8450" max="8450" width="31" style="11" customWidth="1"/>
    <col min="8451" max="8451" width="9.140625" style="11" customWidth="1"/>
    <col min="8452" max="8452" width="12.85546875" style="11" customWidth="1"/>
    <col min="8453" max="8453" width="10.85546875" style="11" customWidth="1"/>
    <col min="8454" max="8454" width="12.140625" style="11" customWidth="1"/>
    <col min="8455" max="8455" width="13.7109375" style="11" customWidth="1"/>
    <col min="8456" max="8457" width="13.28515625" style="11" customWidth="1"/>
    <col min="8458" max="8458" width="12.85546875" style="11" customWidth="1"/>
    <col min="8459" max="8459" width="16" style="11" customWidth="1"/>
    <col min="8460" max="8704" width="9.140625" style="11"/>
    <col min="8705" max="8705" width="21.85546875" style="11" customWidth="1"/>
    <col min="8706" max="8706" width="31" style="11" customWidth="1"/>
    <col min="8707" max="8707" width="9.140625" style="11" customWidth="1"/>
    <col min="8708" max="8708" width="12.85546875" style="11" customWidth="1"/>
    <col min="8709" max="8709" width="10.85546875" style="11" customWidth="1"/>
    <col min="8710" max="8710" width="12.140625" style="11" customWidth="1"/>
    <col min="8711" max="8711" width="13.7109375" style="11" customWidth="1"/>
    <col min="8712" max="8713" width="13.28515625" style="11" customWidth="1"/>
    <col min="8714" max="8714" width="12.85546875" style="11" customWidth="1"/>
    <col min="8715" max="8715" width="16" style="11" customWidth="1"/>
    <col min="8716" max="8960" width="9.140625" style="11"/>
    <col min="8961" max="8961" width="21.85546875" style="11" customWidth="1"/>
    <col min="8962" max="8962" width="31" style="11" customWidth="1"/>
    <col min="8963" max="8963" width="9.140625" style="11" customWidth="1"/>
    <col min="8964" max="8964" width="12.85546875" style="11" customWidth="1"/>
    <col min="8965" max="8965" width="10.85546875" style="11" customWidth="1"/>
    <col min="8966" max="8966" width="12.140625" style="11" customWidth="1"/>
    <col min="8967" max="8967" width="13.7109375" style="11" customWidth="1"/>
    <col min="8968" max="8969" width="13.28515625" style="11" customWidth="1"/>
    <col min="8970" max="8970" width="12.85546875" style="11" customWidth="1"/>
    <col min="8971" max="8971" width="16" style="11" customWidth="1"/>
    <col min="8972" max="9216" width="9.140625" style="11"/>
    <col min="9217" max="9217" width="21.85546875" style="11" customWidth="1"/>
    <col min="9218" max="9218" width="31" style="11" customWidth="1"/>
    <col min="9219" max="9219" width="9.140625" style="11" customWidth="1"/>
    <col min="9220" max="9220" width="12.85546875" style="11" customWidth="1"/>
    <col min="9221" max="9221" width="10.85546875" style="11" customWidth="1"/>
    <col min="9222" max="9222" width="12.140625" style="11" customWidth="1"/>
    <col min="9223" max="9223" width="13.7109375" style="11" customWidth="1"/>
    <col min="9224" max="9225" width="13.28515625" style="11" customWidth="1"/>
    <col min="9226" max="9226" width="12.85546875" style="11" customWidth="1"/>
    <col min="9227" max="9227" width="16" style="11" customWidth="1"/>
    <col min="9228" max="9472" width="9.140625" style="11"/>
    <col min="9473" max="9473" width="21.85546875" style="11" customWidth="1"/>
    <col min="9474" max="9474" width="31" style="11" customWidth="1"/>
    <col min="9475" max="9475" width="9.140625" style="11" customWidth="1"/>
    <col min="9476" max="9476" width="12.85546875" style="11" customWidth="1"/>
    <col min="9477" max="9477" width="10.85546875" style="11" customWidth="1"/>
    <col min="9478" max="9478" width="12.140625" style="11" customWidth="1"/>
    <col min="9479" max="9479" width="13.7109375" style="11" customWidth="1"/>
    <col min="9480" max="9481" width="13.28515625" style="11" customWidth="1"/>
    <col min="9482" max="9482" width="12.85546875" style="11" customWidth="1"/>
    <col min="9483" max="9483" width="16" style="11" customWidth="1"/>
    <col min="9484" max="9728" width="9.140625" style="11"/>
    <col min="9729" max="9729" width="21.85546875" style="11" customWidth="1"/>
    <col min="9730" max="9730" width="31" style="11" customWidth="1"/>
    <col min="9731" max="9731" width="9.140625" style="11" customWidth="1"/>
    <col min="9732" max="9732" width="12.85546875" style="11" customWidth="1"/>
    <col min="9733" max="9733" width="10.85546875" style="11" customWidth="1"/>
    <col min="9734" max="9734" width="12.140625" style="11" customWidth="1"/>
    <col min="9735" max="9735" width="13.7109375" style="11" customWidth="1"/>
    <col min="9736" max="9737" width="13.28515625" style="11" customWidth="1"/>
    <col min="9738" max="9738" width="12.85546875" style="11" customWidth="1"/>
    <col min="9739" max="9739" width="16" style="11" customWidth="1"/>
    <col min="9740" max="9984" width="9.140625" style="11"/>
    <col min="9985" max="9985" width="21.85546875" style="11" customWidth="1"/>
    <col min="9986" max="9986" width="31" style="11" customWidth="1"/>
    <col min="9987" max="9987" width="9.140625" style="11" customWidth="1"/>
    <col min="9988" max="9988" width="12.85546875" style="11" customWidth="1"/>
    <col min="9989" max="9989" width="10.85546875" style="11" customWidth="1"/>
    <col min="9990" max="9990" width="12.140625" style="11" customWidth="1"/>
    <col min="9991" max="9991" width="13.7109375" style="11" customWidth="1"/>
    <col min="9992" max="9993" width="13.28515625" style="11" customWidth="1"/>
    <col min="9994" max="9994" width="12.85546875" style="11" customWidth="1"/>
    <col min="9995" max="9995" width="16" style="11" customWidth="1"/>
    <col min="9996" max="10240" width="9.140625" style="11"/>
    <col min="10241" max="10241" width="21.85546875" style="11" customWidth="1"/>
    <col min="10242" max="10242" width="31" style="11" customWidth="1"/>
    <col min="10243" max="10243" width="9.140625" style="11" customWidth="1"/>
    <col min="10244" max="10244" width="12.85546875" style="11" customWidth="1"/>
    <col min="10245" max="10245" width="10.85546875" style="11" customWidth="1"/>
    <col min="10246" max="10246" width="12.140625" style="11" customWidth="1"/>
    <col min="10247" max="10247" width="13.7109375" style="11" customWidth="1"/>
    <col min="10248" max="10249" width="13.28515625" style="11" customWidth="1"/>
    <col min="10250" max="10250" width="12.85546875" style="11" customWidth="1"/>
    <col min="10251" max="10251" width="16" style="11" customWidth="1"/>
    <col min="10252" max="10496" width="9.140625" style="11"/>
    <col min="10497" max="10497" width="21.85546875" style="11" customWidth="1"/>
    <col min="10498" max="10498" width="31" style="11" customWidth="1"/>
    <col min="10499" max="10499" width="9.140625" style="11" customWidth="1"/>
    <col min="10500" max="10500" width="12.85546875" style="11" customWidth="1"/>
    <col min="10501" max="10501" width="10.85546875" style="11" customWidth="1"/>
    <col min="10502" max="10502" width="12.140625" style="11" customWidth="1"/>
    <col min="10503" max="10503" width="13.7109375" style="11" customWidth="1"/>
    <col min="10504" max="10505" width="13.28515625" style="11" customWidth="1"/>
    <col min="10506" max="10506" width="12.85546875" style="11" customWidth="1"/>
    <col min="10507" max="10507" width="16" style="11" customWidth="1"/>
    <col min="10508" max="10752" width="9.140625" style="11"/>
    <col min="10753" max="10753" width="21.85546875" style="11" customWidth="1"/>
    <col min="10754" max="10754" width="31" style="11" customWidth="1"/>
    <col min="10755" max="10755" width="9.140625" style="11" customWidth="1"/>
    <col min="10756" max="10756" width="12.85546875" style="11" customWidth="1"/>
    <col min="10757" max="10757" width="10.85546875" style="11" customWidth="1"/>
    <col min="10758" max="10758" width="12.140625" style="11" customWidth="1"/>
    <col min="10759" max="10759" width="13.7109375" style="11" customWidth="1"/>
    <col min="10760" max="10761" width="13.28515625" style="11" customWidth="1"/>
    <col min="10762" max="10762" width="12.85546875" style="11" customWidth="1"/>
    <col min="10763" max="10763" width="16" style="11" customWidth="1"/>
    <col min="10764" max="11008" width="9.140625" style="11"/>
    <col min="11009" max="11009" width="21.85546875" style="11" customWidth="1"/>
    <col min="11010" max="11010" width="31" style="11" customWidth="1"/>
    <col min="11011" max="11011" width="9.140625" style="11" customWidth="1"/>
    <col min="11012" max="11012" width="12.85546875" style="11" customWidth="1"/>
    <col min="11013" max="11013" width="10.85546875" style="11" customWidth="1"/>
    <col min="11014" max="11014" width="12.140625" style="11" customWidth="1"/>
    <col min="11015" max="11015" width="13.7109375" style="11" customWidth="1"/>
    <col min="11016" max="11017" width="13.28515625" style="11" customWidth="1"/>
    <col min="11018" max="11018" width="12.85546875" style="11" customWidth="1"/>
    <col min="11019" max="11019" width="16" style="11" customWidth="1"/>
    <col min="11020" max="11264" width="9.140625" style="11"/>
    <col min="11265" max="11265" width="21.85546875" style="11" customWidth="1"/>
    <col min="11266" max="11266" width="31" style="11" customWidth="1"/>
    <col min="11267" max="11267" width="9.140625" style="11" customWidth="1"/>
    <col min="11268" max="11268" width="12.85546875" style="11" customWidth="1"/>
    <col min="11269" max="11269" width="10.85546875" style="11" customWidth="1"/>
    <col min="11270" max="11270" width="12.140625" style="11" customWidth="1"/>
    <col min="11271" max="11271" width="13.7109375" style="11" customWidth="1"/>
    <col min="11272" max="11273" width="13.28515625" style="11" customWidth="1"/>
    <col min="11274" max="11274" width="12.85546875" style="11" customWidth="1"/>
    <col min="11275" max="11275" width="16" style="11" customWidth="1"/>
    <col min="11276" max="11520" width="9.140625" style="11"/>
    <col min="11521" max="11521" width="21.85546875" style="11" customWidth="1"/>
    <col min="11522" max="11522" width="31" style="11" customWidth="1"/>
    <col min="11523" max="11523" width="9.140625" style="11" customWidth="1"/>
    <col min="11524" max="11524" width="12.85546875" style="11" customWidth="1"/>
    <col min="11525" max="11525" width="10.85546875" style="11" customWidth="1"/>
    <col min="11526" max="11526" width="12.140625" style="11" customWidth="1"/>
    <col min="11527" max="11527" width="13.7109375" style="11" customWidth="1"/>
    <col min="11528" max="11529" width="13.28515625" style="11" customWidth="1"/>
    <col min="11530" max="11530" width="12.85546875" style="11" customWidth="1"/>
    <col min="11531" max="11531" width="16" style="11" customWidth="1"/>
    <col min="11532" max="11776" width="9.140625" style="11"/>
    <col min="11777" max="11777" width="21.85546875" style="11" customWidth="1"/>
    <col min="11778" max="11778" width="31" style="11" customWidth="1"/>
    <col min="11779" max="11779" width="9.140625" style="11" customWidth="1"/>
    <col min="11780" max="11780" width="12.85546875" style="11" customWidth="1"/>
    <col min="11781" max="11781" width="10.85546875" style="11" customWidth="1"/>
    <col min="11782" max="11782" width="12.140625" style="11" customWidth="1"/>
    <col min="11783" max="11783" width="13.7109375" style="11" customWidth="1"/>
    <col min="11784" max="11785" width="13.28515625" style="11" customWidth="1"/>
    <col min="11786" max="11786" width="12.85546875" style="11" customWidth="1"/>
    <col min="11787" max="11787" width="16" style="11" customWidth="1"/>
    <col min="11788" max="12032" width="9.140625" style="11"/>
    <col min="12033" max="12033" width="21.85546875" style="11" customWidth="1"/>
    <col min="12034" max="12034" width="31" style="11" customWidth="1"/>
    <col min="12035" max="12035" width="9.140625" style="11" customWidth="1"/>
    <col min="12036" max="12036" width="12.85546875" style="11" customWidth="1"/>
    <col min="12037" max="12037" width="10.85546875" style="11" customWidth="1"/>
    <col min="12038" max="12038" width="12.140625" style="11" customWidth="1"/>
    <col min="12039" max="12039" width="13.7109375" style="11" customWidth="1"/>
    <col min="12040" max="12041" width="13.28515625" style="11" customWidth="1"/>
    <col min="12042" max="12042" width="12.85546875" style="11" customWidth="1"/>
    <col min="12043" max="12043" width="16" style="11" customWidth="1"/>
    <col min="12044" max="12288" width="9.140625" style="11"/>
    <col min="12289" max="12289" width="21.85546875" style="11" customWidth="1"/>
    <col min="12290" max="12290" width="31" style="11" customWidth="1"/>
    <col min="12291" max="12291" width="9.140625" style="11" customWidth="1"/>
    <col min="12292" max="12292" width="12.85546875" style="11" customWidth="1"/>
    <col min="12293" max="12293" width="10.85546875" style="11" customWidth="1"/>
    <col min="12294" max="12294" width="12.140625" style="11" customWidth="1"/>
    <col min="12295" max="12295" width="13.7109375" style="11" customWidth="1"/>
    <col min="12296" max="12297" width="13.28515625" style="11" customWidth="1"/>
    <col min="12298" max="12298" width="12.85546875" style="11" customWidth="1"/>
    <col min="12299" max="12299" width="16" style="11" customWidth="1"/>
    <col min="12300" max="12544" width="9.140625" style="11"/>
    <col min="12545" max="12545" width="21.85546875" style="11" customWidth="1"/>
    <col min="12546" max="12546" width="31" style="11" customWidth="1"/>
    <col min="12547" max="12547" width="9.140625" style="11" customWidth="1"/>
    <col min="12548" max="12548" width="12.85546875" style="11" customWidth="1"/>
    <col min="12549" max="12549" width="10.85546875" style="11" customWidth="1"/>
    <col min="12550" max="12550" width="12.140625" style="11" customWidth="1"/>
    <col min="12551" max="12551" width="13.7109375" style="11" customWidth="1"/>
    <col min="12552" max="12553" width="13.28515625" style="11" customWidth="1"/>
    <col min="12554" max="12554" width="12.85546875" style="11" customWidth="1"/>
    <col min="12555" max="12555" width="16" style="11" customWidth="1"/>
    <col min="12556" max="12800" width="9.140625" style="11"/>
    <col min="12801" max="12801" width="21.85546875" style="11" customWidth="1"/>
    <col min="12802" max="12802" width="31" style="11" customWidth="1"/>
    <col min="12803" max="12803" width="9.140625" style="11" customWidth="1"/>
    <col min="12804" max="12804" width="12.85546875" style="11" customWidth="1"/>
    <col min="12805" max="12805" width="10.85546875" style="11" customWidth="1"/>
    <col min="12806" max="12806" width="12.140625" style="11" customWidth="1"/>
    <col min="12807" max="12807" width="13.7109375" style="11" customWidth="1"/>
    <col min="12808" max="12809" width="13.28515625" style="11" customWidth="1"/>
    <col min="12810" max="12810" width="12.85546875" style="11" customWidth="1"/>
    <col min="12811" max="12811" width="16" style="11" customWidth="1"/>
    <col min="12812" max="13056" width="9.140625" style="11"/>
    <col min="13057" max="13057" width="21.85546875" style="11" customWidth="1"/>
    <col min="13058" max="13058" width="31" style="11" customWidth="1"/>
    <col min="13059" max="13059" width="9.140625" style="11" customWidth="1"/>
    <col min="13060" max="13060" width="12.85546875" style="11" customWidth="1"/>
    <col min="13061" max="13061" width="10.85546875" style="11" customWidth="1"/>
    <col min="13062" max="13062" width="12.140625" style="11" customWidth="1"/>
    <col min="13063" max="13063" width="13.7109375" style="11" customWidth="1"/>
    <col min="13064" max="13065" width="13.28515625" style="11" customWidth="1"/>
    <col min="13066" max="13066" width="12.85546875" style="11" customWidth="1"/>
    <col min="13067" max="13067" width="16" style="11" customWidth="1"/>
    <col min="13068" max="13312" width="9.140625" style="11"/>
    <col min="13313" max="13313" width="21.85546875" style="11" customWidth="1"/>
    <col min="13314" max="13314" width="31" style="11" customWidth="1"/>
    <col min="13315" max="13315" width="9.140625" style="11" customWidth="1"/>
    <col min="13316" max="13316" width="12.85546875" style="11" customWidth="1"/>
    <col min="13317" max="13317" width="10.85546875" style="11" customWidth="1"/>
    <col min="13318" max="13318" width="12.140625" style="11" customWidth="1"/>
    <col min="13319" max="13319" width="13.7109375" style="11" customWidth="1"/>
    <col min="13320" max="13321" width="13.28515625" style="11" customWidth="1"/>
    <col min="13322" max="13322" width="12.85546875" style="11" customWidth="1"/>
    <col min="13323" max="13323" width="16" style="11" customWidth="1"/>
    <col min="13324" max="13568" width="9.140625" style="11"/>
    <col min="13569" max="13569" width="21.85546875" style="11" customWidth="1"/>
    <col min="13570" max="13570" width="31" style="11" customWidth="1"/>
    <col min="13571" max="13571" width="9.140625" style="11" customWidth="1"/>
    <col min="13572" max="13572" width="12.85546875" style="11" customWidth="1"/>
    <col min="13573" max="13573" width="10.85546875" style="11" customWidth="1"/>
    <col min="13574" max="13574" width="12.140625" style="11" customWidth="1"/>
    <col min="13575" max="13575" width="13.7109375" style="11" customWidth="1"/>
    <col min="13576" max="13577" width="13.28515625" style="11" customWidth="1"/>
    <col min="13578" max="13578" width="12.85546875" style="11" customWidth="1"/>
    <col min="13579" max="13579" width="16" style="11" customWidth="1"/>
    <col min="13580" max="13824" width="9.140625" style="11"/>
    <col min="13825" max="13825" width="21.85546875" style="11" customWidth="1"/>
    <col min="13826" max="13826" width="31" style="11" customWidth="1"/>
    <col min="13827" max="13827" width="9.140625" style="11" customWidth="1"/>
    <col min="13828" max="13828" width="12.85546875" style="11" customWidth="1"/>
    <col min="13829" max="13829" width="10.85546875" style="11" customWidth="1"/>
    <col min="13830" max="13830" width="12.140625" style="11" customWidth="1"/>
    <col min="13831" max="13831" width="13.7109375" style="11" customWidth="1"/>
    <col min="13832" max="13833" width="13.28515625" style="11" customWidth="1"/>
    <col min="13834" max="13834" width="12.85546875" style="11" customWidth="1"/>
    <col min="13835" max="13835" width="16" style="11" customWidth="1"/>
    <col min="13836" max="14080" width="9.140625" style="11"/>
    <col min="14081" max="14081" width="21.85546875" style="11" customWidth="1"/>
    <col min="14082" max="14082" width="31" style="11" customWidth="1"/>
    <col min="14083" max="14083" width="9.140625" style="11" customWidth="1"/>
    <col min="14084" max="14084" width="12.85546875" style="11" customWidth="1"/>
    <col min="14085" max="14085" width="10.85546875" style="11" customWidth="1"/>
    <col min="14086" max="14086" width="12.140625" style="11" customWidth="1"/>
    <col min="14087" max="14087" width="13.7109375" style="11" customWidth="1"/>
    <col min="14088" max="14089" width="13.28515625" style="11" customWidth="1"/>
    <col min="14090" max="14090" width="12.85546875" style="11" customWidth="1"/>
    <col min="14091" max="14091" width="16" style="11" customWidth="1"/>
    <col min="14092" max="14336" width="9.140625" style="11"/>
    <col min="14337" max="14337" width="21.85546875" style="11" customWidth="1"/>
    <col min="14338" max="14338" width="31" style="11" customWidth="1"/>
    <col min="14339" max="14339" width="9.140625" style="11" customWidth="1"/>
    <col min="14340" max="14340" width="12.85546875" style="11" customWidth="1"/>
    <col min="14341" max="14341" width="10.85546875" style="11" customWidth="1"/>
    <col min="14342" max="14342" width="12.140625" style="11" customWidth="1"/>
    <col min="14343" max="14343" width="13.7109375" style="11" customWidth="1"/>
    <col min="14344" max="14345" width="13.28515625" style="11" customWidth="1"/>
    <col min="14346" max="14346" width="12.85546875" style="11" customWidth="1"/>
    <col min="14347" max="14347" width="16" style="11" customWidth="1"/>
    <col min="14348" max="14592" width="9.140625" style="11"/>
    <col min="14593" max="14593" width="21.85546875" style="11" customWidth="1"/>
    <col min="14594" max="14594" width="31" style="11" customWidth="1"/>
    <col min="14595" max="14595" width="9.140625" style="11" customWidth="1"/>
    <col min="14596" max="14596" width="12.85546875" style="11" customWidth="1"/>
    <col min="14597" max="14597" width="10.85546875" style="11" customWidth="1"/>
    <col min="14598" max="14598" width="12.140625" style="11" customWidth="1"/>
    <col min="14599" max="14599" width="13.7109375" style="11" customWidth="1"/>
    <col min="14600" max="14601" width="13.28515625" style="11" customWidth="1"/>
    <col min="14602" max="14602" width="12.85546875" style="11" customWidth="1"/>
    <col min="14603" max="14603" width="16" style="11" customWidth="1"/>
    <col min="14604" max="14848" width="9.140625" style="11"/>
    <col min="14849" max="14849" width="21.85546875" style="11" customWidth="1"/>
    <col min="14850" max="14850" width="31" style="11" customWidth="1"/>
    <col min="14851" max="14851" width="9.140625" style="11" customWidth="1"/>
    <col min="14852" max="14852" width="12.85546875" style="11" customWidth="1"/>
    <col min="14853" max="14853" width="10.85546875" style="11" customWidth="1"/>
    <col min="14854" max="14854" width="12.140625" style="11" customWidth="1"/>
    <col min="14855" max="14855" width="13.7109375" style="11" customWidth="1"/>
    <col min="14856" max="14857" width="13.28515625" style="11" customWidth="1"/>
    <col min="14858" max="14858" width="12.85546875" style="11" customWidth="1"/>
    <col min="14859" max="14859" width="16" style="11" customWidth="1"/>
    <col min="14860" max="15104" width="9.140625" style="11"/>
    <col min="15105" max="15105" width="21.85546875" style="11" customWidth="1"/>
    <col min="15106" max="15106" width="31" style="11" customWidth="1"/>
    <col min="15107" max="15107" width="9.140625" style="11" customWidth="1"/>
    <col min="15108" max="15108" width="12.85546875" style="11" customWidth="1"/>
    <col min="15109" max="15109" width="10.85546875" style="11" customWidth="1"/>
    <col min="15110" max="15110" width="12.140625" style="11" customWidth="1"/>
    <col min="15111" max="15111" width="13.7109375" style="11" customWidth="1"/>
    <col min="15112" max="15113" width="13.28515625" style="11" customWidth="1"/>
    <col min="15114" max="15114" width="12.85546875" style="11" customWidth="1"/>
    <col min="15115" max="15115" width="16" style="11" customWidth="1"/>
    <col min="15116" max="15360" width="9.140625" style="11"/>
    <col min="15361" max="15361" width="21.85546875" style="11" customWidth="1"/>
    <col min="15362" max="15362" width="31" style="11" customWidth="1"/>
    <col min="15363" max="15363" width="9.140625" style="11" customWidth="1"/>
    <col min="15364" max="15364" width="12.85546875" style="11" customWidth="1"/>
    <col min="15365" max="15365" width="10.85546875" style="11" customWidth="1"/>
    <col min="15366" max="15366" width="12.140625" style="11" customWidth="1"/>
    <col min="15367" max="15367" width="13.7109375" style="11" customWidth="1"/>
    <col min="15368" max="15369" width="13.28515625" style="11" customWidth="1"/>
    <col min="15370" max="15370" width="12.85546875" style="11" customWidth="1"/>
    <col min="15371" max="15371" width="16" style="11" customWidth="1"/>
    <col min="15372" max="15616" width="9.140625" style="11"/>
    <col min="15617" max="15617" width="21.85546875" style="11" customWidth="1"/>
    <col min="15618" max="15618" width="31" style="11" customWidth="1"/>
    <col min="15619" max="15619" width="9.140625" style="11" customWidth="1"/>
    <col min="15620" max="15620" width="12.85546875" style="11" customWidth="1"/>
    <col min="15621" max="15621" width="10.85546875" style="11" customWidth="1"/>
    <col min="15622" max="15622" width="12.140625" style="11" customWidth="1"/>
    <col min="15623" max="15623" width="13.7109375" style="11" customWidth="1"/>
    <col min="15624" max="15625" width="13.28515625" style="11" customWidth="1"/>
    <col min="15626" max="15626" width="12.85546875" style="11" customWidth="1"/>
    <col min="15627" max="15627" width="16" style="11" customWidth="1"/>
    <col min="15628" max="15872" width="9.140625" style="11"/>
    <col min="15873" max="15873" width="21.85546875" style="11" customWidth="1"/>
    <col min="15874" max="15874" width="31" style="11" customWidth="1"/>
    <col min="15875" max="15875" width="9.140625" style="11" customWidth="1"/>
    <col min="15876" max="15876" width="12.85546875" style="11" customWidth="1"/>
    <col min="15877" max="15877" width="10.85546875" style="11" customWidth="1"/>
    <col min="15878" max="15878" width="12.140625" style="11" customWidth="1"/>
    <col min="15879" max="15879" width="13.7109375" style="11" customWidth="1"/>
    <col min="15880" max="15881" width="13.28515625" style="11" customWidth="1"/>
    <col min="15882" max="15882" width="12.85546875" style="11" customWidth="1"/>
    <col min="15883" max="15883" width="16" style="11" customWidth="1"/>
    <col min="15884" max="16128" width="9.140625" style="11"/>
    <col min="16129" max="16129" width="21.85546875" style="11" customWidth="1"/>
    <col min="16130" max="16130" width="31" style="11" customWidth="1"/>
    <col min="16131" max="16131" width="9.140625" style="11" customWidth="1"/>
    <col min="16132" max="16132" width="12.85546875" style="11" customWidth="1"/>
    <col min="16133" max="16133" width="10.85546875" style="11" customWidth="1"/>
    <col min="16134" max="16134" width="12.140625" style="11" customWidth="1"/>
    <col min="16135" max="16135" width="13.7109375" style="11" customWidth="1"/>
    <col min="16136" max="16137" width="13.28515625" style="11" customWidth="1"/>
    <col min="16138" max="16138" width="12.85546875" style="11" customWidth="1"/>
    <col min="16139" max="16139" width="16" style="11" customWidth="1"/>
    <col min="16140" max="16384" width="9.140625" style="11"/>
  </cols>
  <sheetData>
    <row r="1" spans="1:11">
      <c r="J1" s="54" t="s">
        <v>320</v>
      </c>
    </row>
    <row r="2" spans="1:11">
      <c r="J2" s="54" t="s">
        <v>315</v>
      </c>
    </row>
    <row r="3" spans="1:11">
      <c r="J3" s="54" t="s">
        <v>316</v>
      </c>
    </row>
    <row r="4" spans="1:11">
      <c r="J4" s="54" t="s">
        <v>1284</v>
      </c>
    </row>
    <row r="5" spans="1:11">
      <c r="J5" s="12"/>
    </row>
    <row r="6" spans="1:11">
      <c r="A6" s="13" t="s">
        <v>57</v>
      </c>
      <c r="B6" s="13"/>
      <c r="C6" s="14" t="str">
        <f>[10]ОПиУ!B8</f>
        <v>Акционерное общество "Самрук-Энерго"</v>
      </c>
      <c r="D6" s="15"/>
      <c r="E6" s="16"/>
      <c r="F6" s="17"/>
      <c r="G6" s="22"/>
      <c r="H6" s="23"/>
      <c r="I6" s="24"/>
      <c r="J6" s="24"/>
    </row>
    <row r="7" spans="1:11">
      <c r="A7" s="18"/>
      <c r="B7" s="19"/>
      <c r="C7" s="19"/>
      <c r="D7" s="19"/>
      <c r="E7" s="20"/>
      <c r="F7" s="21"/>
      <c r="G7" s="22"/>
      <c r="H7" s="23"/>
      <c r="I7" s="24"/>
      <c r="J7" s="24"/>
    </row>
    <row r="8" spans="1:11" ht="15.75">
      <c r="A8" s="551" t="s">
        <v>58</v>
      </c>
      <c r="B8" s="551"/>
      <c r="C8" s="551"/>
      <c r="D8" s="551"/>
      <c r="E8" s="551"/>
      <c r="F8" s="551"/>
      <c r="G8" s="551"/>
      <c r="H8" s="551"/>
      <c r="I8" s="551"/>
      <c r="J8" s="551"/>
    </row>
    <row r="9" spans="1:11" ht="15.75">
      <c r="A9" s="552" t="s">
        <v>1286</v>
      </c>
      <c r="B9" s="552"/>
      <c r="C9" s="552"/>
      <c r="D9" s="552"/>
      <c r="E9" s="552"/>
      <c r="F9" s="552"/>
      <c r="G9" s="552"/>
      <c r="H9" s="552"/>
      <c r="I9" s="552"/>
      <c r="J9" s="552"/>
    </row>
    <row r="10" spans="1:11">
      <c r="A10" s="18"/>
      <c r="B10" s="19"/>
      <c r="C10" s="19"/>
      <c r="D10" s="19"/>
      <c r="E10" s="25"/>
      <c r="F10" s="26"/>
      <c r="G10" s="26"/>
      <c r="H10" s="26"/>
      <c r="I10" s="26"/>
      <c r="J10" s="12" t="s">
        <v>189</v>
      </c>
    </row>
    <row r="11" spans="1:11" ht="15" customHeight="1">
      <c r="A11" s="553" t="s">
        <v>50</v>
      </c>
      <c r="B11" s="554"/>
      <c r="C11" s="557" t="s">
        <v>4</v>
      </c>
      <c r="D11" s="559" t="s">
        <v>59</v>
      </c>
      <c r="E11" s="560"/>
      <c r="F11" s="560"/>
      <c r="G11" s="560"/>
      <c r="H11" s="561"/>
      <c r="I11" s="562" t="s">
        <v>113</v>
      </c>
      <c r="J11" s="562" t="s">
        <v>49</v>
      </c>
    </row>
    <row r="12" spans="1:11" ht="52.5" customHeight="1">
      <c r="A12" s="555"/>
      <c r="B12" s="556"/>
      <c r="C12" s="558"/>
      <c r="D12" s="27" t="s">
        <v>111</v>
      </c>
      <c r="E12" s="27" t="s">
        <v>45</v>
      </c>
      <c r="F12" s="27" t="s">
        <v>47</v>
      </c>
      <c r="G12" s="27" t="s">
        <v>48</v>
      </c>
      <c r="H12" s="27" t="s">
        <v>188</v>
      </c>
      <c r="I12" s="563"/>
      <c r="J12" s="563"/>
    </row>
    <row r="13" spans="1:11" s="61" customFormat="1" ht="15" customHeight="1">
      <c r="A13" s="564" t="s">
        <v>65</v>
      </c>
      <c r="B13" s="564"/>
      <c r="C13" s="64" t="s">
        <v>9</v>
      </c>
      <c r="D13" s="110">
        <v>355364386</v>
      </c>
      <c r="E13" s="110">
        <v>0</v>
      </c>
      <c r="F13" s="110">
        <v>0</v>
      </c>
      <c r="G13" s="110">
        <v>54993097</v>
      </c>
      <c r="H13" s="110">
        <v>80553684</v>
      </c>
      <c r="I13" s="110">
        <v>2138284</v>
      </c>
      <c r="J13" s="110">
        <v>493049451</v>
      </c>
      <c r="K13" s="28"/>
    </row>
    <row r="14" spans="1:11" s="61" customFormat="1" ht="15" customHeight="1">
      <c r="A14" s="564" t="s">
        <v>190</v>
      </c>
      <c r="B14" s="564"/>
      <c r="C14" s="64" t="s">
        <v>10</v>
      </c>
      <c r="D14" s="66"/>
      <c r="E14" s="66"/>
      <c r="F14" s="66"/>
      <c r="G14" s="66"/>
      <c r="H14" s="111"/>
      <c r="I14" s="66"/>
      <c r="J14" s="111">
        <v>0</v>
      </c>
      <c r="K14" s="28"/>
    </row>
    <row r="15" spans="1:11" s="61" customFormat="1" ht="15" customHeight="1">
      <c r="A15" s="564" t="s">
        <v>192</v>
      </c>
      <c r="B15" s="564"/>
      <c r="C15" s="64" t="s">
        <v>166</v>
      </c>
      <c r="D15" s="66">
        <f t="shared" ref="D15:J15" si="0">D13+D14</f>
        <v>355364386</v>
      </c>
      <c r="E15" s="66">
        <f t="shared" si="0"/>
        <v>0</v>
      </c>
      <c r="F15" s="66">
        <f t="shared" si="0"/>
        <v>0</v>
      </c>
      <c r="G15" s="66">
        <f t="shared" si="0"/>
        <v>54993097</v>
      </c>
      <c r="H15" s="66">
        <f t="shared" si="0"/>
        <v>80553684</v>
      </c>
      <c r="I15" s="66">
        <f t="shared" si="0"/>
        <v>2138284</v>
      </c>
      <c r="J15" s="66">
        <f t="shared" si="0"/>
        <v>493049451</v>
      </c>
      <c r="K15" s="62"/>
    </row>
    <row r="16" spans="1:11" s="61" customFormat="1" ht="12.75">
      <c r="A16" s="565" t="s">
        <v>193</v>
      </c>
      <c r="B16" s="566"/>
      <c r="C16" s="64" t="s">
        <v>191</v>
      </c>
      <c r="D16" s="66">
        <v>0</v>
      </c>
      <c r="E16" s="66">
        <v>0</v>
      </c>
      <c r="F16" s="66">
        <v>0</v>
      </c>
      <c r="G16" s="66">
        <f>SUM(G17:G18)</f>
        <v>3106</v>
      </c>
      <c r="H16" s="66">
        <f>SUM(H17:H18)</f>
        <v>-77834968</v>
      </c>
      <c r="I16" s="66">
        <f>SUM(I17:I18)</f>
        <v>390067</v>
      </c>
      <c r="J16" s="111">
        <f>SUM(G16:I16)</f>
        <v>-77441795</v>
      </c>
      <c r="K16" s="62"/>
    </row>
    <row r="17" spans="1:11" s="61" customFormat="1" ht="15" customHeight="1">
      <c r="A17" s="565" t="s">
        <v>195</v>
      </c>
      <c r="B17" s="565"/>
      <c r="C17" s="64" t="s">
        <v>194</v>
      </c>
      <c r="D17" s="66"/>
      <c r="E17" s="66"/>
      <c r="F17" s="66"/>
      <c r="G17" s="111"/>
      <c r="H17" s="111">
        <v>-77834968</v>
      </c>
      <c r="I17" s="111">
        <v>390067</v>
      </c>
      <c r="J17" s="111">
        <f>SUM(H17:I17)</f>
        <v>-77444901</v>
      </c>
      <c r="K17" s="62"/>
    </row>
    <row r="18" spans="1:11" s="61" customFormat="1" ht="15" customHeight="1">
      <c r="A18" s="565" t="s">
        <v>197</v>
      </c>
      <c r="B18" s="566"/>
      <c r="C18" s="64" t="s">
        <v>196</v>
      </c>
      <c r="D18" s="66">
        <v>0</v>
      </c>
      <c r="E18" s="66">
        <v>0</v>
      </c>
      <c r="F18" s="66">
        <v>0</v>
      </c>
      <c r="G18" s="111">
        <f>SUM(G20:G28)</f>
        <v>3106</v>
      </c>
      <c r="H18" s="66">
        <v>0</v>
      </c>
      <c r="I18" s="66">
        <v>0</v>
      </c>
      <c r="J18" s="111">
        <f>SUM(G18:I18)</f>
        <v>3106</v>
      </c>
      <c r="K18" s="62"/>
    </row>
    <row r="19" spans="1:11" s="61" customFormat="1" ht="12.75">
      <c r="A19" s="565" t="s">
        <v>55</v>
      </c>
      <c r="B19" s="565"/>
      <c r="C19" s="64"/>
      <c r="D19" s="66"/>
      <c r="E19" s="66"/>
      <c r="F19" s="66"/>
      <c r="G19" s="66"/>
      <c r="H19" s="66"/>
      <c r="I19" s="66"/>
      <c r="J19" s="111">
        <v>0</v>
      </c>
      <c r="K19" s="62"/>
    </row>
    <row r="20" spans="1:11" s="61" customFormat="1" ht="26.25" customHeight="1">
      <c r="A20" s="565" t="s">
        <v>201</v>
      </c>
      <c r="B20" s="565"/>
      <c r="C20" s="64" t="s">
        <v>198</v>
      </c>
      <c r="D20" s="66"/>
      <c r="E20" s="66"/>
      <c r="F20" s="111"/>
      <c r="G20" s="66"/>
      <c r="H20" s="66"/>
      <c r="I20" s="66"/>
      <c r="J20" s="111">
        <v>0</v>
      </c>
      <c r="K20" s="62"/>
    </row>
    <row r="21" spans="1:11" s="61" customFormat="1" ht="26.25" customHeight="1">
      <c r="A21" s="565" t="s">
        <v>202</v>
      </c>
      <c r="B21" s="565"/>
      <c r="C21" s="64" t="s">
        <v>199</v>
      </c>
      <c r="D21" s="66"/>
      <c r="E21" s="66"/>
      <c r="F21" s="66"/>
      <c r="G21" s="66"/>
      <c r="H21" s="66"/>
      <c r="I21" s="66"/>
      <c r="J21" s="111">
        <v>0</v>
      </c>
      <c r="K21" s="28"/>
    </row>
    <row r="22" spans="1:11" s="61" customFormat="1" ht="28.5" customHeight="1">
      <c r="A22" s="564" t="s">
        <v>203</v>
      </c>
      <c r="B22" s="564"/>
      <c r="C22" s="64" t="s">
        <v>200</v>
      </c>
      <c r="D22" s="112"/>
      <c r="E22" s="111"/>
      <c r="F22" s="111"/>
      <c r="G22" s="111"/>
      <c r="H22" s="111"/>
      <c r="I22" s="113"/>
      <c r="J22" s="111">
        <v>0</v>
      </c>
      <c r="K22" s="28"/>
    </row>
    <row r="23" spans="1:11" s="61" customFormat="1" ht="43.5" customHeight="1">
      <c r="A23" s="564" t="s">
        <v>211</v>
      </c>
      <c r="B23" s="564"/>
      <c r="C23" s="64" t="s">
        <v>204</v>
      </c>
      <c r="D23" s="66"/>
      <c r="E23" s="66"/>
      <c r="F23" s="66"/>
      <c r="G23" s="66"/>
      <c r="H23" s="66"/>
      <c r="I23" s="66"/>
      <c r="J23" s="111">
        <v>0</v>
      </c>
    </row>
    <row r="24" spans="1:11" s="61" customFormat="1" ht="21" customHeight="1">
      <c r="A24" s="564" t="s">
        <v>212</v>
      </c>
      <c r="B24" s="564"/>
      <c r="C24" s="64" t="s">
        <v>205</v>
      </c>
      <c r="D24" s="66"/>
      <c r="E24" s="66"/>
      <c r="F24" s="66"/>
      <c r="G24" s="111">
        <v>3106</v>
      </c>
      <c r="H24" s="111"/>
      <c r="I24" s="66"/>
      <c r="J24" s="111">
        <f>SUM(G24:I24)</f>
        <v>3106</v>
      </c>
    </row>
    <row r="25" spans="1:11" s="61" customFormat="1" ht="30.75" customHeight="1">
      <c r="A25" s="564" t="s">
        <v>213</v>
      </c>
      <c r="B25" s="564"/>
      <c r="C25" s="64" t="s">
        <v>206</v>
      </c>
      <c r="D25" s="66"/>
      <c r="E25" s="66"/>
      <c r="F25" s="66"/>
      <c r="G25" s="66"/>
      <c r="H25" s="66"/>
      <c r="I25" s="66"/>
      <c r="J25" s="111">
        <v>0</v>
      </c>
    </row>
    <row r="26" spans="1:11" s="61" customFormat="1" ht="25.5" customHeight="1">
      <c r="A26" s="565" t="s">
        <v>214</v>
      </c>
      <c r="B26" s="566"/>
      <c r="C26" s="64" t="s">
        <v>207</v>
      </c>
      <c r="D26" s="66"/>
      <c r="E26" s="66"/>
      <c r="F26" s="66"/>
      <c r="G26" s="66"/>
      <c r="H26" s="66"/>
      <c r="I26" s="66"/>
      <c r="J26" s="111">
        <v>0</v>
      </c>
    </row>
    <row r="27" spans="1:11" s="61" customFormat="1" ht="17.25" customHeight="1">
      <c r="A27" s="565" t="s">
        <v>215</v>
      </c>
      <c r="B27" s="565"/>
      <c r="C27" s="64" t="s">
        <v>208</v>
      </c>
      <c r="D27" s="66"/>
      <c r="E27" s="66"/>
      <c r="F27" s="66"/>
      <c r="G27" s="66"/>
      <c r="H27" s="66"/>
      <c r="I27" s="66"/>
      <c r="J27" s="111">
        <v>0</v>
      </c>
    </row>
    <row r="28" spans="1:11" s="61" customFormat="1" ht="15" customHeight="1">
      <c r="A28" s="565" t="s">
        <v>216</v>
      </c>
      <c r="B28" s="566"/>
      <c r="C28" s="64" t="s">
        <v>209</v>
      </c>
      <c r="D28" s="66"/>
      <c r="E28" s="66"/>
      <c r="F28" s="66"/>
      <c r="G28" s="66"/>
      <c r="H28" s="66"/>
      <c r="I28" s="66"/>
      <c r="J28" s="111">
        <v>0</v>
      </c>
    </row>
    <row r="29" spans="1:11" s="61" customFormat="1" ht="18" customHeight="1">
      <c r="A29" s="568" t="s">
        <v>217</v>
      </c>
      <c r="B29" s="568"/>
      <c r="C29" s="64" t="s">
        <v>210</v>
      </c>
      <c r="D29" s="66">
        <f>SUM(D31:D43)</f>
        <v>286019</v>
      </c>
      <c r="E29" s="66">
        <f t="shared" ref="E29:I29" si="1">SUM(E31:E43)</f>
        <v>0</v>
      </c>
      <c r="F29" s="66">
        <f t="shared" si="1"/>
        <v>0</v>
      </c>
      <c r="G29" s="66">
        <f t="shared" si="1"/>
        <v>72581903</v>
      </c>
      <c r="H29" s="66">
        <f t="shared" si="1"/>
        <v>-5955141</v>
      </c>
      <c r="I29" s="66">
        <f t="shared" si="1"/>
        <v>0</v>
      </c>
      <c r="J29" s="66">
        <f>SUM(D29:I29)</f>
        <v>66912781</v>
      </c>
    </row>
    <row r="30" spans="1:11" s="61" customFormat="1" ht="15" customHeight="1">
      <c r="A30" s="565" t="s">
        <v>55</v>
      </c>
      <c r="B30" s="565"/>
      <c r="C30" s="64"/>
      <c r="D30" s="66"/>
      <c r="E30" s="66"/>
      <c r="F30" s="111"/>
      <c r="G30" s="66"/>
      <c r="H30" s="66"/>
      <c r="I30" s="66"/>
      <c r="J30" s="111">
        <v>0</v>
      </c>
    </row>
    <row r="31" spans="1:11" s="61" customFormat="1" ht="12.75" customHeight="1">
      <c r="A31" s="565" t="s">
        <v>219</v>
      </c>
      <c r="B31" s="565"/>
      <c r="C31" s="64" t="s">
        <v>218</v>
      </c>
      <c r="D31" s="66"/>
      <c r="E31" s="66"/>
      <c r="F31" s="66"/>
      <c r="G31" s="66"/>
      <c r="H31" s="66"/>
      <c r="I31" s="66"/>
      <c r="J31" s="111">
        <v>0</v>
      </c>
    </row>
    <row r="32" spans="1:11" s="63" customFormat="1" ht="12.75">
      <c r="A32" s="569" t="s">
        <v>55</v>
      </c>
      <c r="B32" s="569"/>
      <c r="C32" s="64"/>
      <c r="D32" s="66"/>
      <c r="E32" s="113"/>
      <c r="F32" s="113"/>
      <c r="G32" s="111"/>
      <c r="H32" s="113"/>
      <c r="I32" s="113"/>
      <c r="J32" s="111">
        <v>0</v>
      </c>
    </row>
    <row r="33" spans="1:12" s="63" customFormat="1" ht="15" customHeight="1">
      <c r="A33" s="570" t="s">
        <v>220</v>
      </c>
      <c r="B33" s="570"/>
      <c r="C33" s="64"/>
      <c r="D33" s="111"/>
      <c r="E33" s="111"/>
      <c r="F33" s="111"/>
      <c r="G33" s="111"/>
      <c r="H33" s="111"/>
      <c r="I33" s="111"/>
      <c r="J33" s="111">
        <v>0</v>
      </c>
    </row>
    <row r="34" spans="1:12" s="63" customFormat="1" ht="13.5" customHeight="1">
      <c r="A34" s="571" t="s">
        <v>221</v>
      </c>
      <c r="B34" s="572"/>
      <c r="C34" s="64"/>
      <c r="D34" s="114"/>
      <c r="E34" s="65"/>
      <c r="F34" s="111"/>
      <c r="G34" s="66"/>
      <c r="H34" s="111"/>
      <c r="I34" s="111"/>
      <c r="J34" s="111">
        <v>0</v>
      </c>
    </row>
    <row r="35" spans="1:12" s="63" customFormat="1" ht="29.25" customHeight="1">
      <c r="A35" s="572" t="s">
        <v>222</v>
      </c>
      <c r="B35" s="572"/>
      <c r="C35" s="64"/>
      <c r="D35" s="65"/>
      <c r="E35" s="111"/>
      <c r="F35" s="115"/>
      <c r="G35" s="116"/>
      <c r="H35" s="111"/>
      <c r="I35" s="111"/>
      <c r="J35" s="111">
        <v>0</v>
      </c>
    </row>
    <row r="36" spans="1:12" s="63" customFormat="1" ht="12.75">
      <c r="A36" s="567" t="s">
        <v>230</v>
      </c>
      <c r="B36" s="567"/>
      <c r="C36" s="64" t="s">
        <v>223</v>
      </c>
      <c r="D36" s="111">
        <v>286019</v>
      </c>
      <c r="E36" s="111"/>
      <c r="F36" s="111"/>
      <c r="G36" s="111"/>
      <c r="H36" s="111"/>
      <c r="I36" s="111"/>
      <c r="J36" s="111">
        <f t="shared" ref="J36:J44" si="2">SUM(D36:I36)</f>
        <v>286019</v>
      </c>
    </row>
    <row r="37" spans="1:12" s="63" customFormat="1" ht="12.75">
      <c r="A37" s="573" t="s">
        <v>231</v>
      </c>
      <c r="B37" s="573"/>
      <c r="C37" s="64" t="s">
        <v>224</v>
      </c>
      <c r="D37" s="111"/>
      <c r="E37" s="111"/>
      <c r="F37" s="111"/>
      <c r="G37" s="111"/>
      <c r="H37" s="111"/>
      <c r="I37" s="111"/>
      <c r="J37" s="111">
        <f t="shared" si="2"/>
        <v>0</v>
      </c>
    </row>
    <row r="38" spans="1:12" s="63" customFormat="1" ht="30" customHeight="1">
      <c r="A38" s="571" t="s">
        <v>232</v>
      </c>
      <c r="B38" s="571"/>
      <c r="C38" s="64" t="s">
        <v>225</v>
      </c>
      <c r="D38" s="111"/>
      <c r="E38" s="111"/>
      <c r="F38" s="111"/>
      <c r="G38" s="111"/>
      <c r="H38" s="111"/>
      <c r="I38" s="111"/>
      <c r="J38" s="111">
        <f t="shared" si="2"/>
        <v>0</v>
      </c>
    </row>
    <row r="39" spans="1:12" s="63" customFormat="1" ht="27.75" customHeight="1">
      <c r="A39" s="571" t="s">
        <v>233</v>
      </c>
      <c r="B39" s="571"/>
      <c r="C39" s="64" t="s">
        <v>226</v>
      </c>
      <c r="D39" s="111"/>
      <c r="E39" s="111"/>
      <c r="F39" s="111"/>
      <c r="G39" s="111"/>
      <c r="H39" s="111"/>
      <c r="I39" s="111"/>
      <c r="J39" s="111">
        <f t="shared" si="2"/>
        <v>0</v>
      </c>
    </row>
    <row r="40" spans="1:12" s="63" customFormat="1" ht="12.75">
      <c r="A40" s="571" t="s">
        <v>234</v>
      </c>
      <c r="B40" s="571"/>
      <c r="C40" s="64" t="s">
        <v>227</v>
      </c>
      <c r="D40" s="111"/>
      <c r="E40" s="111"/>
      <c r="F40" s="111"/>
      <c r="G40" s="111"/>
      <c r="H40" s="111">
        <v>-4781073</v>
      </c>
      <c r="I40" s="111"/>
      <c r="J40" s="111">
        <f t="shared" si="2"/>
        <v>-4781073</v>
      </c>
    </row>
    <row r="41" spans="1:12" s="63" customFormat="1" ht="16.5" customHeight="1">
      <c r="A41" s="571" t="s">
        <v>236</v>
      </c>
      <c r="B41" s="571"/>
      <c r="C41" s="64" t="s">
        <v>228</v>
      </c>
      <c r="D41" s="111"/>
      <c r="E41" s="111"/>
      <c r="F41" s="111"/>
      <c r="G41" s="111"/>
      <c r="H41" s="111"/>
      <c r="I41" s="111"/>
      <c r="J41" s="111">
        <f t="shared" si="2"/>
        <v>0</v>
      </c>
    </row>
    <row r="42" spans="1:12" s="63" customFormat="1" ht="12.75">
      <c r="A42" s="571" t="s">
        <v>237</v>
      </c>
      <c r="B42" s="571"/>
      <c r="C42" s="64" t="s">
        <v>229</v>
      </c>
      <c r="D42" s="111"/>
      <c r="E42" s="111"/>
      <c r="F42" s="111"/>
      <c r="G42" s="111">
        <v>72581903</v>
      </c>
      <c r="H42" s="111">
        <v>-1174068</v>
      </c>
      <c r="I42" s="111">
        <v>0</v>
      </c>
      <c r="J42" s="111">
        <f t="shared" si="2"/>
        <v>71407835</v>
      </c>
    </row>
    <row r="43" spans="1:12" s="63" customFormat="1" ht="30.75" customHeight="1">
      <c r="A43" s="571" t="s">
        <v>238</v>
      </c>
      <c r="B43" s="571"/>
      <c r="C43" s="64" t="s">
        <v>235</v>
      </c>
      <c r="D43" s="111"/>
      <c r="E43" s="111"/>
      <c r="F43" s="111"/>
      <c r="G43" s="111"/>
      <c r="H43" s="111"/>
      <c r="I43" s="111"/>
      <c r="J43" s="111">
        <f t="shared" si="2"/>
        <v>0</v>
      </c>
    </row>
    <row r="44" spans="1:12" s="63" customFormat="1" ht="25.5" customHeight="1">
      <c r="A44" s="571" t="s">
        <v>241</v>
      </c>
      <c r="B44" s="571"/>
      <c r="C44" s="64" t="s">
        <v>239</v>
      </c>
      <c r="D44" s="110">
        <f t="shared" ref="D44:I44" si="3">D15+D16+D29</f>
        <v>355650405</v>
      </c>
      <c r="E44" s="110">
        <f t="shared" si="3"/>
        <v>0</v>
      </c>
      <c r="F44" s="110">
        <f t="shared" si="3"/>
        <v>0</v>
      </c>
      <c r="G44" s="110">
        <f t="shared" si="3"/>
        <v>127578106</v>
      </c>
      <c r="H44" s="110">
        <f t="shared" si="3"/>
        <v>-3236425</v>
      </c>
      <c r="I44" s="110">
        <f t="shared" si="3"/>
        <v>2528351</v>
      </c>
      <c r="J44" s="110">
        <f t="shared" si="2"/>
        <v>482520437</v>
      </c>
      <c r="K44" s="172"/>
    </row>
    <row r="45" spans="1:12" s="63" customFormat="1" ht="12.75">
      <c r="A45" s="570" t="s">
        <v>242</v>
      </c>
      <c r="B45" s="570"/>
      <c r="C45" s="64" t="s">
        <v>240</v>
      </c>
      <c r="D45" s="60"/>
      <c r="E45" s="60"/>
      <c r="F45" s="60"/>
      <c r="G45" s="60"/>
      <c r="H45" s="60"/>
      <c r="I45" s="60"/>
      <c r="J45" s="60">
        <v>0</v>
      </c>
    </row>
    <row r="46" spans="1:12" s="63" customFormat="1" ht="12.75">
      <c r="A46" s="570" t="s">
        <v>244</v>
      </c>
      <c r="B46" s="570"/>
      <c r="C46" s="64" t="s">
        <v>243</v>
      </c>
      <c r="D46" s="110">
        <f t="shared" ref="D46:J46" si="4">D44+D45</f>
        <v>355650405</v>
      </c>
      <c r="E46" s="110">
        <f t="shared" si="4"/>
        <v>0</v>
      </c>
      <c r="F46" s="110">
        <f t="shared" si="4"/>
        <v>0</v>
      </c>
      <c r="G46" s="110">
        <f t="shared" si="4"/>
        <v>127578106</v>
      </c>
      <c r="H46" s="110">
        <f t="shared" si="4"/>
        <v>-3236425</v>
      </c>
      <c r="I46" s="110">
        <f t="shared" si="4"/>
        <v>2528351</v>
      </c>
      <c r="J46" s="110">
        <f t="shared" si="4"/>
        <v>482520437</v>
      </c>
      <c r="K46" s="296"/>
      <c r="L46" s="172"/>
    </row>
    <row r="47" spans="1:12" s="63" customFormat="1" ht="13.5" customHeight="1">
      <c r="A47" s="571" t="s">
        <v>257</v>
      </c>
      <c r="B47" s="571"/>
      <c r="C47" s="64" t="s">
        <v>245</v>
      </c>
      <c r="D47" s="111">
        <v>0</v>
      </c>
      <c r="E47" s="111">
        <v>0</v>
      </c>
      <c r="F47" s="111">
        <v>0</v>
      </c>
      <c r="G47" s="111">
        <f>SUM(G48:G49)</f>
        <v>61271</v>
      </c>
      <c r="H47" s="111">
        <f>SUM(H48:H49)</f>
        <v>17759303</v>
      </c>
      <c r="I47" s="111">
        <f>SUM(I48:I49)</f>
        <v>632004</v>
      </c>
      <c r="J47" s="111">
        <f>SUM(D47:I47)</f>
        <v>18452578</v>
      </c>
    </row>
    <row r="48" spans="1:12" s="63" customFormat="1" ht="12.75">
      <c r="A48" s="571" t="s">
        <v>195</v>
      </c>
      <c r="B48" s="571"/>
      <c r="C48" s="64" t="s">
        <v>246</v>
      </c>
      <c r="D48" s="117"/>
      <c r="E48" s="111"/>
      <c r="F48" s="111"/>
      <c r="G48" s="111"/>
      <c r="H48" s="111">
        <v>17759303</v>
      </c>
      <c r="I48" s="111">
        <v>632004</v>
      </c>
      <c r="J48" s="111">
        <f>SUM(D48:I48)</f>
        <v>18391307</v>
      </c>
    </row>
    <row r="49" spans="1:10" s="63" customFormat="1" ht="15" customHeight="1">
      <c r="A49" s="571" t="s">
        <v>258</v>
      </c>
      <c r="B49" s="571"/>
      <c r="C49" s="64" t="s">
        <v>247</v>
      </c>
      <c r="D49" s="111">
        <v>0</v>
      </c>
      <c r="E49" s="111">
        <v>0</v>
      </c>
      <c r="F49" s="111">
        <v>0</v>
      </c>
      <c r="G49" s="111">
        <f>SUM(G51:G59)</f>
        <v>61271</v>
      </c>
      <c r="H49" s="111">
        <v>0</v>
      </c>
      <c r="I49" s="111">
        <v>0</v>
      </c>
      <c r="J49" s="111">
        <f>SUM(D49:I49)</f>
        <v>61271</v>
      </c>
    </row>
    <row r="50" spans="1:10" s="63" customFormat="1" ht="12.75">
      <c r="A50" s="571" t="s">
        <v>55</v>
      </c>
      <c r="B50" s="571"/>
      <c r="C50" s="64"/>
      <c r="D50" s="111"/>
      <c r="E50" s="111"/>
      <c r="F50" s="111"/>
      <c r="G50" s="111"/>
      <c r="H50" s="111"/>
      <c r="I50" s="111"/>
      <c r="J50" s="111">
        <v>0</v>
      </c>
    </row>
    <row r="51" spans="1:10" s="63" customFormat="1" ht="29.25" customHeight="1">
      <c r="A51" s="571" t="s">
        <v>201</v>
      </c>
      <c r="B51" s="571"/>
      <c r="C51" s="64" t="s">
        <v>248</v>
      </c>
      <c r="D51" s="111"/>
      <c r="E51" s="111"/>
      <c r="F51" s="111"/>
      <c r="G51" s="111"/>
      <c r="H51" s="111"/>
      <c r="I51" s="111"/>
      <c r="J51" s="111">
        <v>0</v>
      </c>
    </row>
    <row r="52" spans="1:10" s="63" customFormat="1" ht="30.75" customHeight="1">
      <c r="A52" s="571" t="s">
        <v>202</v>
      </c>
      <c r="B52" s="571"/>
      <c r="C52" s="64" t="s">
        <v>249</v>
      </c>
      <c r="D52" s="111"/>
      <c r="E52" s="111"/>
      <c r="F52" s="111"/>
      <c r="G52" s="111"/>
      <c r="H52" s="111"/>
      <c r="I52" s="111"/>
      <c r="J52" s="111">
        <v>0</v>
      </c>
    </row>
    <row r="53" spans="1:10" s="63" customFormat="1" ht="27" customHeight="1">
      <c r="A53" s="571" t="s">
        <v>203</v>
      </c>
      <c r="B53" s="571"/>
      <c r="C53" s="64" t="s">
        <v>250</v>
      </c>
      <c r="D53" s="111"/>
      <c r="E53" s="111"/>
      <c r="F53" s="111"/>
      <c r="G53" s="111"/>
      <c r="H53" s="111"/>
      <c r="I53" s="111"/>
      <c r="J53" s="111">
        <v>0</v>
      </c>
    </row>
    <row r="54" spans="1:10" s="63" customFormat="1" ht="38.25" customHeight="1">
      <c r="A54" s="571" t="s">
        <v>211</v>
      </c>
      <c r="B54" s="571"/>
      <c r="C54" s="64" t="s">
        <v>251</v>
      </c>
      <c r="D54" s="111"/>
      <c r="E54" s="111"/>
      <c r="F54" s="111"/>
      <c r="G54" s="111"/>
      <c r="H54" s="111"/>
      <c r="I54" s="111"/>
      <c r="J54" s="111">
        <v>0</v>
      </c>
    </row>
    <row r="55" spans="1:10" s="63" customFormat="1" ht="14.25" customHeight="1">
      <c r="A55" s="571" t="s">
        <v>212</v>
      </c>
      <c r="B55" s="571"/>
      <c r="C55" s="64" t="s">
        <v>252</v>
      </c>
      <c r="D55" s="111"/>
      <c r="E55" s="111"/>
      <c r="F55" s="111"/>
      <c r="G55" s="111">
        <v>61271</v>
      </c>
      <c r="H55" s="111"/>
      <c r="I55" s="111"/>
      <c r="J55" s="111">
        <f>SUM(D55:I55)</f>
        <v>61271</v>
      </c>
    </row>
    <row r="56" spans="1:10" s="63" customFormat="1" ht="25.5" customHeight="1">
      <c r="A56" s="571" t="s">
        <v>259</v>
      </c>
      <c r="B56" s="571"/>
      <c r="C56" s="64" t="s">
        <v>253</v>
      </c>
      <c r="D56" s="111"/>
      <c r="E56" s="111"/>
      <c r="F56" s="111"/>
      <c r="G56" s="111"/>
      <c r="H56" s="111"/>
      <c r="I56" s="111"/>
      <c r="J56" s="111">
        <v>0</v>
      </c>
    </row>
    <row r="57" spans="1:10" s="63" customFormat="1" ht="30.75" customHeight="1">
      <c r="A57" s="571" t="s">
        <v>214</v>
      </c>
      <c r="B57" s="571"/>
      <c r="C57" s="64" t="s">
        <v>254</v>
      </c>
      <c r="D57" s="111"/>
      <c r="E57" s="111"/>
      <c r="F57" s="111"/>
      <c r="G57" s="111"/>
      <c r="H57" s="111"/>
      <c r="I57" s="111"/>
      <c r="J57" s="111">
        <v>0</v>
      </c>
    </row>
    <row r="58" spans="1:10" s="63" customFormat="1" ht="15" customHeight="1">
      <c r="A58" s="571" t="s">
        <v>215</v>
      </c>
      <c r="B58" s="571"/>
      <c r="C58" s="64" t="s">
        <v>255</v>
      </c>
      <c r="D58" s="111"/>
      <c r="E58" s="111"/>
      <c r="F58" s="111"/>
      <c r="G58" s="111"/>
      <c r="H58" s="111"/>
      <c r="I58" s="111"/>
      <c r="J58" s="111">
        <v>0</v>
      </c>
    </row>
    <row r="59" spans="1:10" s="63" customFormat="1" ht="12.75">
      <c r="A59" s="571" t="s">
        <v>216</v>
      </c>
      <c r="B59" s="571"/>
      <c r="C59" s="64" t="s">
        <v>256</v>
      </c>
      <c r="D59" s="111"/>
      <c r="E59" s="111"/>
      <c r="F59" s="111"/>
      <c r="G59" s="111"/>
      <c r="H59" s="111"/>
      <c r="I59" s="111"/>
      <c r="J59" s="111">
        <v>0</v>
      </c>
    </row>
    <row r="60" spans="1:10" s="63" customFormat="1" ht="12.75">
      <c r="A60" s="571" t="s">
        <v>261</v>
      </c>
      <c r="B60" s="571"/>
      <c r="C60" s="64" t="s">
        <v>260</v>
      </c>
      <c r="D60" s="111">
        <f t="shared" ref="D60:I60" si="5">SUM(D61:D74)</f>
        <v>17664483</v>
      </c>
      <c r="E60" s="111">
        <f t="shared" si="5"/>
        <v>0</v>
      </c>
      <c r="F60" s="111">
        <f t="shared" si="5"/>
        <v>0</v>
      </c>
      <c r="G60" s="111">
        <f t="shared" si="5"/>
        <v>0</v>
      </c>
      <c r="H60" s="111">
        <f t="shared" si="5"/>
        <v>-2041000</v>
      </c>
      <c r="I60" s="111">
        <f t="shared" si="5"/>
        <v>-363</v>
      </c>
      <c r="J60" s="111">
        <f t="shared" ref="J60:J73" si="6">SUM(D60:I60)</f>
        <v>15623120</v>
      </c>
    </row>
    <row r="61" spans="1:10" s="63" customFormat="1" ht="12.75">
      <c r="A61" s="571" t="s">
        <v>55</v>
      </c>
      <c r="B61" s="571"/>
      <c r="C61" s="64"/>
      <c r="D61" s="111"/>
      <c r="E61" s="111"/>
      <c r="F61" s="111"/>
      <c r="G61" s="111"/>
      <c r="H61" s="111"/>
      <c r="I61" s="111"/>
      <c r="J61" s="111">
        <f t="shared" si="6"/>
        <v>0</v>
      </c>
    </row>
    <row r="62" spans="1:10" s="63" customFormat="1" ht="12.75">
      <c r="A62" s="570" t="s">
        <v>263</v>
      </c>
      <c r="B62" s="570"/>
      <c r="C62" s="64" t="s">
        <v>262</v>
      </c>
      <c r="D62" s="111"/>
      <c r="E62" s="111"/>
      <c r="F62" s="111"/>
      <c r="G62" s="111"/>
      <c r="H62" s="111"/>
      <c r="I62" s="111"/>
      <c r="J62" s="111">
        <f t="shared" si="6"/>
        <v>0</v>
      </c>
    </row>
    <row r="63" spans="1:10" s="63" customFormat="1" ht="12.75">
      <c r="A63" s="570" t="s">
        <v>55</v>
      </c>
      <c r="B63" s="570"/>
      <c r="C63" s="64"/>
      <c r="D63" s="111"/>
      <c r="E63" s="111"/>
      <c r="F63" s="111"/>
      <c r="G63" s="111"/>
      <c r="H63" s="111"/>
      <c r="I63" s="111"/>
      <c r="J63" s="111">
        <f t="shared" si="6"/>
        <v>0</v>
      </c>
    </row>
    <row r="64" spans="1:10" s="63" customFormat="1" ht="12.75">
      <c r="A64" s="570" t="s">
        <v>220</v>
      </c>
      <c r="B64" s="570"/>
      <c r="C64" s="64"/>
      <c r="D64" s="111"/>
      <c r="E64" s="111"/>
      <c r="F64" s="111"/>
      <c r="G64" s="111"/>
      <c r="H64" s="111"/>
      <c r="I64" s="111"/>
      <c r="J64" s="111">
        <f t="shared" si="6"/>
        <v>0</v>
      </c>
    </row>
    <row r="65" spans="1:12" s="63" customFormat="1" ht="12.75">
      <c r="A65" s="571" t="s">
        <v>221</v>
      </c>
      <c r="B65" s="571"/>
      <c r="C65" s="64"/>
      <c r="D65" s="111"/>
      <c r="E65" s="111"/>
      <c r="F65" s="111"/>
      <c r="G65" s="111"/>
      <c r="H65" s="111"/>
      <c r="I65" s="111"/>
      <c r="J65" s="111">
        <f t="shared" si="6"/>
        <v>0</v>
      </c>
    </row>
    <row r="66" spans="1:12" s="63" customFormat="1" ht="27.75" customHeight="1">
      <c r="A66" s="571" t="s">
        <v>222</v>
      </c>
      <c r="B66" s="571"/>
      <c r="C66" s="64"/>
      <c r="D66" s="111"/>
      <c r="E66" s="111"/>
      <c r="F66" s="111"/>
      <c r="G66" s="111"/>
      <c r="H66" s="111"/>
      <c r="I66" s="111"/>
      <c r="J66" s="111">
        <f t="shared" si="6"/>
        <v>0</v>
      </c>
    </row>
    <row r="67" spans="1:12" s="63" customFormat="1" ht="12.75">
      <c r="A67" s="570" t="s">
        <v>230</v>
      </c>
      <c r="B67" s="570"/>
      <c r="C67" s="64" t="s">
        <v>264</v>
      </c>
      <c r="D67" s="273">
        <v>17664483</v>
      </c>
      <c r="E67" s="111"/>
      <c r="F67" s="111"/>
      <c r="G67" s="111"/>
      <c r="H67" s="111"/>
      <c r="I67" s="111"/>
      <c r="J67" s="111">
        <f t="shared" si="6"/>
        <v>17664483</v>
      </c>
    </row>
    <row r="68" spans="1:12" s="63" customFormat="1" ht="12.75">
      <c r="A68" s="571" t="s">
        <v>231</v>
      </c>
      <c r="B68" s="571"/>
      <c r="C68" s="64" t="s">
        <v>265</v>
      </c>
      <c r="D68" s="111"/>
      <c r="E68" s="111"/>
      <c r="F68" s="111"/>
      <c r="G68" s="111"/>
      <c r="H68" s="111"/>
      <c r="I68" s="111"/>
      <c r="J68" s="111">
        <f t="shared" si="6"/>
        <v>0</v>
      </c>
    </row>
    <row r="69" spans="1:12" s="63" customFormat="1" ht="29.25" customHeight="1">
      <c r="A69" s="571" t="s">
        <v>272</v>
      </c>
      <c r="B69" s="571"/>
      <c r="C69" s="64" t="s">
        <v>266</v>
      </c>
      <c r="D69" s="111"/>
      <c r="E69" s="111"/>
      <c r="F69" s="111"/>
      <c r="G69" s="111"/>
      <c r="H69" s="111"/>
      <c r="I69" s="111"/>
      <c r="J69" s="111">
        <f t="shared" si="6"/>
        <v>0</v>
      </c>
    </row>
    <row r="70" spans="1:12" s="63" customFormat="1" ht="26.25" customHeight="1">
      <c r="A70" s="571" t="s">
        <v>233</v>
      </c>
      <c r="B70" s="571"/>
      <c r="C70" s="64" t="s">
        <v>267</v>
      </c>
      <c r="D70" s="111"/>
      <c r="E70" s="111"/>
      <c r="F70" s="111"/>
      <c r="G70" s="111"/>
      <c r="H70" s="111"/>
      <c r="I70" s="111"/>
      <c r="J70" s="111">
        <f t="shared" si="6"/>
        <v>0</v>
      </c>
    </row>
    <row r="71" spans="1:12" s="63" customFormat="1" ht="12.75">
      <c r="A71" s="571" t="s">
        <v>234</v>
      </c>
      <c r="B71" s="571"/>
      <c r="C71" s="64" t="s">
        <v>268</v>
      </c>
      <c r="D71" s="111"/>
      <c r="E71" s="111"/>
      <c r="F71" s="111"/>
      <c r="G71" s="111"/>
      <c r="H71" s="111">
        <v>-2041000</v>
      </c>
      <c r="I71" s="111"/>
      <c r="J71" s="111">
        <f t="shared" si="6"/>
        <v>-2041000</v>
      </c>
    </row>
    <row r="72" spans="1:12" s="63" customFormat="1" ht="12.75">
      <c r="A72" s="571" t="s">
        <v>236</v>
      </c>
      <c r="B72" s="571"/>
      <c r="C72" s="64" t="s">
        <v>269</v>
      </c>
      <c r="D72" s="111"/>
      <c r="E72" s="111"/>
      <c r="F72" s="111"/>
      <c r="G72" s="111"/>
      <c r="H72" s="111"/>
      <c r="I72" s="111"/>
      <c r="J72" s="111">
        <f t="shared" si="6"/>
        <v>0</v>
      </c>
    </row>
    <row r="73" spans="1:12" s="63" customFormat="1" ht="12.75">
      <c r="A73" s="571" t="s">
        <v>237</v>
      </c>
      <c r="B73" s="571"/>
      <c r="C73" s="64" t="s">
        <v>270</v>
      </c>
      <c r="D73" s="111">
        <v>0</v>
      </c>
      <c r="E73" s="111"/>
      <c r="F73" s="111"/>
      <c r="G73" s="111"/>
      <c r="H73" s="111"/>
      <c r="I73" s="111">
        <v>-363</v>
      </c>
      <c r="J73" s="111">
        <f t="shared" si="6"/>
        <v>-363</v>
      </c>
    </row>
    <row r="74" spans="1:12" s="63" customFormat="1" ht="29.25" customHeight="1">
      <c r="A74" s="571" t="s">
        <v>238</v>
      </c>
      <c r="B74" s="571"/>
      <c r="C74" s="64" t="s">
        <v>271</v>
      </c>
      <c r="D74" s="111"/>
      <c r="E74" s="111"/>
      <c r="F74" s="111"/>
      <c r="G74" s="111"/>
      <c r="H74" s="111"/>
      <c r="I74" s="111"/>
      <c r="J74" s="111">
        <v>0</v>
      </c>
    </row>
    <row r="75" spans="1:12" s="63" customFormat="1" ht="30" customHeight="1">
      <c r="A75" s="571" t="s">
        <v>274</v>
      </c>
      <c r="B75" s="571"/>
      <c r="C75" s="64" t="s">
        <v>273</v>
      </c>
      <c r="D75" s="110">
        <f t="shared" ref="D75:I75" si="7">D46+D47+D60</f>
        <v>373314888</v>
      </c>
      <c r="E75" s="110">
        <f t="shared" si="7"/>
        <v>0</v>
      </c>
      <c r="F75" s="110">
        <f t="shared" si="7"/>
        <v>0</v>
      </c>
      <c r="G75" s="110">
        <f t="shared" si="7"/>
        <v>127639377</v>
      </c>
      <c r="H75" s="110">
        <f t="shared" si="7"/>
        <v>12481878</v>
      </c>
      <c r="I75" s="110">
        <f t="shared" si="7"/>
        <v>3159992</v>
      </c>
      <c r="J75" s="110">
        <f>SUM(D75:I75)</f>
        <v>516596135</v>
      </c>
      <c r="K75" s="172"/>
      <c r="L75" s="172"/>
    </row>
    <row r="77" spans="1:12" ht="30" customHeight="1">
      <c r="A77" s="574" t="str">
        <f>ОПиУ!A58</f>
        <v>И.О. Управляющего директора по экономике и финансам</v>
      </c>
      <c r="B77" s="574"/>
      <c r="C77" s="575" t="str">
        <f>[11]ОПиУ!C58</f>
        <v>Максутов К.Б.</v>
      </c>
      <c r="D77" s="575"/>
      <c r="G77" s="93"/>
      <c r="H77" s="93"/>
    </row>
    <row r="78" spans="1:12">
      <c r="A78" s="1"/>
      <c r="B78" s="1"/>
      <c r="C78" s="578" t="s">
        <v>371</v>
      </c>
      <c r="D78" s="578"/>
      <c r="G78" s="576" t="s">
        <v>311</v>
      </c>
      <c r="H78" s="576"/>
    </row>
    <row r="79" spans="1:12">
      <c r="A79" s="42"/>
      <c r="B79" s="1"/>
      <c r="C79" s="1"/>
      <c r="D79" s="53"/>
      <c r="E79" s="53"/>
      <c r="F79" s="97"/>
      <c r="G79" s="24"/>
    </row>
    <row r="80" spans="1:12" ht="24" customHeight="1">
      <c r="A80" s="577" t="str">
        <f>ОПиУ!A60</f>
        <v xml:space="preserve">Директор Департамента "Бухгалтерский и налоговый учет" - главный бухгалтер </v>
      </c>
      <c r="B80" s="577"/>
      <c r="C80" s="575" t="s">
        <v>372</v>
      </c>
      <c r="D80" s="575"/>
      <c r="G80" s="93"/>
      <c r="H80" s="93"/>
    </row>
    <row r="81" spans="1:8">
      <c r="A81" s="42"/>
      <c r="B81" s="1"/>
      <c r="C81" s="578" t="s">
        <v>371</v>
      </c>
      <c r="D81" s="578"/>
      <c r="G81" s="576" t="s">
        <v>311</v>
      </c>
      <c r="H81" s="576"/>
    </row>
    <row r="82" spans="1:8">
      <c r="A82" s="42"/>
      <c r="B82" s="1"/>
      <c r="C82" s="1"/>
      <c r="D82" s="100"/>
      <c r="E82" s="98"/>
      <c r="F82" s="98"/>
      <c r="G82" s="24"/>
    </row>
  </sheetData>
  <mergeCells count="78">
    <mergeCell ref="G78:H78"/>
    <mergeCell ref="A80:B80"/>
    <mergeCell ref="C80:D80"/>
    <mergeCell ref="C81:D81"/>
    <mergeCell ref="G81:H81"/>
    <mergeCell ref="C78:D78"/>
    <mergeCell ref="A73:B73"/>
    <mergeCell ref="A74:B74"/>
    <mergeCell ref="A75:B75"/>
    <mergeCell ref="A77:B77"/>
    <mergeCell ref="C77:D77"/>
    <mergeCell ref="A72:B72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8:J8"/>
    <mergeCell ref="A9:J9"/>
    <mergeCell ref="A11:B12"/>
    <mergeCell ref="C11:C12"/>
    <mergeCell ref="D11:H11"/>
    <mergeCell ref="I11:I12"/>
    <mergeCell ref="J11:J12"/>
  </mergeCells>
  <conditionalFormatting sqref="F22 D22 E32:F32">
    <cfRule type="cellIs" dxfId="67" priority="2" stopIfTrue="1" operator="notEqual">
      <formula>0</formula>
    </cfRule>
  </conditionalFormatting>
  <conditionalFormatting sqref="D22 I22 E32:F32 H32:I32">
    <cfRule type="cellIs" dxfId="66" priority="1" stopIfTrue="1" operator="notEqual">
      <formula>0</formula>
    </cfRule>
  </conditionalFormatting>
  <hyperlinks>
    <hyperlink ref="J2" r:id="rId1" display="jl:30820085.0 "/>
  </hyperlinks>
  <pageMargins left="0.47244094488188981" right="0.15748031496062992" top="0.27559055118110237" bottom="0.55118110236220474" header="0.15748031496062992" footer="0.31496062992125984"/>
  <pageSetup paperSize="9" scale="95" fitToHeight="0" orientation="landscape" r:id="rId2"/>
  <headerFooter alignWithMargins="0"/>
  <customProperties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2"/>
  <sheetViews>
    <sheetView zoomScaleNormal="100" workbookViewId="0">
      <pane xSplit="2" ySplit="12" topLeftCell="C13" activePane="bottomRight" state="frozen"/>
      <selection activeCell="A9" sqref="A9"/>
      <selection pane="topRight" activeCell="A9" sqref="A9"/>
      <selection pane="bottomLeft" activeCell="A9" sqref="A9"/>
      <selection pane="bottomRight" activeCell="D26" sqref="D26"/>
    </sheetView>
  </sheetViews>
  <sheetFormatPr defaultRowHeight="15"/>
  <cols>
    <col min="1" max="1" width="21.85546875" style="11" customWidth="1"/>
    <col min="2" max="2" width="31" style="11" customWidth="1"/>
    <col min="3" max="3" width="9.140625" style="11" customWidth="1"/>
    <col min="4" max="4" width="12.85546875" style="11" customWidth="1"/>
    <col min="5" max="5" width="10.85546875" style="11" customWidth="1"/>
    <col min="6" max="6" width="12.140625" style="11" customWidth="1"/>
    <col min="7" max="7" width="13.7109375" style="11" customWidth="1"/>
    <col min="8" max="9" width="13.28515625" style="11" customWidth="1"/>
    <col min="10" max="10" width="12.85546875" style="11" customWidth="1"/>
    <col min="11" max="11" width="16" style="11" customWidth="1"/>
    <col min="12" max="12" width="10.7109375" style="11" bestFit="1" customWidth="1"/>
    <col min="13" max="256" width="9.140625" style="11"/>
    <col min="257" max="257" width="21.85546875" style="11" customWidth="1"/>
    <col min="258" max="258" width="31" style="11" customWidth="1"/>
    <col min="259" max="259" width="9.140625" style="11" customWidth="1"/>
    <col min="260" max="260" width="12.85546875" style="11" customWidth="1"/>
    <col min="261" max="261" width="10.85546875" style="11" customWidth="1"/>
    <col min="262" max="262" width="12.140625" style="11" customWidth="1"/>
    <col min="263" max="263" width="13.7109375" style="11" customWidth="1"/>
    <col min="264" max="265" width="13.28515625" style="11" customWidth="1"/>
    <col min="266" max="266" width="12.85546875" style="11" customWidth="1"/>
    <col min="267" max="267" width="16" style="11" customWidth="1"/>
    <col min="268" max="512" width="9.140625" style="11"/>
    <col min="513" max="513" width="21.85546875" style="11" customWidth="1"/>
    <col min="514" max="514" width="31" style="11" customWidth="1"/>
    <col min="515" max="515" width="9.140625" style="11" customWidth="1"/>
    <col min="516" max="516" width="12.85546875" style="11" customWidth="1"/>
    <col min="517" max="517" width="10.85546875" style="11" customWidth="1"/>
    <col min="518" max="518" width="12.140625" style="11" customWidth="1"/>
    <col min="519" max="519" width="13.7109375" style="11" customWidth="1"/>
    <col min="520" max="521" width="13.28515625" style="11" customWidth="1"/>
    <col min="522" max="522" width="12.85546875" style="11" customWidth="1"/>
    <col min="523" max="523" width="16" style="11" customWidth="1"/>
    <col min="524" max="768" width="9.140625" style="11"/>
    <col min="769" max="769" width="21.85546875" style="11" customWidth="1"/>
    <col min="770" max="770" width="31" style="11" customWidth="1"/>
    <col min="771" max="771" width="9.140625" style="11" customWidth="1"/>
    <col min="772" max="772" width="12.85546875" style="11" customWidth="1"/>
    <col min="773" max="773" width="10.85546875" style="11" customWidth="1"/>
    <col min="774" max="774" width="12.140625" style="11" customWidth="1"/>
    <col min="775" max="775" width="13.7109375" style="11" customWidth="1"/>
    <col min="776" max="777" width="13.28515625" style="11" customWidth="1"/>
    <col min="778" max="778" width="12.85546875" style="11" customWidth="1"/>
    <col min="779" max="779" width="16" style="11" customWidth="1"/>
    <col min="780" max="1024" width="9.140625" style="11"/>
    <col min="1025" max="1025" width="21.85546875" style="11" customWidth="1"/>
    <col min="1026" max="1026" width="31" style="11" customWidth="1"/>
    <col min="1027" max="1027" width="9.140625" style="11" customWidth="1"/>
    <col min="1028" max="1028" width="12.85546875" style="11" customWidth="1"/>
    <col min="1029" max="1029" width="10.85546875" style="11" customWidth="1"/>
    <col min="1030" max="1030" width="12.140625" style="11" customWidth="1"/>
    <col min="1031" max="1031" width="13.7109375" style="11" customWidth="1"/>
    <col min="1032" max="1033" width="13.28515625" style="11" customWidth="1"/>
    <col min="1034" max="1034" width="12.85546875" style="11" customWidth="1"/>
    <col min="1035" max="1035" width="16" style="11" customWidth="1"/>
    <col min="1036" max="1280" width="9.140625" style="11"/>
    <col min="1281" max="1281" width="21.85546875" style="11" customWidth="1"/>
    <col min="1282" max="1282" width="31" style="11" customWidth="1"/>
    <col min="1283" max="1283" width="9.140625" style="11" customWidth="1"/>
    <col min="1284" max="1284" width="12.85546875" style="11" customWidth="1"/>
    <col min="1285" max="1285" width="10.85546875" style="11" customWidth="1"/>
    <col min="1286" max="1286" width="12.140625" style="11" customWidth="1"/>
    <col min="1287" max="1287" width="13.7109375" style="11" customWidth="1"/>
    <col min="1288" max="1289" width="13.28515625" style="11" customWidth="1"/>
    <col min="1290" max="1290" width="12.85546875" style="11" customWidth="1"/>
    <col min="1291" max="1291" width="16" style="11" customWidth="1"/>
    <col min="1292" max="1536" width="9.140625" style="11"/>
    <col min="1537" max="1537" width="21.85546875" style="11" customWidth="1"/>
    <col min="1538" max="1538" width="31" style="11" customWidth="1"/>
    <col min="1539" max="1539" width="9.140625" style="11" customWidth="1"/>
    <col min="1540" max="1540" width="12.85546875" style="11" customWidth="1"/>
    <col min="1541" max="1541" width="10.85546875" style="11" customWidth="1"/>
    <col min="1542" max="1542" width="12.140625" style="11" customWidth="1"/>
    <col min="1543" max="1543" width="13.7109375" style="11" customWidth="1"/>
    <col min="1544" max="1545" width="13.28515625" style="11" customWidth="1"/>
    <col min="1546" max="1546" width="12.85546875" style="11" customWidth="1"/>
    <col min="1547" max="1547" width="16" style="11" customWidth="1"/>
    <col min="1548" max="1792" width="9.140625" style="11"/>
    <col min="1793" max="1793" width="21.85546875" style="11" customWidth="1"/>
    <col min="1794" max="1794" width="31" style="11" customWidth="1"/>
    <col min="1795" max="1795" width="9.140625" style="11" customWidth="1"/>
    <col min="1796" max="1796" width="12.85546875" style="11" customWidth="1"/>
    <col min="1797" max="1797" width="10.85546875" style="11" customWidth="1"/>
    <col min="1798" max="1798" width="12.140625" style="11" customWidth="1"/>
    <col min="1799" max="1799" width="13.7109375" style="11" customWidth="1"/>
    <col min="1800" max="1801" width="13.28515625" style="11" customWidth="1"/>
    <col min="1802" max="1802" width="12.85546875" style="11" customWidth="1"/>
    <col min="1803" max="1803" width="16" style="11" customWidth="1"/>
    <col min="1804" max="2048" width="9.140625" style="11"/>
    <col min="2049" max="2049" width="21.85546875" style="11" customWidth="1"/>
    <col min="2050" max="2050" width="31" style="11" customWidth="1"/>
    <col min="2051" max="2051" width="9.140625" style="11" customWidth="1"/>
    <col min="2052" max="2052" width="12.85546875" style="11" customWidth="1"/>
    <col min="2053" max="2053" width="10.85546875" style="11" customWidth="1"/>
    <col min="2054" max="2054" width="12.140625" style="11" customWidth="1"/>
    <col min="2055" max="2055" width="13.7109375" style="11" customWidth="1"/>
    <col min="2056" max="2057" width="13.28515625" style="11" customWidth="1"/>
    <col min="2058" max="2058" width="12.85546875" style="11" customWidth="1"/>
    <col min="2059" max="2059" width="16" style="11" customWidth="1"/>
    <col min="2060" max="2304" width="9.140625" style="11"/>
    <col min="2305" max="2305" width="21.85546875" style="11" customWidth="1"/>
    <col min="2306" max="2306" width="31" style="11" customWidth="1"/>
    <col min="2307" max="2307" width="9.140625" style="11" customWidth="1"/>
    <col min="2308" max="2308" width="12.85546875" style="11" customWidth="1"/>
    <col min="2309" max="2309" width="10.85546875" style="11" customWidth="1"/>
    <col min="2310" max="2310" width="12.140625" style="11" customWidth="1"/>
    <col min="2311" max="2311" width="13.7109375" style="11" customWidth="1"/>
    <col min="2312" max="2313" width="13.28515625" style="11" customWidth="1"/>
    <col min="2314" max="2314" width="12.85546875" style="11" customWidth="1"/>
    <col min="2315" max="2315" width="16" style="11" customWidth="1"/>
    <col min="2316" max="2560" width="9.140625" style="11"/>
    <col min="2561" max="2561" width="21.85546875" style="11" customWidth="1"/>
    <col min="2562" max="2562" width="31" style="11" customWidth="1"/>
    <col min="2563" max="2563" width="9.140625" style="11" customWidth="1"/>
    <col min="2564" max="2564" width="12.85546875" style="11" customWidth="1"/>
    <col min="2565" max="2565" width="10.85546875" style="11" customWidth="1"/>
    <col min="2566" max="2566" width="12.140625" style="11" customWidth="1"/>
    <col min="2567" max="2567" width="13.7109375" style="11" customWidth="1"/>
    <col min="2568" max="2569" width="13.28515625" style="11" customWidth="1"/>
    <col min="2570" max="2570" width="12.85546875" style="11" customWidth="1"/>
    <col min="2571" max="2571" width="16" style="11" customWidth="1"/>
    <col min="2572" max="2816" width="9.140625" style="11"/>
    <col min="2817" max="2817" width="21.85546875" style="11" customWidth="1"/>
    <col min="2818" max="2818" width="31" style="11" customWidth="1"/>
    <col min="2819" max="2819" width="9.140625" style="11" customWidth="1"/>
    <col min="2820" max="2820" width="12.85546875" style="11" customWidth="1"/>
    <col min="2821" max="2821" width="10.85546875" style="11" customWidth="1"/>
    <col min="2822" max="2822" width="12.140625" style="11" customWidth="1"/>
    <col min="2823" max="2823" width="13.7109375" style="11" customWidth="1"/>
    <col min="2824" max="2825" width="13.28515625" style="11" customWidth="1"/>
    <col min="2826" max="2826" width="12.85546875" style="11" customWidth="1"/>
    <col min="2827" max="2827" width="16" style="11" customWidth="1"/>
    <col min="2828" max="3072" width="9.140625" style="11"/>
    <col min="3073" max="3073" width="21.85546875" style="11" customWidth="1"/>
    <col min="3074" max="3074" width="31" style="11" customWidth="1"/>
    <col min="3075" max="3075" width="9.140625" style="11" customWidth="1"/>
    <col min="3076" max="3076" width="12.85546875" style="11" customWidth="1"/>
    <col min="3077" max="3077" width="10.85546875" style="11" customWidth="1"/>
    <col min="3078" max="3078" width="12.140625" style="11" customWidth="1"/>
    <col min="3079" max="3079" width="13.7109375" style="11" customWidth="1"/>
    <col min="3080" max="3081" width="13.28515625" style="11" customWidth="1"/>
    <col min="3082" max="3082" width="12.85546875" style="11" customWidth="1"/>
    <col min="3083" max="3083" width="16" style="11" customWidth="1"/>
    <col min="3084" max="3328" width="9.140625" style="11"/>
    <col min="3329" max="3329" width="21.85546875" style="11" customWidth="1"/>
    <col min="3330" max="3330" width="31" style="11" customWidth="1"/>
    <col min="3331" max="3331" width="9.140625" style="11" customWidth="1"/>
    <col min="3332" max="3332" width="12.85546875" style="11" customWidth="1"/>
    <col min="3333" max="3333" width="10.85546875" style="11" customWidth="1"/>
    <col min="3334" max="3334" width="12.140625" style="11" customWidth="1"/>
    <col min="3335" max="3335" width="13.7109375" style="11" customWidth="1"/>
    <col min="3336" max="3337" width="13.28515625" style="11" customWidth="1"/>
    <col min="3338" max="3338" width="12.85546875" style="11" customWidth="1"/>
    <col min="3339" max="3339" width="16" style="11" customWidth="1"/>
    <col min="3340" max="3584" width="9.140625" style="11"/>
    <col min="3585" max="3585" width="21.85546875" style="11" customWidth="1"/>
    <col min="3586" max="3586" width="31" style="11" customWidth="1"/>
    <col min="3587" max="3587" width="9.140625" style="11" customWidth="1"/>
    <col min="3588" max="3588" width="12.85546875" style="11" customWidth="1"/>
    <col min="3589" max="3589" width="10.85546875" style="11" customWidth="1"/>
    <col min="3590" max="3590" width="12.140625" style="11" customWidth="1"/>
    <col min="3591" max="3591" width="13.7109375" style="11" customWidth="1"/>
    <col min="3592" max="3593" width="13.28515625" style="11" customWidth="1"/>
    <col min="3594" max="3594" width="12.85546875" style="11" customWidth="1"/>
    <col min="3595" max="3595" width="16" style="11" customWidth="1"/>
    <col min="3596" max="3840" width="9.140625" style="11"/>
    <col min="3841" max="3841" width="21.85546875" style="11" customWidth="1"/>
    <col min="3842" max="3842" width="31" style="11" customWidth="1"/>
    <col min="3843" max="3843" width="9.140625" style="11" customWidth="1"/>
    <col min="3844" max="3844" width="12.85546875" style="11" customWidth="1"/>
    <col min="3845" max="3845" width="10.85546875" style="11" customWidth="1"/>
    <col min="3846" max="3846" width="12.140625" style="11" customWidth="1"/>
    <col min="3847" max="3847" width="13.7109375" style="11" customWidth="1"/>
    <col min="3848" max="3849" width="13.28515625" style="11" customWidth="1"/>
    <col min="3850" max="3850" width="12.85546875" style="11" customWidth="1"/>
    <col min="3851" max="3851" width="16" style="11" customWidth="1"/>
    <col min="3852" max="4096" width="9.140625" style="11"/>
    <col min="4097" max="4097" width="21.85546875" style="11" customWidth="1"/>
    <col min="4098" max="4098" width="31" style="11" customWidth="1"/>
    <col min="4099" max="4099" width="9.140625" style="11" customWidth="1"/>
    <col min="4100" max="4100" width="12.85546875" style="11" customWidth="1"/>
    <col min="4101" max="4101" width="10.85546875" style="11" customWidth="1"/>
    <col min="4102" max="4102" width="12.140625" style="11" customWidth="1"/>
    <col min="4103" max="4103" width="13.7109375" style="11" customWidth="1"/>
    <col min="4104" max="4105" width="13.28515625" style="11" customWidth="1"/>
    <col min="4106" max="4106" width="12.85546875" style="11" customWidth="1"/>
    <col min="4107" max="4107" width="16" style="11" customWidth="1"/>
    <col min="4108" max="4352" width="9.140625" style="11"/>
    <col min="4353" max="4353" width="21.85546875" style="11" customWidth="1"/>
    <col min="4354" max="4354" width="31" style="11" customWidth="1"/>
    <col min="4355" max="4355" width="9.140625" style="11" customWidth="1"/>
    <col min="4356" max="4356" width="12.85546875" style="11" customWidth="1"/>
    <col min="4357" max="4357" width="10.85546875" style="11" customWidth="1"/>
    <col min="4358" max="4358" width="12.140625" style="11" customWidth="1"/>
    <col min="4359" max="4359" width="13.7109375" style="11" customWidth="1"/>
    <col min="4360" max="4361" width="13.28515625" style="11" customWidth="1"/>
    <col min="4362" max="4362" width="12.85546875" style="11" customWidth="1"/>
    <col min="4363" max="4363" width="16" style="11" customWidth="1"/>
    <col min="4364" max="4608" width="9.140625" style="11"/>
    <col min="4609" max="4609" width="21.85546875" style="11" customWidth="1"/>
    <col min="4610" max="4610" width="31" style="11" customWidth="1"/>
    <col min="4611" max="4611" width="9.140625" style="11" customWidth="1"/>
    <col min="4612" max="4612" width="12.85546875" style="11" customWidth="1"/>
    <col min="4613" max="4613" width="10.85546875" style="11" customWidth="1"/>
    <col min="4614" max="4614" width="12.140625" style="11" customWidth="1"/>
    <col min="4615" max="4615" width="13.7109375" style="11" customWidth="1"/>
    <col min="4616" max="4617" width="13.28515625" style="11" customWidth="1"/>
    <col min="4618" max="4618" width="12.85546875" style="11" customWidth="1"/>
    <col min="4619" max="4619" width="16" style="11" customWidth="1"/>
    <col min="4620" max="4864" width="9.140625" style="11"/>
    <col min="4865" max="4865" width="21.85546875" style="11" customWidth="1"/>
    <col min="4866" max="4866" width="31" style="11" customWidth="1"/>
    <col min="4867" max="4867" width="9.140625" style="11" customWidth="1"/>
    <col min="4868" max="4868" width="12.85546875" style="11" customWidth="1"/>
    <col min="4869" max="4869" width="10.85546875" style="11" customWidth="1"/>
    <col min="4870" max="4870" width="12.140625" style="11" customWidth="1"/>
    <col min="4871" max="4871" width="13.7109375" style="11" customWidth="1"/>
    <col min="4872" max="4873" width="13.28515625" style="11" customWidth="1"/>
    <col min="4874" max="4874" width="12.85546875" style="11" customWidth="1"/>
    <col min="4875" max="4875" width="16" style="11" customWidth="1"/>
    <col min="4876" max="5120" width="9.140625" style="11"/>
    <col min="5121" max="5121" width="21.85546875" style="11" customWidth="1"/>
    <col min="5122" max="5122" width="31" style="11" customWidth="1"/>
    <col min="5123" max="5123" width="9.140625" style="11" customWidth="1"/>
    <col min="5124" max="5124" width="12.85546875" style="11" customWidth="1"/>
    <col min="5125" max="5125" width="10.85546875" style="11" customWidth="1"/>
    <col min="5126" max="5126" width="12.140625" style="11" customWidth="1"/>
    <col min="5127" max="5127" width="13.7109375" style="11" customWidth="1"/>
    <col min="5128" max="5129" width="13.28515625" style="11" customWidth="1"/>
    <col min="5130" max="5130" width="12.85546875" style="11" customWidth="1"/>
    <col min="5131" max="5131" width="16" style="11" customWidth="1"/>
    <col min="5132" max="5376" width="9.140625" style="11"/>
    <col min="5377" max="5377" width="21.85546875" style="11" customWidth="1"/>
    <col min="5378" max="5378" width="31" style="11" customWidth="1"/>
    <col min="5379" max="5379" width="9.140625" style="11" customWidth="1"/>
    <col min="5380" max="5380" width="12.85546875" style="11" customWidth="1"/>
    <col min="5381" max="5381" width="10.85546875" style="11" customWidth="1"/>
    <col min="5382" max="5382" width="12.140625" style="11" customWidth="1"/>
    <col min="5383" max="5383" width="13.7109375" style="11" customWidth="1"/>
    <col min="5384" max="5385" width="13.28515625" style="11" customWidth="1"/>
    <col min="5386" max="5386" width="12.85546875" style="11" customWidth="1"/>
    <col min="5387" max="5387" width="16" style="11" customWidth="1"/>
    <col min="5388" max="5632" width="9.140625" style="11"/>
    <col min="5633" max="5633" width="21.85546875" style="11" customWidth="1"/>
    <col min="5634" max="5634" width="31" style="11" customWidth="1"/>
    <col min="5635" max="5635" width="9.140625" style="11" customWidth="1"/>
    <col min="5636" max="5636" width="12.85546875" style="11" customWidth="1"/>
    <col min="5637" max="5637" width="10.85546875" style="11" customWidth="1"/>
    <col min="5638" max="5638" width="12.140625" style="11" customWidth="1"/>
    <col min="5639" max="5639" width="13.7109375" style="11" customWidth="1"/>
    <col min="5640" max="5641" width="13.28515625" style="11" customWidth="1"/>
    <col min="5642" max="5642" width="12.85546875" style="11" customWidth="1"/>
    <col min="5643" max="5643" width="16" style="11" customWidth="1"/>
    <col min="5644" max="5888" width="9.140625" style="11"/>
    <col min="5889" max="5889" width="21.85546875" style="11" customWidth="1"/>
    <col min="5890" max="5890" width="31" style="11" customWidth="1"/>
    <col min="5891" max="5891" width="9.140625" style="11" customWidth="1"/>
    <col min="5892" max="5892" width="12.85546875" style="11" customWidth="1"/>
    <col min="5893" max="5893" width="10.85546875" style="11" customWidth="1"/>
    <col min="5894" max="5894" width="12.140625" style="11" customWidth="1"/>
    <col min="5895" max="5895" width="13.7109375" style="11" customWidth="1"/>
    <col min="5896" max="5897" width="13.28515625" style="11" customWidth="1"/>
    <col min="5898" max="5898" width="12.85546875" style="11" customWidth="1"/>
    <col min="5899" max="5899" width="16" style="11" customWidth="1"/>
    <col min="5900" max="6144" width="9.140625" style="11"/>
    <col min="6145" max="6145" width="21.85546875" style="11" customWidth="1"/>
    <col min="6146" max="6146" width="31" style="11" customWidth="1"/>
    <col min="6147" max="6147" width="9.140625" style="11" customWidth="1"/>
    <col min="6148" max="6148" width="12.85546875" style="11" customWidth="1"/>
    <col min="6149" max="6149" width="10.85546875" style="11" customWidth="1"/>
    <col min="6150" max="6150" width="12.140625" style="11" customWidth="1"/>
    <col min="6151" max="6151" width="13.7109375" style="11" customWidth="1"/>
    <col min="6152" max="6153" width="13.28515625" style="11" customWidth="1"/>
    <col min="6154" max="6154" width="12.85546875" style="11" customWidth="1"/>
    <col min="6155" max="6155" width="16" style="11" customWidth="1"/>
    <col min="6156" max="6400" width="9.140625" style="11"/>
    <col min="6401" max="6401" width="21.85546875" style="11" customWidth="1"/>
    <col min="6402" max="6402" width="31" style="11" customWidth="1"/>
    <col min="6403" max="6403" width="9.140625" style="11" customWidth="1"/>
    <col min="6404" max="6404" width="12.85546875" style="11" customWidth="1"/>
    <col min="6405" max="6405" width="10.85546875" style="11" customWidth="1"/>
    <col min="6406" max="6406" width="12.140625" style="11" customWidth="1"/>
    <col min="6407" max="6407" width="13.7109375" style="11" customWidth="1"/>
    <col min="6408" max="6409" width="13.28515625" style="11" customWidth="1"/>
    <col min="6410" max="6410" width="12.85546875" style="11" customWidth="1"/>
    <col min="6411" max="6411" width="16" style="11" customWidth="1"/>
    <col min="6412" max="6656" width="9.140625" style="11"/>
    <col min="6657" max="6657" width="21.85546875" style="11" customWidth="1"/>
    <col min="6658" max="6658" width="31" style="11" customWidth="1"/>
    <col min="6659" max="6659" width="9.140625" style="11" customWidth="1"/>
    <col min="6660" max="6660" width="12.85546875" style="11" customWidth="1"/>
    <col min="6661" max="6661" width="10.85546875" style="11" customWidth="1"/>
    <col min="6662" max="6662" width="12.140625" style="11" customWidth="1"/>
    <col min="6663" max="6663" width="13.7109375" style="11" customWidth="1"/>
    <col min="6664" max="6665" width="13.28515625" style="11" customWidth="1"/>
    <col min="6666" max="6666" width="12.85546875" style="11" customWidth="1"/>
    <col min="6667" max="6667" width="16" style="11" customWidth="1"/>
    <col min="6668" max="6912" width="9.140625" style="11"/>
    <col min="6913" max="6913" width="21.85546875" style="11" customWidth="1"/>
    <col min="6914" max="6914" width="31" style="11" customWidth="1"/>
    <col min="6915" max="6915" width="9.140625" style="11" customWidth="1"/>
    <col min="6916" max="6916" width="12.85546875" style="11" customWidth="1"/>
    <col min="6917" max="6917" width="10.85546875" style="11" customWidth="1"/>
    <col min="6918" max="6918" width="12.140625" style="11" customWidth="1"/>
    <col min="6919" max="6919" width="13.7109375" style="11" customWidth="1"/>
    <col min="6920" max="6921" width="13.28515625" style="11" customWidth="1"/>
    <col min="6922" max="6922" width="12.85546875" style="11" customWidth="1"/>
    <col min="6923" max="6923" width="16" style="11" customWidth="1"/>
    <col min="6924" max="7168" width="9.140625" style="11"/>
    <col min="7169" max="7169" width="21.85546875" style="11" customWidth="1"/>
    <col min="7170" max="7170" width="31" style="11" customWidth="1"/>
    <col min="7171" max="7171" width="9.140625" style="11" customWidth="1"/>
    <col min="7172" max="7172" width="12.85546875" style="11" customWidth="1"/>
    <col min="7173" max="7173" width="10.85546875" style="11" customWidth="1"/>
    <col min="7174" max="7174" width="12.140625" style="11" customWidth="1"/>
    <col min="7175" max="7175" width="13.7109375" style="11" customWidth="1"/>
    <col min="7176" max="7177" width="13.28515625" style="11" customWidth="1"/>
    <col min="7178" max="7178" width="12.85546875" style="11" customWidth="1"/>
    <col min="7179" max="7179" width="16" style="11" customWidth="1"/>
    <col min="7180" max="7424" width="9.140625" style="11"/>
    <col min="7425" max="7425" width="21.85546875" style="11" customWidth="1"/>
    <col min="7426" max="7426" width="31" style="11" customWidth="1"/>
    <col min="7427" max="7427" width="9.140625" style="11" customWidth="1"/>
    <col min="7428" max="7428" width="12.85546875" style="11" customWidth="1"/>
    <col min="7429" max="7429" width="10.85546875" style="11" customWidth="1"/>
    <col min="7430" max="7430" width="12.140625" style="11" customWidth="1"/>
    <col min="7431" max="7431" width="13.7109375" style="11" customWidth="1"/>
    <col min="7432" max="7433" width="13.28515625" style="11" customWidth="1"/>
    <col min="7434" max="7434" width="12.85546875" style="11" customWidth="1"/>
    <col min="7435" max="7435" width="16" style="11" customWidth="1"/>
    <col min="7436" max="7680" width="9.140625" style="11"/>
    <col min="7681" max="7681" width="21.85546875" style="11" customWidth="1"/>
    <col min="7682" max="7682" width="31" style="11" customWidth="1"/>
    <col min="7683" max="7683" width="9.140625" style="11" customWidth="1"/>
    <col min="7684" max="7684" width="12.85546875" style="11" customWidth="1"/>
    <col min="7685" max="7685" width="10.85546875" style="11" customWidth="1"/>
    <col min="7686" max="7686" width="12.140625" style="11" customWidth="1"/>
    <col min="7687" max="7687" width="13.7109375" style="11" customWidth="1"/>
    <col min="7688" max="7689" width="13.28515625" style="11" customWidth="1"/>
    <col min="7690" max="7690" width="12.85546875" style="11" customWidth="1"/>
    <col min="7691" max="7691" width="16" style="11" customWidth="1"/>
    <col min="7692" max="7936" width="9.140625" style="11"/>
    <col min="7937" max="7937" width="21.85546875" style="11" customWidth="1"/>
    <col min="7938" max="7938" width="31" style="11" customWidth="1"/>
    <col min="7939" max="7939" width="9.140625" style="11" customWidth="1"/>
    <col min="7940" max="7940" width="12.85546875" style="11" customWidth="1"/>
    <col min="7941" max="7941" width="10.85546875" style="11" customWidth="1"/>
    <col min="7942" max="7942" width="12.140625" style="11" customWidth="1"/>
    <col min="7943" max="7943" width="13.7109375" style="11" customWidth="1"/>
    <col min="7944" max="7945" width="13.28515625" style="11" customWidth="1"/>
    <col min="7946" max="7946" width="12.85546875" style="11" customWidth="1"/>
    <col min="7947" max="7947" width="16" style="11" customWidth="1"/>
    <col min="7948" max="8192" width="9.140625" style="11"/>
    <col min="8193" max="8193" width="21.85546875" style="11" customWidth="1"/>
    <col min="8194" max="8194" width="31" style="11" customWidth="1"/>
    <col min="8195" max="8195" width="9.140625" style="11" customWidth="1"/>
    <col min="8196" max="8196" width="12.85546875" style="11" customWidth="1"/>
    <col min="8197" max="8197" width="10.85546875" style="11" customWidth="1"/>
    <col min="8198" max="8198" width="12.140625" style="11" customWidth="1"/>
    <col min="8199" max="8199" width="13.7109375" style="11" customWidth="1"/>
    <col min="8200" max="8201" width="13.28515625" style="11" customWidth="1"/>
    <col min="8202" max="8202" width="12.85546875" style="11" customWidth="1"/>
    <col min="8203" max="8203" width="16" style="11" customWidth="1"/>
    <col min="8204" max="8448" width="9.140625" style="11"/>
    <col min="8449" max="8449" width="21.85546875" style="11" customWidth="1"/>
    <col min="8450" max="8450" width="31" style="11" customWidth="1"/>
    <col min="8451" max="8451" width="9.140625" style="11" customWidth="1"/>
    <col min="8452" max="8452" width="12.85546875" style="11" customWidth="1"/>
    <col min="8453" max="8453" width="10.85546875" style="11" customWidth="1"/>
    <col min="8454" max="8454" width="12.140625" style="11" customWidth="1"/>
    <col min="8455" max="8455" width="13.7109375" style="11" customWidth="1"/>
    <col min="8456" max="8457" width="13.28515625" style="11" customWidth="1"/>
    <col min="8458" max="8458" width="12.85546875" style="11" customWidth="1"/>
    <col min="8459" max="8459" width="16" style="11" customWidth="1"/>
    <col min="8460" max="8704" width="9.140625" style="11"/>
    <col min="8705" max="8705" width="21.85546875" style="11" customWidth="1"/>
    <col min="8706" max="8706" width="31" style="11" customWidth="1"/>
    <col min="8707" max="8707" width="9.140625" style="11" customWidth="1"/>
    <col min="8708" max="8708" width="12.85546875" style="11" customWidth="1"/>
    <col min="8709" max="8709" width="10.85546875" style="11" customWidth="1"/>
    <col min="8710" max="8710" width="12.140625" style="11" customWidth="1"/>
    <col min="8711" max="8711" width="13.7109375" style="11" customWidth="1"/>
    <col min="8712" max="8713" width="13.28515625" style="11" customWidth="1"/>
    <col min="8714" max="8714" width="12.85546875" style="11" customWidth="1"/>
    <col min="8715" max="8715" width="16" style="11" customWidth="1"/>
    <col min="8716" max="8960" width="9.140625" style="11"/>
    <col min="8961" max="8961" width="21.85546875" style="11" customWidth="1"/>
    <col min="8962" max="8962" width="31" style="11" customWidth="1"/>
    <col min="8963" max="8963" width="9.140625" style="11" customWidth="1"/>
    <col min="8964" max="8964" width="12.85546875" style="11" customWidth="1"/>
    <col min="8965" max="8965" width="10.85546875" style="11" customWidth="1"/>
    <col min="8966" max="8966" width="12.140625" style="11" customWidth="1"/>
    <col min="8967" max="8967" width="13.7109375" style="11" customWidth="1"/>
    <col min="8968" max="8969" width="13.28515625" style="11" customWidth="1"/>
    <col min="8970" max="8970" width="12.85546875" style="11" customWidth="1"/>
    <col min="8971" max="8971" width="16" style="11" customWidth="1"/>
    <col min="8972" max="9216" width="9.140625" style="11"/>
    <col min="9217" max="9217" width="21.85546875" style="11" customWidth="1"/>
    <col min="9218" max="9218" width="31" style="11" customWidth="1"/>
    <col min="9219" max="9219" width="9.140625" style="11" customWidth="1"/>
    <col min="9220" max="9220" width="12.85546875" style="11" customWidth="1"/>
    <col min="9221" max="9221" width="10.85546875" style="11" customWidth="1"/>
    <col min="9222" max="9222" width="12.140625" style="11" customWidth="1"/>
    <col min="9223" max="9223" width="13.7109375" style="11" customWidth="1"/>
    <col min="9224" max="9225" width="13.28515625" style="11" customWidth="1"/>
    <col min="9226" max="9226" width="12.85546875" style="11" customWidth="1"/>
    <col min="9227" max="9227" width="16" style="11" customWidth="1"/>
    <col min="9228" max="9472" width="9.140625" style="11"/>
    <col min="9473" max="9473" width="21.85546875" style="11" customWidth="1"/>
    <col min="9474" max="9474" width="31" style="11" customWidth="1"/>
    <col min="9475" max="9475" width="9.140625" style="11" customWidth="1"/>
    <col min="9476" max="9476" width="12.85546875" style="11" customWidth="1"/>
    <col min="9477" max="9477" width="10.85546875" style="11" customWidth="1"/>
    <col min="9478" max="9478" width="12.140625" style="11" customWidth="1"/>
    <col min="9479" max="9479" width="13.7109375" style="11" customWidth="1"/>
    <col min="9480" max="9481" width="13.28515625" style="11" customWidth="1"/>
    <col min="9482" max="9482" width="12.85546875" style="11" customWidth="1"/>
    <col min="9483" max="9483" width="16" style="11" customWidth="1"/>
    <col min="9484" max="9728" width="9.140625" style="11"/>
    <col min="9729" max="9729" width="21.85546875" style="11" customWidth="1"/>
    <col min="9730" max="9730" width="31" style="11" customWidth="1"/>
    <col min="9731" max="9731" width="9.140625" style="11" customWidth="1"/>
    <col min="9732" max="9732" width="12.85546875" style="11" customWidth="1"/>
    <col min="9733" max="9733" width="10.85546875" style="11" customWidth="1"/>
    <col min="9734" max="9734" width="12.140625" style="11" customWidth="1"/>
    <col min="9735" max="9735" width="13.7109375" style="11" customWidth="1"/>
    <col min="9736" max="9737" width="13.28515625" style="11" customWidth="1"/>
    <col min="9738" max="9738" width="12.85546875" style="11" customWidth="1"/>
    <col min="9739" max="9739" width="16" style="11" customWidth="1"/>
    <col min="9740" max="9984" width="9.140625" style="11"/>
    <col min="9985" max="9985" width="21.85546875" style="11" customWidth="1"/>
    <col min="9986" max="9986" width="31" style="11" customWidth="1"/>
    <col min="9987" max="9987" width="9.140625" style="11" customWidth="1"/>
    <col min="9988" max="9988" width="12.85546875" style="11" customWidth="1"/>
    <col min="9989" max="9989" width="10.85546875" style="11" customWidth="1"/>
    <col min="9990" max="9990" width="12.140625" style="11" customWidth="1"/>
    <col min="9991" max="9991" width="13.7109375" style="11" customWidth="1"/>
    <col min="9992" max="9993" width="13.28515625" style="11" customWidth="1"/>
    <col min="9994" max="9994" width="12.85546875" style="11" customWidth="1"/>
    <col min="9995" max="9995" width="16" style="11" customWidth="1"/>
    <col min="9996" max="10240" width="9.140625" style="11"/>
    <col min="10241" max="10241" width="21.85546875" style="11" customWidth="1"/>
    <col min="10242" max="10242" width="31" style="11" customWidth="1"/>
    <col min="10243" max="10243" width="9.140625" style="11" customWidth="1"/>
    <col min="10244" max="10244" width="12.85546875" style="11" customWidth="1"/>
    <col min="10245" max="10245" width="10.85546875" style="11" customWidth="1"/>
    <col min="10246" max="10246" width="12.140625" style="11" customWidth="1"/>
    <col min="10247" max="10247" width="13.7109375" style="11" customWidth="1"/>
    <col min="10248" max="10249" width="13.28515625" style="11" customWidth="1"/>
    <col min="10250" max="10250" width="12.85546875" style="11" customWidth="1"/>
    <col min="10251" max="10251" width="16" style="11" customWidth="1"/>
    <col min="10252" max="10496" width="9.140625" style="11"/>
    <col min="10497" max="10497" width="21.85546875" style="11" customWidth="1"/>
    <col min="10498" max="10498" width="31" style="11" customWidth="1"/>
    <col min="10499" max="10499" width="9.140625" style="11" customWidth="1"/>
    <col min="10500" max="10500" width="12.85546875" style="11" customWidth="1"/>
    <col min="10501" max="10501" width="10.85546875" style="11" customWidth="1"/>
    <col min="10502" max="10502" width="12.140625" style="11" customWidth="1"/>
    <col min="10503" max="10503" width="13.7109375" style="11" customWidth="1"/>
    <col min="10504" max="10505" width="13.28515625" style="11" customWidth="1"/>
    <col min="10506" max="10506" width="12.85546875" style="11" customWidth="1"/>
    <col min="10507" max="10507" width="16" style="11" customWidth="1"/>
    <col min="10508" max="10752" width="9.140625" style="11"/>
    <col min="10753" max="10753" width="21.85546875" style="11" customWidth="1"/>
    <col min="10754" max="10754" width="31" style="11" customWidth="1"/>
    <col min="10755" max="10755" width="9.140625" style="11" customWidth="1"/>
    <col min="10756" max="10756" width="12.85546875" style="11" customWidth="1"/>
    <col min="10757" max="10757" width="10.85546875" style="11" customWidth="1"/>
    <col min="10758" max="10758" width="12.140625" style="11" customWidth="1"/>
    <col min="10759" max="10759" width="13.7109375" style="11" customWidth="1"/>
    <col min="10760" max="10761" width="13.28515625" style="11" customWidth="1"/>
    <col min="10762" max="10762" width="12.85546875" style="11" customWidth="1"/>
    <col min="10763" max="10763" width="16" style="11" customWidth="1"/>
    <col min="10764" max="11008" width="9.140625" style="11"/>
    <col min="11009" max="11009" width="21.85546875" style="11" customWidth="1"/>
    <col min="11010" max="11010" width="31" style="11" customWidth="1"/>
    <col min="11011" max="11011" width="9.140625" style="11" customWidth="1"/>
    <col min="11012" max="11012" width="12.85546875" style="11" customWidth="1"/>
    <col min="11013" max="11013" width="10.85546875" style="11" customWidth="1"/>
    <col min="11014" max="11014" width="12.140625" style="11" customWidth="1"/>
    <col min="11015" max="11015" width="13.7109375" style="11" customWidth="1"/>
    <col min="11016" max="11017" width="13.28515625" style="11" customWidth="1"/>
    <col min="11018" max="11018" width="12.85546875" style="11" customWidth="1"/>
    <col min="11019" max="11019" width="16" style="11" customWidth="1"/>
    <col min="11020" max="11264" width="9.140625" style="11"/>
    <col min="11265" max="11265" width="21.85546875" style="11" customWidth="1"/>
    <col min="11266" max="11266" width="31" style="11" customWidth="1"/>
    <col min="11267" max="11267" width="9.140625" style="11" customWidth="1"/>
    <col min="11268" max="11268" width="12.85546875" style="11" customWidth="1"/>
    <col min="11269" max="11269" width="10.85546875" style="11" customWidth="1"/>
    <col min="11270" max="11270" width="12.140625" style="11" customWidth="1"/>
    <col min="11271" max="11271" width="13.7109375" style="11" customWidth="1"/>
    <col min="11272" max="11273" width="13.28515625" style="11" customWidth="1"/>
    <col min="11274" max="11274" width="12.85546875" style="11" customWidth="1"/>
    <col min="11275" max="11275" width="16" style="11" customWidth="1"/>
    <col min="11276" max="11520" width="9.140625" style="11"/>
    <col min="11521" max="11521" width="21.85546875" style="11" customWidth="1"/>
    <col min="11522" max="11522" width="31" style="11" customWidth="1"/>
    <col min="11523" max="11523" width="9.140625" style="11" customWidth="1"/>
    <col min="11524" max="11524" width="12.85546875" style="11" customWidth="1"/>
    <col min="11525" max="11525" width="10.85546875" style="11" customWidth="1"/>
    <col min="11526" max="11526" width="12.140625" style="11" customWidth="1"/>
    <col min="11527" max="11527" width="13.7109375" style="11" customWidth="1"/>
    <col min="11528" max="11529" width="13.28515625" style="11" customWidth="1"/>
    <col min="11530" max="11530" width="12.85546875" style="11" customWidth="1"/>
    <col min="11531" max="11531" width="16" style="11" customWidth="1"/>
    <col min="11532" max="11776" width="9.140625" style="11"/>
    <col min="11777" max="11777" width="21.85546875" style="11" customWidth="1"/>
    <col min="11778" max="11778" width="31" style="11" customWidth="1"/>
    <col min="11779" max="11779" width="9.140625" style="11" customWidth="1"/>
    <col min="11780" max="11780" width="12.85546875" style="11" customWidth="1"/>
    <col min="11781" max="11781" width="10.85546875" style="11" customWidth="1"/>
    <col min="11782" max="11782" width="12.140625" style="11" customWidth="1"/>
    <col min="11783" max="11783" width="13.7109375" style="11" customWidth="1"/>
    <col min="11784" max="11785" width="13.28515625" style="11" customWidth="1"/>
    <col min="11786" max="11786" width="12.85546875" style="11" customWidth="1"/>
    <col min="11787" max="11787" width="16" style="11" customWidth="1"/>
    <col min="11788" max="12032" width="9.140625" style="11"/>
    <col min="12033" max="12033" width="21.85546875" style="11" customWidth="1"/>
    <col min="12034" max="12034" width="31" style="11" customWidth="1"/>
    <col min="12035" max="12035" width="9.140625" style="11" customWidth="1"/>
    <col min="12036" max="12036" width="12.85546875" style="11" customWidth="1"/>
    <col min="12037" max="12037" width="10.85546875" style="11" customWidth="1"/>
    <col min="12038" max="12038" width="12.140625" style="11" customWidth="1"/>
    <col min="12039" max="12039" width="13.7109375" style="11" customWidth="1"/>
    <col min="12040" max="12041" width="13.28515625" style="11" customWidth="1"/>
    <col min="12042" max="12042" width="12.85546875" style="11" customWidth="1"/>
    <col min="12043" max="12043" width="16" style="11" customWidth="1"/>
    <col min="12044" max="12288" width="9.140625" style="11"/>
    <col min="12289" max="12289" width="21.85546875" style="11" customWidth="1"/>
    <col min="12290" max="12290" width="31" style="11" customWidth="1"/>
    <col min="12291" max="12291" width="9.140625" style="11" customWidth="1"/>
    <col min="12292" max="12292" width="12.85546875" style="11" customWidth="1"/>
    <col min="12293" max="12293" width="10.85546875" style="11" customWidth="1"/>
    <col min="12294" max="12294" width="12.140625" style="11" customWidth="1"/>
    <col min="12295" max="12295" width="13.7109375" style="11" customWidth="1"/>
    <col min="12296" max="12297" width="13.28515625" style="11" customWidth="1"/>
    <col min="12298" max="12298" width="12.85546875" style="11" customWidth="1"/>
    <col min="12299" max="12299" width="16" style="11" customWidth="1"/>
    <col min="12300" max="12544" width="9.140625" style="11"/>
    <col min="12545" max="12545" width="21.85546875" style="11" customWidth="1"/>
    <col min="12546" max="12546" width="31" style="11" customWidth="1"/>
    <col min="12547" max="12547" width="9.140625" style="11" customWidth="1"/>
    <col min="12548" max="12548" width="12.85546875" style="11" customWidth="1"/>
    <col min="12549" max="12549" width="10.85546875" style="11" customWidth="1"/>
    <col min="12550" max="12550" width="12.140625" style="11" customWidth="1"/>
    <col min="12551" max="12551" width="13.7109375" style="11" customWidth="1"/>
    <col min="12552" max="12553" width="13.28515625" style="11" customWidth="1"/>
    <col min="12554" max="12554" width="12.85546875" style="11" customWidth="1"/>
    <col min="12555" max="12555" width="16" style="11" customWidth="1"/>
    <col min="12556" max="12800" width="9.140625" style="11"/>
    <col min="12801" max="12801" width="21.85546875" style="11" customWidth="1"/>
    <col min="12802" max="12802" width="31" style="11" customWidth="1"/>
    <col min="12803" max="12803" width="9.140625" style="11" customWidth="1"/>
    <col min="12804" max="12804" width="12.85546875" style="11" customWidth="1"/>
    <col min="12805" max="12805" width="10.85546875" style="11" customWidth="1"/>
    <col min="12806" max="12806" width="12.140625" style="11" customWidth="1"/>
    <col min="12807" max="12807" width="13.7109375" style="11" customWidth="1"/>
    <col min="12808" max="12809" width="13.28515625" style="11" customWidth="1"/>
    <col min="12810" max="12810" width="12.85546875" style="11" customWidth="1"/>
    <col min="12811" max="12811" width="16" style="11" customWidth="1"/>
    <col min="12812" max="13056" width="9.140625" style="11"/>
    <col min="13057" max="13057" width="21.85546875" style="11" customWidth="1"/>
    <col min="13058" max="13058" width="31" style="11" customWidth="1"/>
    <col min="13059" max="13059" width="9.140625" style="11" customWidth="1"/>
    <col min="13060" max="13060" width="12.85546875" style="11" customWidth="1"/>
    <col min="13061" max="13061" width="10.85546875" style="11" customWidth="1"/>
    <col min="13062" max="13062" width="12.140625" style="11" customWidth="1"/>
    <col min="13063" max="13063" width="13.7109375" style="11" customWidth="1"/>
    <col min="13064" max="13065" width="13.28515625" style="11" customWidth="1"/>
    <col min="13066" max="13066" width="12.85546875" style="11" customWidth="1"/>
    <col min="13067" max="13067" width="16" style="11" customWidth="1"/>
    <col min="13068" max="13312" width="9.140625" style="11"/>
    <col min="13313" max="13313" width="21.85546875" style="11" customWidth="1"/>
    <col min="13314" max="13314" width="31" style="11" customWidth="1"/>
    <col min="13315" max="13315" width="9.140625" style="11" customWidth="1"/>
    <col min="13316" max="13316" width="12.85546875" style="11" customWidth="1"/>
    <col min="13317" max="13317" width="10.85546875" style="11" customWidth="1"/>
    <col min="13318" max="13318" width="12.140625" style="11" customWidth="1"/>
    <col min="13319" max="13319" width="13.7109375" style="11" customWidth="1"/>
    <col min="13320" max="13321" width="13.28515625" style="11" customWidth="1"/>
    <col min="13322" max="13322" width="12.85546875" style="11" customWidth="1"/>
    <col min="13323" max="13323" width="16" style="11" customWidth="1"/>
    <col min="13324" max="13568" width="9.140625" style="11"/>
    <col min="13569" max="13569" width="21.85546875" style="11" customWidth="1"/>
    <col min="13570" max="13570" width="31" style="11" customWidth="1"/>
    <col min="13571" max="13571" width="9.140625" style="11" customWidth="1"/>
    <col min="13572" max="13572" width="12.85546875" style="11" customWidth="1"/>
    <col min="13573" max="13573" width="10.85546875" style="11" customWidth="1"/>
    <col min="13574" max="13574" width="12.140625" style="11" customWidth="1"/>
    <col min="13575" max="13575" width="13.7109375" style="11" customWidth="1"/>
    <col min="13576" max="13577" width="13.28515625" style="11" customWidth="1"/>
    <col min="13578" max="13578" width="12.85546875" style="11" customWidth="1"/>
    <col min="13579" max="13579" width="16" style="11" customWidth="1"/>
    <col min="13580" max="13824" width="9.140625" style="11"/>
    <col min="13825" max="13825" width="21.85546875" style="11" customWidth="1"/>
    <col min="13826" max="13826" width="31" style="11" customWidth="1"/>
    <col min="13827" max="13827" width="9.140625" style="11" customWidth="1"/>
    <col min="13828" max="13828" width="12.85546875" style="11" customWidth="1"/>
    <col min="13829" max="13829" width="10.85546875" style="11" customWidth="1"/>
    <col min="13830" max="13830" width="12.140625" style="11" customWidth="1"/>
    <col min="13831" max="13831" width="13.7109375" style="11" customWidth="1"/>
    <col min="13832" max="13833" width="13.28515625" style="11" customWidth="1"/>
    <col min="13834" max="13834" width="12.85546875" style="11" customWidth="1"/>
    <col min="13835" max="13835" width="16" style="11" customWidth="1"/>
    <col min="13836" max="14080" width="9.140625" style="11"/>
    <col min="14081" max="14081" width="21.85546875" style="11" customWidth="1"/>
    <col min="14082" max="14082" width="31" style="11" customWidth="1"/>
    <col min="14083" max="14083" width="9.140625" style="11" customWidth="1"/>
    <col min="14084" max="14084" width="12.85546875" style="11" customWidth="1"/>
    <col min="14085" max="14085" width="10.85546875" style="11" customWidth="1"/>
    <col min="14086" max="14086" width="12.140625" style="11" customWidth="1"/>
    <col min="14087" max="14087" width="13.7109375" style="11" customWidth="1"/>
    <col min="14088" max="14089" width="13.28515625" style="11" customWidth="1"/>
    <col min="14090" max="14090" width="12.85546875" style="11" customWidth="1"/>
    <col min="14091" max="14091" width="16" style="11" customWidth="1"/>
    <col min="14092" max="14336" width="9.140625" style="11"/>
    <col min="14337" max="14337" width="21.85546875" style="11" customWidth="1"/>
    <col min="14338" max="14338" width="31" style="11" customWidth="1"/>
    <col min="14339" max="14339" width="9.140625" style="11" customWidth="1"/>
    <col min="14340" max="14340" width="12.85546875" style="11" customWidth="1"/>
    <col min="14341" max="14341" width="10.85546875" style="11" customWidth="1"/>
    <col min="14342" max="14342" width="12.140625" style="11" customWidth="1"/>
    <col min="14343" max="14343" width="13.7109375" style="11" customWidth="1"/>
    <col min="14344" max="14345" width="13.28515625" style="11" customWidth="1"/>
    <col min="14346" max="14346" width="12.85546875" style="11" customWidth="1"/>
    <col min="14347" max="14347" width="16" style="11" customWidth="1"/>
    <col min="14348" max="14592" width="9.140625" style="11"/>
    <col min="14593" max="14593" width="21.85546875" style="11" customWidth="1"/>
    <col min="14594" max="14594" width="31" style="11" customWidth="1"/>
    <col min="14595" max="14595" width="9.140625" style="11" customWidth="1"/>
    <col min="14596" max="14596" width="12.85546875" style="11" customWidth="1"/>
    <col min="14597" max="14597" width="10.85546875" style="11" customWidth="1"/>
    <col min="14598" max="14598" width="12.140625" style="11" customWidth="1"/>
    <col min="14599" max="14599" width="13.7109375" style="11" customWidth="1"/>
    <col min="14600" max="14601" width="13.28515625" style="11" customWidth="1"/>
    <col min="14602" max="14602" width="12.85546875" style="11" customWidth="1"/>
    <col min="14603" max="14603" width="16" style="11" customWidth="1"/>
    <col min="14604" max="14848" width="9.140625" style="11"/>
    <col min="14849" max="14849" width="21.85546875" style="11" customWidth="1"/>
    <col min="14850" max="14850" width="31" style="11" customWidth="1"/>
    <col min="14851" max="14851" width="9.140625" style="11" customWidth="1"/>
    <col min="14852" max="14852" width="12.85546875" style="11" customWidth="1"/>
    <col min="14853" max="14853" width="10.85546875" style="11" customWidth="1"/>
    <col min="14854" max="14854" width="12.140625" style="11" customWidth="1"/>
    <col min="14855" max="14855" width="13.7109375" style="11" customWidth="1"/>
    <col min="14856" max="14857" width="13.28515625" style="11" customWidth="1"/>
    <col min="14858" max="14858" width="12.85546875" style="11" customWidth="1"/>
    <col min="14859" max="14859" width="16" style="11" customWidth="1"/>
    <col min="14860" max="15104" width="9.140625" style="11"/>
    <col min="15105" max="15105" width="21.85546875" style="11" customWidth="1"/>
    <col min="15106" max="15106" width="31" style="11" customWidth="1"/>
    <col min="15107" max="15107" width="9.140625" style="11" customWidth="1"/>
    <col min="15108" max="15108" width="12.85546875" style="11" customWidth="1"/>
    <col min="15109" max="15109" width="10.85546875" style="11" customWidth="1"/>
    <col min="15110" max="15110" width="12.140625" style="11" customWidth="1"/>
    <col min="15111" max="15111" width="13.7109375" style="11" customWidth="1"/>
    <col min="15112" max="15113" width="13.28515625" style="11" customWidth="1"/>
    <col min="15114" max="15114" width="12.85546875" style="11" customWidth="1"/>
    <col min="15115" max="15115" width="16" style="11" customWidth="1"/>
    <col min="15116" max="15360" width="9.140625" style="11"/>
    <col min="15361" max="15361" width="21.85546875" style="11" customWidth="1"/>
    <col min="15362" max="15362" width="31" style="11" customWidth="1"/>
    <col min="15363" max="15363" width="9.140625" style="11" customWidth="1"/>
    <col min="15364" max="15364" width="12.85546875" style="11" customWidth="1"/>
    <col min="15365" max="15365" width="10.85546875" style="11" customWidth="1"/>
    <col min="15366" max="15366" width="12.140625" style="11" customWidth="1"/>
    <col min="15367" max="15367" width="13.7109375" style="11" customWidth="1"/>
    <col min="15368" max="15369" width="13.28515625" style="11" customWidth="1"/>
    <col min="15370" max="15370" width="12.85546875" style="11" customWidth="1"/>
    <col min="15371" max="15371" width="16" style="11" customWidth="1"/>
    <col min="15372" max="15616" width="9.140625" style="11"/>
    <col min="15617" max="15617" width="21.85546875" style="11" customWidth="1"/>
    <col min="15618" max="15618" width="31" style="11" customWidth="1"/>
    <col min="15619" max="15619" width="9.140625" style="11" customWidth="1"/>
    <col min="15620" max="15620" width="12.85546875" style="11" customWidth="1"/>
    <col min="15621" max="15621" width="10.85546875" style="11" customWidth="1"/>
    <col min="15622" max="15622" width="12.140625" style="11" customWidth="1"/>
    <col min="15623" max="15623" width="13.7109375" style="11" customWidth="1"/>
    <col min="15624" max="15625" width="13.28515625" style="11" customWidth="1"/>
    <col min="15626" max="15626" width="12.85546875" style="11" customWidth="1"/>
    <col min="15627" max="15627" width="16" style="11" customWidth="1"/>
    <col min="15628" max="15872" width="9.140625" style="11"/>
    <col min="15873" max="15873" width="21.85546875" style="11" customWidth="1"/>
    <col min="15874" max="15874" width="31" style="11" customWidth="1"/>
    <col min="15875" max="15875" width="9.140625" style="11" customWidth="1"/>
    <col min="15876" max="15876" width="12.85546875" style="11" customWidth="1"/>
    <col min="15877" max="15877" width="10.85546875" style="11" customWidth="1"/>
    <col min="15878" max="15878" width="12.140625" style="11" customWidth="1"/>
    <col min="15879" max="15879" width="13.7109375" style="11" customWidth="1"/>
    <col min="15880" max="15881" width="13.28515625" style="11" customWidth="1"/>
    <col min="15882" max="15882" width="12.85546875" style="11" customWidth="1"/>
    <col min="15883" max="15883" width="16" style="11" customWidth="1"/>
    <col min="15884" max="16128" width="9.140625" style="11"/>
    <col min="16129" max="16129" width="21.85546875" style="11" customWidth="1"/>
    <col min="16130" max="16130" width="31" style="11" customWidth="1"/>
    <col min="16131" max="16131" width="9.140625" style="11" customWidth="1"/>
    <col min="16132" max="16132" width="12.85546875" style="11" customWidth="1"/>
    <col min="16133" max="16133" width="10.85546875" style="11" customWidth="1"/>
    <col min="16134" max="16134" width="12.140625" style="11" customWidth="1"/>
    <col min="16135" max="16135" width="13.7109375" style="11" customWidth="1"/>
    <col min="16136" max="16137" width="13.28515625" style="11" customWidth="1"/>
    <col min="16138" max="16138" width="12.85546875" style="11" customWidth="1"/>
    <col min="16139" max="16139" width="16" style="11" customWidth="1"/>
    <col min="16140" max="16384" width="9.140625" style="11"/>
  </cols>
  <sheetData>
    <row r="1" spans="1:11">
      <c r="J1" s="54" t="s">
        <v>321</v>
      </c>
    </row>
    <row r="2" spans="1:11">
      <c r="J2" s="54" t="s">
        <v>315</v>
      </c>
    </row>
    <row r="3" spans="1:11">
      <c r="J3" s="54" t="s">
        <v>316</v>
      </c>
    </row>
    <row r="4" spans="1:11">
      <c r="J4" s="54" t="s">
        <v>317</v>
      </c>
    </row>
    <row r="5" spans="1:11">
      <c r="J5" s="12"/>
    </row>
    <row r="6" spans="1:11">
      <c r="A6" s="13" t="s">
        <v>57</v>
      </c>
      <c r="B6" s="13"/>
      <c r="C6" s="14" t="str">
        <f>[10]ОПиУ!B8</f>
        <v>Акционерное общество "Самрук-Энерго"</v>
      </c>
      <c r="D6" s="15"/>
      <c r="E6" s="16"/>
      <c r="F6" s="17"/>
      <c r="G6" s="22"/>
      <c r="H6" s="23"/>
      <c r="I6" s="24"/>
      <c r="J6" s="24"/>
    </row>
    <row r="7" spans="1:11">
      <c r="A7" s="18"/>
      <c r="B7" s="19"/>
      <c r="C7" s="19"/>
      <c r="D7" s="19"/>
      <c r="E7" s="20"/>
      <c r="F7" s="21"/>
      <c r="G7" s="22"/>
      <c r="H7" s="23"/>
      <c r="I7" s="24"/>
      <c r="J7" s="24"/>
    </row>
    <row r="8" spans="1:11" ht="15.75">
      <c r="A8" s="551" t="s">
        <v>58</v>
      </c>
      <c r="B8" s="551"/>
      <c r="C8" s="551"/>
      <c r="D8" s="551"/>
      <c r="E8" s="551"/>
      <c r="F8" s="551"/>
      <c r="G8" s="551"/>
      <c r="H8" s="551"/>
      <c r="I8" s="551"/>
      <c r="J8" s="551"/>
    </row>
    <row r="9" spans="1:11" ht="15.75">
      <c r="A9" s="552" t="str">
        <f>ОПиУ!A6</f>
        <v>за период, заканчивающийся 30 сентября 2018 года</v>
      </c>
      <c r="B9" s="552"/>
      <c r="C9" s="552"/>
      <c r="D9" s="552"/>
      <c r="E9" s="552"/>
      <c r="F9" s="552"/>
      <c r="G9" s="552"/>
      <c r="H9" s="552"/>
      <c r="I9" s="552"/>
      <c r="J9" s="552"/>
    </row>
    <row r="10" spans="1:11">
      <c r="A10" s="18"/>
      <c r="B10" s="19"/>
      <c r="C10" s="19"/>
      <c r="D10" s="19"/>
      <c r="E10" s="25"/>
      <c r="F10" s="26"/>
      <c r="G10" s="26"/>
      <c r="H10" s="26"/>
      <c r="I10" s="26"/>
      <c r="J10" s="12" t="s">
        <v>189</v>
      </c>
    </row>
    <row r="11" spans="1:11" ht="15" customHeight="1">
      <c r="A11" s="553" t="s">
        <v>50</v>
      </c>
      <c r="B11" s="554"/>
      <c r="C11" s="557" t="s">
        <v>4</v>
      </c>
      <c r="D11" s="559" t="s">
        <v>59</v>
      </c>
      <c r="E11" s="560"/>
      <c r="F11" s="560"/>
      <c r="G11" s="560"/>
      <c r="H11" s="561"/>
      <c r="I11" s="562" t="s">
        <v>113</v>
      </c>
      <c r="J11" s="562" t="s">
        <v>49</v>
      </c>
    </row>
    <row r="12" spans="1:11" ht="52.5" customHeight="1">
      <c r="A12" s="555"/>
      <c r="B12" s="556"/>
      <c r="C12" s="558"/>
      <c r="D12" s="27" t="s">
        <v>111</v>
      </c>
      <c r="E12" s="27" t="s">
        <v>45</v>
      </c>
      <c r="F12" s="27" t="s">
        <v>47</v>
      </c>
      <c r="G12" s="27" t="s">
        <v>48</v>
      </c>
      <c r="H12" s="27" t="s">
        <v>188</v>
      </c>
      <c r="I12" s="563"/>
      <c r="J12" s="563"/>
    </row>
    <row r="13" spans="1:11" s="61" customFormat="1" ht="15" customHeight="1">
      <c r="A13" s="564" t="s">
        <v>65</v>
      </c>
      <c r="B13" s="564"/>
      <c r="C13" s="64" t="s">
        <v>9</v>
      </c>
      <c r="D13" s="109">
        <v>233946269</v>
      </c>
      <c r="E13" s="109">
        <v>0</v>
      </c>
      <c r="F13" s="109">
        <v>0</v>
      </c>
      <c r="G13" s="109">
        <v>75308815</v>
      </c>
      <c r="H13" s="109">
        <v>72276222</v>
      </c>
      <c r="I13" s="109">
        <v>3021709</v>
      </c>
      <c r="J13" s="110">
        <v>384553015</v>
      </c>
      <c r="K13" s="28"/>
    </row>
    <row r="14" spans="1:11" s="61" customFormat="1" ht="15" customHeight="1">
      <c r="A14" s="564" t="s">
        <v>190</v>
      </c>
      <c r="B14" s="564"/>
      <c r="C14" s="64" t="s">
        <v>10</v>
      </c>
      <c r="D14" s="66"/>
      <c r="E14" s="66"/>
      <c r="F14" s="66"/>
      <c r="G14" s="66"/>
      <c r="H14" s="111"/>
      <c r="I14" s="66"/>
      <c r="J14" s="111">
        <f t="shared" ref="J14:J74" si="0">SUM(D14:I14)</f>
        <v>0</v>
      </c>
      <c r="K14" s="28"/>
    </row>
    <row r="15" spans="1:11" s="61" customFormat="1" ht="15" customHeight="1">
      <c r="A15" s="564" t="s">
        <v>192</v>
      </c>
      <c r="B15" s="564"/>
      <c r="C15" s="64" t="s">
        <v>166</v>
      </c>
      <c r="D15" s="66">
        <f t="shared" ref="D15:I15" si="1">D13+D14</f>
        <v>233946269</v>
      </c>
      <c r="E15" s="66">
        <f t="shared" si="1"/>
        <v>0</v>
      </c>
      <c r="F15" s="66">
        <f t="shared" si="1"/>
        <v>0</v>
      </c>
      <c r="G15" s="66">
        <f t="shared" si="1"/>
        <v>75308815</v>
      </c>
      <c r="H15" s="66">
        <f t="shared" si="1"/>
        <v>72276222</v>
      </c>
      <c r="I15" s="66">
        <f t="shared" si="1"/>
        <v>3021709</v>
      </c>
      <c r="J15" s="111">
        <f t="shared" si="0"/>
        <v>384553015</v>
      </c>
      <c r="K15" s="62"/>
    </row>
    <row r="16" spans="1:11" s="61" customFormat="1" ht="12.75">
      <c r="A16" s="565" t="s">
        <v>193</v>
      </c>
      <c r="B16" s="566"/>
      <c r="C16" s="64" t="s">
        <v>191</v>
      </c>
      <c r="D16" s="66">
        <v>0</v>
      </c>
      <c r="E16" s="66">
        <v>0</v>
      </c>
      <c r="F16" s="66">
        <v>0</v>
      </c>
      <c r="G16" s="66">
        <f>G17+G18</f>
        <v>-152764</v>
      </c>
      <c r="H16" s="66">
        <f>H17+H18</f>
        <v>15946974</v>
      </c>
      <c r="I16" s="66">
        <f>I17+I18</f>
        <v>-2696379</v>
      </c>
      <c r="J16" s="111">
        <f t="shared" si="0"/>
        <v>13097831</v>
      </c>
      <c r="K16" s="62"/>
    </row>
    <row r="17" spans="1:11" s="61" customFormat="1" ht="15" customHeight="1">
      <c r="A17" s="565" t="s">
        <v>195</v>
      </c>
      <c r="B17" s="565"/>
      <c r="C17" s="64" t="s">
        <v>194</v>
      </c>
      <c r="D17" s="66"/>
      <c r="E17" s="66"/>
      <c r="F17" s="66"/>
      <c r="G17" s="66"/>
      <c r="H17" s="66">
        <v>15946974</v>
      </c>
      <c r="I17" s="66">
        <v>-2696379</v>
      </c>
      <c r="J17" s="111">
        <f t="shared" si="0"/>
        <v>13250595</v>
      </c>
      <c r="K17" s="62"/>
    </row>
    <row r="18" spans="1:11" s="61" customFormat="1" ht="15" customHeight="1">
      <c r="A18" s="565" t="s">
        <v>197</v>
      </c>
      <c r="B18" s="566"/>
      <c r="C18" s="64" t="s">
        <v>196</v>
      </c>
      <c r="D18" s="66">
        <f t="shared" ref="D18:I18" si="2">SUM(D20:D28)</f>
        <v>0</v>
      </c>
      <c r="E18" s="66">
        <f t="shared" si="2"/>
        <v>0</v>
      </c>
      <c r="F18" s="66">
        <f t="shared" si="2"/>
        <v>0</v>
      </c>
      <c r="G18" s="66">
        <f t="shared" si="2"/>
        <v>-152764</v>
      </c>
      <c r="H18" s="66">
        <f t="shared" si="2"/>
        <v>0</v>
      </c>
      <c r="I18" s="66">
        <f t="shared" si="2"/>
        <v>0</v>
      </c>
      <c r="J18" s="111">
        <f t="shared" si="0"/>
        <v>-152764</v>
      </c>
      <c r="K18" s="62"/>
    </row>
    <row r="19" spans="1:11" s="61" customFormat="1" ht="12.75">
      <c r="A19" s="565" t="s">
        <v>55</v>
      </c>
      <c r="B19" s="565"/>
      <c r="C19" s="64"/>
      <c r="D19" s="66"/>
      <c r="E19" s="66"/>
      <c r="F19" s="66"/>
      <c r="G19" s="66"/>
      <c r="H19" s="66"/>
      <c r="I19" s="66"/>
      <c r="J19" s="111">
        <f t="shared" si="0"/>
        <v>0</v>
      </c>
      <c r="K19" s="62"/>
    </row>
    <row r="20" spans="1:11" s="61" customFormat="1" ht="26.25" customHeight="1">
      <c r="A20" s="565" t="s">
        <v>201</v>
      </c>
      <c r="B20" s="565"/>
      <c r="C20" s="64" t="s">
        <v>198</v>
      </c>
      <c r="D20" s="66"/>
      <c r="E20" s="66"/>
      <c r="F20" s="111"/>
      <c r="G20" s="66"/>
      <c r="H20" s="66"/>
      <c r="I20" s="66"/>
      <c r="J20" s="111">
        <f t="shared" si="0"/>
        <v>0</v>
      </c>
      <c r="K20" s="62"/>
    </row>
    <row r="21" spans="1:11" s="61" customFormat="1" ht="26.25" customHeight="1">
      <c r="A21" s="565" t="s">
        <v>202</v>
      </c>
      <c r="B21" s="565"/>
      <c r="C21" s="64" t="s">
        <v>199</v>
      </c>
      <c r="D21" s="66"/>
      <c r="E21" s="66"/>
      <c r="F21" s="66"/>
      <c r="G21" s="66"/>
      <c r="H21" s="66"/>
      <c r="I21" s="66"/>
      <c r="J21" s="111">
        <f t="shared" si="0"/>
        <v>0</v>
      </c>
      <c r="K21" s="28"/>
    </row>
    <row r="22" spans="1:11" s="61" customFormat="1" ht="28.5" customHeight="1">
      <c r="A22" s="564" t="s">
        <v>203</v>
      </c>
      <c r="B22" s="564"/>
      <c r="C22" s="64" t="s">
        <v>200</v>
      </c>
      <c r="D22" s="112"/>
      <c r="E22" s="111"/>
      <c r="F22" s="111"/>
      <c r="G22" s="111"/>
      <c r="H22" s="111"/>
      <c r="I22" s="113"/>
      <c r="J22" s="111">
        <f t="shared" si="0"/>
        <v>0</v>
      </c>
      <c r="K22" s="28"/>
    </row>
    <row r="23" spans="1:11" s="61" customFormat="1" ht="43.5" customHeight="1">
      <c r="A23" s="564" t="s">
        <v>211</v>
      </c>
      <c r="B23" s="564"/>
      <c r="C23" s="64" t="s">
        <v>204</v>
      </c>
      <c r="D23" s="66"/>
      <c r="E23" s="66"/>
      <c r="F23" s="66"/>
      <c r="G23" s="66"/>
      <c r="H23" s="66"/>
      <c r="I23" s="66"/>
      <c r="J23" s="111">
        <f t="shared" si="0"/>
        <v>0</v>
      </c>
    </row>
    <row r="24" spans="1:11" s="61" customFormat="1" ht="21" customHeight="1">
      <c r="A24" s="564" t="s">
        <v>212</v>
      </c>
      <c r="B24" s="564"/>
      <c r="C24" s="64" t="s">
        <v>205</v>
      </c>
      <c r="D24" s="66"/>
      <c r="E24" s="66"/>
      <c r="F24" s="66"/>
      <c r="G24" s="66">
        <v>-152764</v>
      </c>
      <c r="H24" s="111"/>
      <c r="I24" s="66"/>
      <c r="J24" s="111">
        <f t="shared" si="0"/>
        <v>-152764</v>
      </c>
    </row>
    <row r="25" spans="1:11" s="61" customFormat="1" ht="30.75" customHeight="1">
      <c r="A25" s="564" t="s">
        <v>213</v>
      </c>
      <c r="B25" s="564"/>
      <c r="C25" s="64" t="s">
        <v>206</v>
      </c>
      <c r="D25" s="66"/>
      <c r="E25" s="66"/>
      <c r="F25" s="66"/>
      <c r="G25" s="66"/>
      <c r="H25" s="66"/>
      <c r="I25" s="66"/>
      <c r="J25" s="111">
        <f t="shared" si="0"/>
        <v>0</v>
      </c>
    </row>
    <row r="26" spans="1:11" s="61" customFormat="1" ht="25.5" customHeight="1">
      <c r="A26" s="565" t="s">
        <v>214</v>
      </c>
      <c r="B26" s="566"/>
      <c r="C26" s="64" t="s">
        <v>207</v>
      </c>
      <c r="D26" s="66"/>
      <c r="E26" s="66"/>
      <c r="F26" s="66"/>
      <c r="G26" s="66"/>
      <c r="H26" s="66"/>
      <c r="I26" s="66"/>
      <c r="J26" s="111">
        <f t="shared" si="0"/>
        <v>0</v>
      </c>
    </row>
    <row r="27" spans="1:11" s="61" customFormat="1" ht="17.25" customHeight="1">
      <c r="A27" s="565" t="s">
        <v>215</v>
      </c>
      <c r="B27" s="565"/>
      <c r="C27" s="64" t="s">
        <v>208</v>
      </c>
      <c r="D27" s="66"/>
      <c r="E27" s="66"/>
      <c r="F27" s="66"/>
      <c r="G27" s="66"/>
      <c r="H27" s="66"/>
      <c r="I27" s="66"/>
      <c r="J27" s="111">
        <f t="shared" si="0"/>
        <v>0</v>
      </c>
    </row>
    <row r="28" spans="1:11" s="61" customFormat="1" ht="15" customHeight="1">
      <c r="A28" s="565" t="s">
        <v>216</v>
      </c>
      <c r="B28" s="566"/>
      <c r="C28" s="64" t="s">
        <v>209</v>
      </c>
      <c r="D28" s="66"/>
      <c r="E28" s="66"/>
      <c r="F28" s="66"/>
      <c r="G28" s="66"/>
      <c r="H28" s="66"/>
      <c r="I28" s="66"/>
      <c r="J28" s="111">
        <f t="shared" si="0"/>
        <v>0</v>
      </c>
    </row>
    <row r="29" spans="1:11" s="61" customFormat="1" ht="18" customHeight="1">
      <c r="A29" s="568" t="s">
        <v>217</v>
      </c>
      <c r="B29" s="568"/>
      <c r="C29" s="64" t="s">
        <v>210</v>
      </c>
      <c r="D29" s="66">
        <f>SUM(D31:D43)</f>
        <v>121418117</v>
      </c>
      <c r="E29" s="66">
        <v>0</v>
      </c>
      <c r="F29" s="66">
        <v>0</v>
      </c>
      <c r="G29" s="66">
        <f>SUM(G31:G43)</f>
        <v>-20162954</v>
      </c>
      <c r="H29" s="66">
        <f>SUM(H31:H43)</f>
        <v>-7669512</v>
      </c>
      <c r="I29" s="66">
        <f>SUM(I31:I43)</f>
        <v>1812954</v>
      </c>
      <c r="J29" s="66">
        <f>SUM(J31:J43)</f>
        <v>95398605</v>
      </c>
    </row>
    <row r="30" spans="1:11" s="61" customFormat="1" ht="15" customHeight="1">
      <c r="A30" s="565" t="s">
        <v>55</v>
      </c>
      <c r="B30" s="565"/>
      <c r="C30" s="64"/>
      <c r="D30" s="66"/>
      <c r="E30" s="66"/>
      <c r="F30" s="111"/>
      <c r="G30" s="66"/>
      <c r="H30" s="66"/>
      <c r="I30" s="66"/>
      <c r="J30" s="111">
        <f t="shared" si="0"/>
        <v>0</v>
      </c>
    </row>
    <row r="31" spans="1:11" s="61" customFormat="1" ht="12.75" customHeight="1">
      <c r="A31" s="565" t="s">
        <v>219</v>
      </c>
      <c r="B31" s="565"/>
      <c r="C31" s="64" t="s">
        <v>218</v>
      </c>
      <c r="D31" s="66"/>
      <c r="E31" s="66"/>
      <c r="F31" s="66"/>
      <c r="G31" s="66"/>
      <c r="H31" s="66"/>
      <c r="I31" s="66"/>
      <c r="J31" s="111">
        <f t="shared" si="0"/>
        <v>0</v>
      </c>
    </row>
    <row r="32" spans="1:11" s="63" customFormat="1" ht="12.75">
      <c r="A32" s="569" t="s">
        <v>55</v>
      </c>
      <c r="B32" s="569"/>
      <c r="C32" s="64"/>
      <c r="D32" s="66"/>
      <c r="E32" s="113"/>
      <c r="F32" s="113"/>
      <c r="G32" s="111"/>
      <c r="H32" s="113"/>
      <c r="I32" s="113"/>
      <c r="J32" s="111">
        <f t="shared" si="0"/>
        <v>0</v>
      </c>
    </row>
    <row r="33" spans="1:12" s="63" customFormat="1" ht="15" customHeight="1">
      <c r="A33" s="570" t="s">
        <v>220</v>
      </c>
      <c r="B33" s="570"/>
      <c r="C33" s="64"/>
      <c r="D33" s="111"/>
      <c r="E33" s="111"/>
      <c r="F33" s="111"/>
      <c r="G33" s="111"/>
      <c r="H33" s="111"/>
      <c r="I33" s="111"/>
      <c r="J33" s="111">
        <f t="shared" si="0"/>
        <v>0</v>
      </c>
    </row>
    <row r="34" spans="1:12" s="63" customFormat="1" ht="13.5" customHeight="1">
      <c r="A34" s="571" t="s">
        <v>221</v>
      </c>
      <c r="B34" s="572"/>
      <c r="C34" s="64"/>
      <c r="D34" s="114"/>
      <c r="E34" s="65"/>
      <c r="F34" s="111"/>
      <c r="G34" s="66"/>
      <c r="H34" s="111"/>
      <c r="I34" s="111"/>
      <c r="J34" s="111">
        <f t="shared" si="0"/>
        <v>0</v>
      </c>
    </row>
    <row r="35" spans="1:12" s="63" customFormat="1" ht="29.25" customHeight="1">
      <c r="A35" s="572" t="s">
        <v>222</v>
      </c>
      <c r="B35" s="572"/>
      <c r="C35" s="64"/>
      <c r="D35" s="65"/>
      <c r="E35" s="111"/>
      <c r="F35" s="115"/>
      <c r="G35" s="116"/>
      <c r="H35" s="111"/>
      <c r="I35" s="111"/>
      <c r="J35" s="111">
        <f t="shared" si="0"/>
        <v>0</v>
      </c>
    </row>
    <row r="36" spans="1:12" s="63" customFormat="1" ht="12.75">
      <c r="A36" s="567" t="s">
        <v>230</v>
      </c>
      <c r="B36" s="567"/>
      <c r="C36" s="64" t="s">
        <v>223</v>
      </c>
      <c r="D36" s="65">
        <v>21418117</v>
      </c>
      <c r="E36" s="111"/>
      <c r="F36" s="66"/>
      <c r="G36" s="114"/>
      <c r="H36" s="111"/>
      <c r="I36" s="111"/>
      <c r="J36" s="111">
        <f t="shared" si="0"/>
        <v>21418117</v>
      </c>
    </row>
    <row r="37" spans="1:12" s="63" customFormat="1" ht="12.75">
      <c r="A37" s="573" t="s">
        <v>231</v>
      </c>
      <c r="B37" s="573"/>
      <c r="C37" s="64" t="s">
        <v>224</v>
      </c>
      <c r="D37" s="65"/>
      <c r="E37" s="111"/>
      <c r="F37" s="111"/>
      <c r="G37" s="114"/>
      <c r="H37" s="111"/>
      <c r="I37" s="111"/>
      <c r="J37" s="111">
        <f t="shared" si="0"/>
        <v>0</v>
      </c>
    </row>
    <row r="38" spans="1:12" s="63" customFormat="1" ht="30" customHeight="1">
      <c r="A38" s="571" t="s">
        <v>232</v>
      </c>
      <c r="B38" s="571"/>
      <c r="C38" s="64" t="s">
        <v>225</v>
      </c>
      <c r="D38" s="111"/>
      <c r="E38" s="111"/>
      <c r="F38" s="111"/>
      <c r="G38" s="111"/>
      <c r="H38" s="111"/>
      <c r="I38" s="111"/>
      <c r="J38" s="111">
        <f t="shared" si="0"/>
        <v>0</v>
      </c>
    </row>
    <row r="39" spans="1:12" s="63" customFormat="1" ht="27.75" customHeight="1">
      <c r="A39" s="571" t="s">
        <v>233</v>
      </c>
      <c r="B39" s="571"/>
      <c r="C39" s="64" t="s">
        <v>226</v>
      </c>
      <c r="D39" s="111"/>
      <c r="E39" s="111"/>
      <c r="F39" s="111"/>
      <c r="G39" s="111"/>
      <c r="H39" s="111"/>
      <c r="I39" s="111"/>
      <c r="J39" s="111">
        <f t="shared" si="0"/>
        <v>0</v>
      </c>
    </row>
    <row r="40" spans="1:12" s="63" customFormat="1" ht="12.75">
      <c r="A40" s="571" t="s">
        <v>234</v>
      </c>
      <c r="B40" s="571"/>
      <c r="C40" s="64" t="s">
        <v>227</v>
      </c>
      <c r="D40" s="111"/>
      <c r="E40" s="111"/>
      <c r="F40" s="111"/>
      <c r="G40" s="111"/>
      <c r="H40" s="111">
        <v>-8170605</v>
      </c>
      <c r="I40" s="111" t="str">
        <f>МСФО!H176</f>
        <v>-</v>
      </c>
      <c r="J40" s="111">
        <f t="shared" si="0"/>
        <v>-8170605</v>
      </c>
    </row>
    <row r="41" spans="1:12" s="63" customFormat="1" ht="16.5" customHeight="1">
      <c r="A41" s="571" t="s">
        <v>236</v>
      </c>
      <c r="B41" s="571"/>
      <c r="C41" s="64" t="s">
        <v>228</v>
      </c>
      <c r="D41" s="111"/>
      <c r="E41" s="111"/>
      <c r="F41" s="111"/>
      <c r="G41" s="111"/>
      <c r="H41" s="111"/>
      <c r="I41" s="111"/>
      <c r="J41" s="111">
        <f t="shared" si="0"/>
        <v>0</v>
      </c>
    </row>
    <row r="42" spans="1:12" s="63" customFormat="1" ht="12.75">
      <c r="A42" s="571" t="s">
        <v>237</v>
      </c>
      <c r="B42" s="571"/>
      <c r="C42" s="64" t="s">
        <v>229</v>
      </c>
      <c r="D42" s="111">
        <v>100000000</v>
      </c>
      <c r="E42" s="111"/>
      <c r="F42" s="111"/>
      <c r="G42" s="111">
        <v>-20162954</v>
      </c>
      <c r="H42" s="111">
        <v>501093</v>
      </c>
      <c r="I42" s="111">
        <v>1812954</v>
      </c>
      <c r="J42" s="111">
        <f t="shared" si="0"/>
        <v>82151093</v>
      </c>
    </row>
    <row r="43" spans="1:12" s="63" customFormat="1" ht="30.75" customHeight="1">
      <c r="A43" s="571" t="s">
        <v>238</v>
      </c>
      <c r="B43" s="571"/>
      <c r="C43" s="64" t="s">
        <v>235</v>
      </c>
      <c r="D43" s="111"/>
      <c r="E43" s="111"/>
      <c r="F43" s="111"/>
      <c r="G43" s="111"/>
      <c r="H43" s="111"/>
      <c r="I43" s="111"/>
      <c r="J43" s="111">
        <f t="shared" si="0"/>
        <v>0</v>
      </c>
    </row>
    <row r="44" spans="1:12" s="63" customFormat="1" ht="25.5" customHeight="1">
      <c r="A44" s="571" t="s">
        <v>241</v>
      </c>
      <c r="B44" s="571"/>
      <c r="C44" s="64" t="s">
        <v>239</v>
      </c>
      <c r="D44" s="110">
        <f t="shared" ref="D44:H44" si="3">D15+D16+D29</f>
        <v>355364386</v>
      </c>
      <c r="E44" s="110">
        <f t="shared" si="3"/>
        <v>0</v>
      </c>
      <c r="F44" s="110">
        <f t="shared" si="3"/>
        <v>0</v>
      </c>
      <c r="G44" s="110">
        <f t="shared" si="3"/>
        <v>54993097</v>
      </c>
      <c r="H44" s="110">
        <f t="shared" si="3"/>
        <v>80553684</v>
      </c>
      <c r="I44" s="110">
        <f>I15+I16+I29</f>
        <v>2138284</v>
      </c>
      <c r="J44" s="110">
        <f t="shared" si="0"/>
        <v>493049451</v>
      </c>
      <c r="K44" s="172"/>
    </row>
    <row r="45" spans="1:12" s="63" customFormat="1" ht="12.75">
      <c r="A45" s="570" t="s">
        <v>242</v>
      </c>
      <c r="B45" s="570"/>
      <c r="C45" s="64" t="s">
        <v>240</v>
      </c>
      <c r="D45" s="60"/>
      <c r="E45" s="60"/>
      <c r="F45" s="60"/>
      <c r="G45" s="60"/>
      <c r="H45" s="60"/>
      <c r="I45" s="60"/>
      <c r="J45" s="60">
        <f t="shared" si="0"/>
        <v>0</v>
      </c>
    </row>
    <row r="46" spans="1:12" s="63" customFormat="1" ht="12.75">
      <c r="A46" s="570" t="s">
        <v>244</v>
      </c>
      <c r="B46" s="570"/>
      <c r="C46" s="64" t="s">
        <v>243</v>
      </c>
      <c r="D46" s="110">
        <f t="shared" ref="D46:J46" si="4">D44</f>
        <v>355364386</v>
      </c>
      <c r="E46" s="110">
        <f t="shared" si="4"/>
        <v>0</v>
      </c>
      <c r="F46" s="110">
        <f t="shared" si="4"/>
        <v>0</v>
      </c>
      <c r="G46" s="110">
        <f t="shared" si="4"/>
        <v>54993097</v>
      </c>
      <c r="H46" s="110">
        <f t="shared" si="4"/>
        <v>80553684</v>
      </c>
      <c r="I46" s="110">
        <f t="shared" si="4"/>
        <v>2138284</v>
      </c>
      <c r="J46" s="110">
        <f t="shared" si="4"/>
        <v>493049451</v>
      </c>
      <c r="K46" s="296"/>
      <c r="L46" s="172"/>
    </row>
    <row r="47" spans="1:12" s="63" customFormat="1" ht="13.5" customHeight="1">
      <c r="A47" s="571" t="s">
        <v>257</v>
      </c>
      <c r="B47" s="571"/>
      <c r="C47" s="64" t="s">
        <v>245</v>
      </c>
      <c r="D47" s="111">
        <f t="shared" ref="D47:G47" si="5">D48+D49</f>
        <v>0</v>
      </c>
      <c r="E47" s="111">
        <f t="shared" si="5"/>
        <v>0</v>
      </c>
      <c r="F47" s="111">
        <f t="shared" si="5"/>
        <v>0</v>
      </c>
      <c r="G47" s="111">
        <f t="shared" si="5"/>
        <v>-34858</v>
      </c>
      <c r="H47" s="111">
        <f>H48+H49</f>
        <v>10044714</v>
      </c>
      <c r="I47" s="111">
        <v>291802</v>
      </c>
      <c r="J47" s="111">
        <f t="shared" si="0"/>
        <v>10301658</v>
      </c>
    </row>
    <row r="48" spans="1:12" s="63" customFormat="1" ht="12.75">
      <c r="A48" s="571" t="s">
        <v>195</v>
      </c>
      <c r="B48" s="571"/>
      <c r="C48" s="64" t="s">
        <v>246</v>
      </c>
      <c r="D48" s="117"/>
      <c r="E48" s="111"/>
      <c r="F48" s="111"/>
      <c r="G48" s="111"/>
      <c r="H48" s="111">
        <f>ОПиУ!C29</f>
        <v>10044714</v>
      </c>
      <c r="I48" s="111">
        <f>ОПиУ!C47</f>
        <v>175108</v>
      </c>
      <c r="J48" s="111">
        <f t="shared" si="0"/>
        <v>10219822</v>
      </c>
    </row>
    <row r="49" spans="1:10" s="63" customFormat="1" ht="15" customHeight="1">
      <c r="A49" s="571" t="s">
        <v>258</v>
      </c>
      <c r="B49" s="571"/>
      <c r="C49" s="64" t="s">
        <v>247</v>
      </c>
      <c r="D49" s="111">
        <f t="shared" ref="D49:F49" si="6">SUM(D51:D59)</f>
        <v>0</v>
      </c>
      <c r="E49" s="111">
        <f t="shared" si="6"/>
        <v>0</v>
      </c>
      <c r="F49" s="111">
        <f t="shared" si="6"/>
        <v>0</v>
      </c>
      <c r="G49" s="111">
        <f>SUM(G51:G59)</f>
        <v>-34858</v>
      </c>
      <c r="H49" s="111">
        <f t="shared" ref="H49:I49" si="7">SUM(H51:H59)</f>
        <v>0</v>
      </c>
      <c r="I49" s="111">
        <f t="shared" si="7"/>
        <v>0</v>
      </c>
      <c r="J49" s="111">
        <f t="shared" si="0"/>
        <v>-34858</v>
      </c>
    </row>
    <row r="50" spans="1:10" s="63" customFormat="1" ht="12.75">
      <c r="A50" s="571" t="s">
        <v>55</v>
      </c>
      <c r="B50" s="571"/>
      <c r="C50" s="64"/>
      <c r="D50" s="111"/>
      <c r="E50" s="111"/>
      <c r="F50" s="111"/>
      <c r="G50" s="111"/>
      <c r="H50" s="111"/>
      <c r="I50" s="111"/>
      <c r="J50" s="111">
        <f t="shared" si="0"/>
        <v>0</v>
      </c>
    </row>
    <row r="51" spans="1:10" s="63" customFormat="1" ht="29.25" customHeight="1">
      <c r="A51" s="571" t="s">
        <v>201</v>
      </c>
      <c r="B51" s="571"/>
      <c r="C51" s="64" t="s">
        <v>248</v>
      </c>
      <c r="D51" s="111"/>
      <c r="E51" s="111"/>
      <c r="F51" s="111"/>
      <c r="G51" s="111"/>
      <c r="H51" s="111"/>
      <c r="I51" s="111"/>
      <c r="J51" s="111">
        <f t="shared" si="0"/>
        <v>0</v>
      </c>
    </row>
    <row r="52" spans="1:10" s="63" customFormat="1" ht="30.75" customHeight="1">
      <c r="A52" s="571" t="s">
        <v>202</v>
      </c>
      <c r="B52" s="571"/>
      <c r="C52" s="64" t="s">
        <v>249</v>
      </c>
      <c r="D52" s="111"/>
      <c r="E52" s="111"/>
      <c r="F52" s="111"/>
      <c r="G52" s="111"/>
      <c r="H52" s="111"/>
      <c r="I52" s="111"/>
      <c r="J52" s="111">
        <f t="shared" si="0"/>
        <v>0</v>
      </c>
    </row>
    <row r="53" spans="1:10" s="63" customFormat="1" ht="27" customHeight="1">
      <c r="A53" s="571" t="s">
        <v>203</v>
      </c>
      <c r="B53" s="571"/>
      <c r="C53" s="64" t="s">
        <v>250</v>
      </c>
      <c r="D53" s="111"/>
      <c r="E53" s="111"/>
      <c r="F53" s="111"/>
      <c r="G53" s="111"/>
      <c r="H53" s="111"/>
      <c r="I53" s="111"/>
      <c r="J53" s="111">
        <f t="shared" si="0"/>
        <v>0</v>
      </c>
    </row>
    <row r="54" spans="1:10" s="63" customFormat="1" ht="38.25" customHeight="1">
      <c r="A54" s="571" t="s">
        <v>211</v>
      </c>
      <c r="B54" s="571"/>
      <c r="C54" s="64" t="s">
        <v>251</v>
      </c>
      <c r="D54" s="111"/>
      <c r="E54" s="111"/>
      <c r="F54" s="111"/>
      <c r="G54" s="111"/>
      <c r="H54" s="111"/>
      <c r="I54" s="111"/>
      <c r="J54" s="111">
        <f t="shared" si="0"/>
        <v>0</v>
      </c>
    </row>
    <row r="55" spans="1:10" s="63" customFormat="1" ht="14.25" customHeight="1">
      <c r="A55" s="571" t="s">
        <v>212</v>
      </c>
      <c r="B55" s="571"/>
      <c r="C55" s="64" t="s">
        <v>252</v>
      </c>
      <c r="D55" s="111"/>
      <c r="E55" s="111"/>
      <c r="F55" s="111"/>
      <c r="G55" s="111">
        <v>-34858</v>
      </c>
      <c r="H55" s="111"/>
      <c r="I55" s="111"/>
      <c r="J55" s="111">
        <f t="shared" si="0"/>
        <v>-34858</v>
      </c>
    </row>
    <row r="56" spans="1:10" s="63" customFormat="1" ht="25.5" customHeight="1">
      <c r="A56" s="571" t="s">
        <v>259</v>
      </c>
      <c r="B56" s="571"/>
      <c r="C56" s="64" t="s">
        <v>253</v>
      </c>
      <c r="D56" s="111"/>
      <c r="E56" s="111"/>
      <c r="F56" s="111"/>
      <c r="G56" s="111"/>
      <c r="H56" s="111"/>
      <c r="I56" s="111"/>
      <c r="J56" s="111">
        <f t="shared" si="0"/>
        <v>0</v>
      </c>
    </row>
    <row r="57" spans="1:10" s="63" customFormat="1" ht="30.75" customHeight="1">
      <c r="A57" s="571" t="s">
        <v>214</v>
      </c>
      <c r="B57" s="571"/>
      <c r="C57" s="64" t="s">
        <v>254</v>
      </c>
      <c r="D57" s="111"/>
      <c r="E57" s="111"/>
      <c r="F57" s="111"/>
      <c r="G57" s="111"/>
      <c r="H57" s="111"/>
      <c r="I57" s="111"/>
      <c r="J57" s="111">
        <f t="shared" si="0"/>
        <v>0</v>
      </c>
    </row>
    <row r="58" spans="1:10" s="63" customFormat="1" ht="15" customHeight="1">
      <c r="A58" s="571" t="s">
        <v>215</v>
      </c>
      <c r="B58" s="571"/>
      <c r="C58" s="64" t="s">
        <v>255</v>
      </c>
      <c r="D58" s="111"/>
      <c r="E58" s="111"/>
      <c r="F58" s="111"/>
      <c r="G58" s="111"/>
      <c r="H58" s="111"/>
      <c r="I58" s="111"/>
      <c r="J58" s="111">
        <f t="shared" si="0"/>
        <v>0</v>
      </c>
    </row>
    <row r="59" spans="1:10" s="63" customFormat="1" ht="12.75">
      <c r="A59" s="571" t="s">
        <v>216</v>
      </c>
      <c r="B59" s="571"/>
      <c r="C59" s="64" t="s">
        <v>256</v>
      </c>
      <c r="D59" s="111"/>
      <c r="E59" s="111"/>
      <c r="F59" s="111"/>
      <c r="G59" s="111"/>
      <c r="H59" s="111"/>
      <c r="I59" s="111"/>
      <c r="J59" s="111">
        <f t="shared" si="0"/>
        <v>0</v>
      </c>
    </row>
    <row r="60" spans="1:10" s="63" customFormat="1" ht="12.75">
      <c r="A60" s="571" t="s">
        <v>261</v>
      </c>
      <c r="B60" s="571"/>
      <c r="C60" s="64" t="s">
        <v>260</v>
      </c>
      <c r="D60" s="111">
        <f>SUM(D61:D74)</f>
        <v>0</v>
      </c>
      <c r="E60" s="111">
        <f t="shared" ref="E60:I60" si="8">SUM(E61:E74)</f>
        <v>0</v>
      </c>
      <c r="F60" s="111">
        <f t="shared" si="8"/>
        <v>0</v>
      </c>
      <c r="G60" s="111">
        <f t="shared" si="8"/>
        <v>0</v>
      </c>
      <c r="H60" s="111">
        <f t="shared" si="8"/>
        <v>-4781073</v>
      </c>
      <c r="I60" s="111">
        <f t="shared" si="8"/>
        <v>0</v>
      </c>
      <c r="J60" s="111">
        <f t="shared" si="0"/>
        <v>-4781073</v>
      </c>
    </row>
    <row r="61" spans="1:10" s="63" customFormat="1" ht="12.75">
      <c r="A61" s="571" t="s">
        <v>55</v>
      </c>
      <c r="B61" s="571"/>
      <c r="C61" s="64"/>
      <c r="D61" s="111"/>
      <c r="E61" s="111"/>
      <c r="F61" s="111"/>
      <c r="G61" s="111"/>
      <c r="H61" s="111"/>
      <c r="I61" s="111"/>
      <c r="J61" s="111">
        <f t="shared" si="0"/>
        <v>0</v>
      </c>
    </row>
    <row r="62" spans="1:10" s="63" customFormat="1" ht="12.75">
      <c r="A62" s="570" t="s">
        <v>263</v>
      </c>
      <c r="B62" s="570"/>
      <c r="C62" s="64" t="s">
        <v>262</v>
      </c>
      <c r="D62" s="111"/>
      <c r="E62" s="111"/>
      <c r="F62" s="111"/>
      <c r="G62" s="111"/>
      <c r="H62" s="111"/>
      <c r="I62" s="111"/>
      <c r="J62" s="111">
        <f t="shared" si="0"/>
        <v>0</v>
      </c>
    </row>
    <row r="63" spans="1:10" s="63" customFormat="1" ht="12.75">
      <c r="A63" s="570" t="s">
        <v>55</v>
      </c>
      <c r="B63" s="570"/>
      <c r="C63" s="64"/>
      <c r="D63" s="111"/>
      <c r="E63" s="111"/>
      <c r="F63" s="111"/>
      <c r="G63" s="111"/>
      <c r="H63" s="111"/>
      <c r="I63" s="111"/>
      <c r="J63" s="111">
        <f t="shared" si="0"/>
        <v>0</v>
      </c>
    </row>
    <row r="64" spans="1:10" s="63" customFormat="1" ht="12.75">
      <c r="A64" s="570" t="s">
        <v>220</v>
      </c>
      <c r="B64" s="570"/>
      <c r="C64" s="64"/>
      <c r="D64" s="111"/>
      <c r="E64" s="111"/>
      <c r="F64" s="111"/>
      <c r="G64" s="111"/>
      <c r="H64" s="111"/>
      <c r="I64" s="111"/>
      <c r="J64" s="111">
        <f t="shared" si="0"/>
        <v>0</v>
      </c>
    </row>
    <row r="65" spans="1:12" s="63" customFormat="1" ht="12.75">
      <c r="A65" s="571" t="s">
        <v>221</v>
      </c>
      <c r="B65" s="571"/>
      <c r="C65" s="64"/>
      <c r="D65" s="111"/>
      <c r="E65" s="111"/>
      <c r="F65" s="111"/>
      <c r="G65" s="111"/>
      <c r="H65" s="111"/>
      <c r="I65" s="111"/>
      <c r="J65" s="111">
        <f t="shared" si="0"/>
        <v>0</v>
      </c>
    </row>
    <row r="66" spans="1:12" s="63" customFormat="1" ht="27.75" customHeight="1">
      <c r="A66" s="571" t="s">
        <v>222</v>
      </c>
      <c r="B66" s="571"/>
      <c r="C66" s="64"/>
      <c r="D66" s="111"/>
      <c r="E66" s="111"/>
      <c r="F66" s="111"/>
      <c r="G66" s="111"/>
      <c r="H66" s="111"/>
      <c r="I66" s="111"/>
      <c r="J66" s="111">
        <f t="shared" si="0"/>
        <v>0</v>
      </c>
    </row>
    <row r="67" spans="1:12" s="63" customFormat="1" ht="12.75">
      <c r="A67" s="570" t="s">
        <v>230</v>
      </c>
      <c r="B67" s="570"/>
      <c r="C67" s="64" t="s">
        <v>264</v>
      </c>
      <c r="D67" s="111"/>
      <c r="E67" s="111"/>
      <c r="F67" s="111"/>
      <c r="G67" s="111"/>
      <c r="H67" s="111"/>
      <c r="I67" s="111"/>
      <c r="J67" s="111">
        <f t="shared" si="0"/>
        <v>0</v>
      </c>
    </row>
    <row r="68" spans="1:12" s="63" customFormat="1" ht="12.75">
      <c r="A68" s="571" t="s">
        <v>231</v>
      </c>
      <c r="B68" s="571"/>
      <c r="C68" s="64" t="s">
        <v>265</v>
      </c>
      <c r="D68" s="111"/>
      <c r="E68" s="111"/>
      <c r="F68" s="111"/>
      <c r="G68" s="111"/>
      <c r="H68" s="111"/>
      <c r="I68" s="111"/>
      <c r="J68" s="111">
        <f t="shared" si="0"/>
        <v>0</v>
      </c>
    </row>
    <row r="69" spans="1:12" s="63" customFormat="1" ht="29.25" customHeight="1">
      <c r="A69" s="571" t="s">
        <v>272</v>
      </c>
      <c r="B69" s="571"/>
      <c r="C69" s="64" t="s">
        <v>266</v>
      </c>
      <c r="D69" s="111"/>
      <c r="E69" s="111"/>
      <c r="F69" s="111"/>
      <c r="G69" s="111"/>
      <c r="H69" s="111"/>
      <c r="I69" s="111"/>
      <c r="J69" s="111">
        <f t="shared" si="0"/>
        <v>0</v>
      </c>
    </row>
    <row r="70" spans="1:12" s="63" customFormat="1" ht="26.25" customHeight="1">
      <c r="A70" s="571" t="s">
        <v>233</v>
      </c>
      <c r="B70" s="571"/>
      <c r="C70" s="64" t="s">
        <v>267</v>
      </c>
      <c r="D70" s="111"/>
      <c r="E70" s="111"/>
      <c r="F70" s="111"/>
      <c r="G70" s="111"/>
      <c r="H70" s="111"/>
      <c r="I70" s="111"/>
      <c r="J70" s="111">
        <f t="shared" si="0"/>
        <v>0</v>
      </c>
    </row>
    <row r="71" spans="1:12" s="63" customFormat="1" ht="12.75">
      <c r="A71" s="571" t="s">
        <v>234</v>
      </c>
      <c r="B71" s="571"/>
      <c r="C71" s="64" t="s">
        <v>268</v>
      </c>
      <c r="D71" s="111"/>
      <c r="E71" s="111"/>
      <c r="F71" s="111"/>
      <c r="G71" s="111"/>
      <c r="H71" s="111">
        <v>-4781073</v>
      </c>
      <c r="I71" s="111"/>
      <c r="J71" s="111">
        <f t="shared" si="0"/>
        <v>-4781073</v>
      </c>
    </row>
    <row r="72" spans="1:12" s="63" customFormat="1" ht="12.75">
      <c r="A72" s="571" t="s">
        <v>236</v>
      </c>
      <c r="B72" s="571"/>
      <c r="C72" s="64" t="s">
        <v>269</v>
      </c>
      <c r="D72" s="111"/>
      <c r="E72" s="111"/>
      <c r="F72" s="111"/>
      <c r="G72" s="111"/>
      <c r="H72" s="111"/>
      <c r="I72" s="111"/>
      <c r="J72" s="111">
        <f t="shared" si="0"/>
        <v>0</v>
      </c>
    </row>
    <row r="73" spans="1:12" s="63" customFormat="1" ht="12.75">
      <c r="A73" s="571" t="s">
        <v>237</v>
      </c>
      <c r="B73" s="571"/>
      <c r="C73" s="64" t="s">
        <v>270</v>
      </c>
      <c r="D73" s="111"/>
      <c r="E73" s="111"/>
      <c r="F73" s="111"/>
      <c r="G73" s="111"/>
      <c r="H73" s="111"/>
      <c r="I73" s="111"/>
      <c r="J73" s="111">
        <f t="shared" si="0"/>
        <v>0</v>
      </c>
    </row>
    <row r="74" spans="1:12" s="63" customFormat="1" ht="29.25" customHeight="1">
      <c r="A74" s="571" t="s">
        <v>238</v>
      </c>
      <c r="B74" s="571"/>
      <c r="C74" s="64" t="s">
        <v>271</v>
      </c>
      <c r="D74" s="111"/>
      <c r="E74" s="111"/>
      <c r="F74" s="111"/>
      <c r="G74" s="111"/>
      <c r="H74" s="111"/>
      <c r="I74" s="111"/>
      <c r="J74" s="111">
        <f t="shared" si="0"/>
        <v>0</v>
      </c>
    </row>
    <row r="75" spans="1:12" s="63" customFormat="1" ht="30" customHeight="1">
      <c r="A75" s="571" t="s">
        <v>274</v>
      </c>
      <c r="B75" s="571"/>
      <c r="C75" s="64" t="s">
        <v>273</v>
      </c>
      <c r="D75" s="110">
        <f t="shared" ref="D75:J75" si="9">D46+D47+D60</f>
        <v>355364386</v>
      </c>
      <c r="E75" s="110">
        <f t="shared" si="9"/>
        <v>0</v>
      </c>
      <c r="F75" s="110">
        <f t="shared" si="9"/>
        <v>0</v>
      </c>
      <c r="G75" s="110">
        <f t="shared" si="9"/>
        <v>54958239</v>
      </c>
      <c r="H75" s="110">
        <f t="shared" si="9"/>
        <v>85817325</v>
      </c>
      <c r="I75" s="110">
        <f t="shared" si="9"/>
        <v>2430086</v>
      </c>
      <c r="J75" s="110">
        <f t="shared" si="9"/>
        <v>498570036</v>
      </c>
      <c r="K75" s="172"/>
      <c r="L75" s="172"/>
    </row>
    <row r="76" spans="1:12">
      <c r="H76" s="504"/>
    </row>
    <row r="77" spans="1:12" ht="30" customHeight="1">
      <c r="A77" s="574" t="s">
        <v>379</v>
      </c>
      <c r="B77" s="574"/>
      <c r="C77" s="575" t="str">
        <f>ОПиУ!C58</f>
        <v>Алиев Е.Ж.</v>
      </c>
      <c r="D77" s="575"/>
      <c r="G77" s="93"/>
      <c r="H77" s="93"/>
    </row>
    <row r="78" spans="1:12">
      <c r="A78" s="1"/>
      <c r="B78" s="1"/>
      <c r="C78" s="578" t="s">
        <v>371</v>
      </c>
      <c r="D78" s="578"/>
      <c r="G78" s="576" t="s">
        <v>311</v>
      </c>
      <c r="H78" s="576"/>
    </row>
    <row r="79" spans="1:12">
      <c r="A79" s="42"/>
      <c r="B79" s="1"/>
      <c r="C79" s="1"/>
      <c r="D79" s="53"/>
      <c r="E79" s="53"/>
      <c r="F79" s="97"/>
      <c r="G79" s="24"/>
    </row>
    <row r="80" spans="1:12" ht="24" customHeight="1">
      <c r="A80" s="577" t="s">
        <v>380</v>
      </c>
      <c r="B80" s="577"/>
      <c r="C80" s="575" t="s">
        <v>372</v>
      </c>
      <c r="D80" s="575"/>
      <c r="G80" s="93"/>
      <c r="H80" s="93"/>
    </row>
    <row r="81" spans="1:8">
      <c r="A81" s="42"/>
      <c r="B81" s="1"/>
      <c r="C81" s="578" t="s">
        <v>371</v>
      </c>
      <c r="D81" s="578"/>
      <c r="G81" s="576" t="s">
        <v>311</v>
      </c>
      <c r="H81" s="576"/>
    </row>
    <row r="82" spans="1:8">
      <c r="A82" s="42"/>
      <c r="B82" s="1"/>
      <c r="C82" s="1"/>
      <c r="D82" s="100"/>
      <c r="E82" s="98"/>
      <c r="F82" s="98"/>
      <c r="G82" s="24"/>
    </row>
  </sheetData>
  <mergeCells count="78">
    <mergeCell ref="G78:H78"/>
    <mergeCell ref="G81:H81"/>
    <mergeCell ref="A77:B77"/>
    <mergeCell ref="C77:D77"/>
    <mergeCell ref="C80:D80"/>
    <mergeCell ref="C81:D81"/>
    <mergeCell ref="A80:B80"/>
    <mergeCell ref="C78:D78"/>
    <mergeCell ref="A73:B73"/>
    <mergeCell ref="A74:B74"/>
    <mergeCell ref="A75:B75"/>
    <mergeCell ref="A69:B69"/>
    <mergeCell ref="A70:B70"/>
    <mergeCell ref="A71:B71"/>
    <mergeCell ref="A72:B72"/>
    <mergeCell ref="A66:B66"/>
    <mergeCell ref="A68:B68"/>
    <mergeCell ref="A67:B67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  <mergeCell ref="A65:B65"/>
    <mergeCell ref="A59:B59"/>
    <mergeCell ref="A44:B44"/>
    <mergeCell ref="A45:B45"/>
    <mergeCell ref="A46:B46"/>
    <mergeCell ref="A47:B47"/>
    <mergeCell ref="A48:B48"/>
    <mergeCell ref="A49:B49"/>
    <mergeCell ref="A50:B50"/>
    <mergeCell ref="A51:B51"/>
    <mergeCell ref="A43:B43"/>
    <mergeCell ref="A36:B36"/>
    <mergeCell ref="A37:B37"/>
    <mergeCell ref="A38:B38"/>
    <mergeCell ref="A39:B39"/>
    <mergeCell ref="A40:B40"/>
    <mergeCell ref="A13:B13"/>
    <mergeCell ref="A27:B27"/>
    <mergeCell ref="A28:B28"/>
    <mergeCell ref="A11:B12"/>
    <mergeCell ref="C11:C12"/>
    <mergeCell ref="A19:B19"/>
    <mergeCell ref="A14:B14"/>
    <mergeCell ref="A15:B15"/>
    <mergeCell ref="A16:B16"/>
    <mergeCell ref="A17:B17"/>
    <mergeCell ref="A18:B18"/>
    <mergeCell ref="A25:B25"/>
    <mergeCell ref="A26:B26"/>
    <mergeCell ref="A8:J8"/>
    <mergeCell ref="A9:J9"/>
    <mergeCell ref="D11:H11"/>
    <mergeCell ref="I11:I12"/>
    <mergeCell ref="J11:J12"/>
    <mergeCell ref="A32:B32"/>
    <mergeCell ref="A20:B20"/>
    <mergeCell ref="A21:B21"/>
    <mergeCell ref="A23:B23"/>
    <mergeCell ref="A24:B24"/>
    <mergeCell ref="A22:B22"/>
    <mergeCell ref="A29:B29"/>
    <mergeCell ref="A30:B30"/>
    <mergeCell ref="A31:B31"/>
    <mergeCell ref="A33:B33"/>
    <mergeCell ref="A34:B34"/>
    <mergeCell ref="A35:B35"/>
    <mergeCell ref="A41:B41"/>
    <mergeCell ref="A42:B42"/>
  </mergeCells>
  <phoneticPr fontId="23" type="noConversion"/>
  <conditionalFormatting sqref="F22 D22 E32:F32">
    <cfRule type="cellIs" dxfId="65" priority="3" stopIfTrue="1" operator="notEqual">
      <formula>0</formula>
    </cfRule>
  </conditionalFormatting>
  <conditionalFormatting sqref="D22 I22 E32:F32 H32:I32">
    <cfRule type="cellIs" dxfId="64" priority="1" stopIfTrue="1" operator="notEqual">
      <formula>0</formula>
    </cfRule>
  </conditionalFormatting>
  <hyperlinks>
    <hyperlink ref="J2" r:id="rId1" display="jl:30820085.0 "/>
  </hyperlinks>
  <pageMargins left="0.47244094488188981" right="0.15748031496062992" top="0.27559055118110237" bottom="0.55118110236220474" header="0.15748031496062992" footer="0.31496062992125984"/>
  <pageSetup paperSize="9" scale="35" orientation="landscape" r:id="rId2"/>
  <headerFooter alignWithMargins="0"/>
  <customProperties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"/>
  <sheetViews>
    <sheetView zoomScaleNormal="100" workbookViewId="0"/>
  </sheetViews>
  <sheetFormatPr defaultRowHeight="12.75"/>
  <cols>
    <col min="1" max="1" width="59.85546875" style="44" customWidth="1"/>
    <col min="2" max="2" width="15.5703125" style="44" customWidth="1"/>
    <col min="3" max="3" width="27" style="107" customWidth="1"/>
    <col min="4" max="4" width="23" style="107" customWidth="1"/>
    <col min="5" max="5" width="9.140625" style="44"/>
    <col min="6" max="6" width="10.140625" style="44" bestFit="1" customWidth="1"/>
    <col min="7" max="7" width="9.140625" style="44"/>
    <col min="8" max="8" width="9.28515625" style="44" bestFit="1" customWidth="1"/>
    <col min="9" max="9" width="11.42578125" style="44" bestFit="1" customWidth="1"/>
    <col min="10" max="16384" width="9.140625" style="44"/>
  </cols>
  <sheetData>
    <row r="1" spans="1:4">
      <c r="D1" s="54" t="s">
        <v>320</v>
      </c>
    </row>
    <row r="2" spans="1:4">
      <c r="D2" s="55" t="s">
        <v>315</v>
      </c>
    </row>
    <row r="3" spans="1:4">
      <c r="D3" s="54" t="s">
        <v>316</v>
      </c>
    </row>
    <row r="4" spans="1:4">
      <c r="D4" s="54" t="s">
        <v>317</v>
      </c>
    </row>
    <row r="6" spans="1:4">
      <c r="A6" s="44" t="s">
        <v>57</v>
      </c>
      <c r="B6" s="87" t="str">
        <f>ББ!B8</f>
        <v>Акционерное общество "Самрук-Энерго"</v>
      </c>
      <c r="C6" s="118"/>
      <c r="D6" s="118"/>
    </row>
    <row r="8" spans="1:4">
      <c r="A8" s="579" t="s">
        <v>66</v>
      </c>
      <c r="B8" s="579"/>
      <c r="C8" s="579"/>
      <c r="D8" s="579"/>
    </row>
    <row r="9" spans="1:4">
      <c r="A9" s="579" t="s">
        <v>596</v>
      </c>
      <c r="B9" s="579"/>
      <c r="C9" s="579"/>
      <c r="D9" s="579"/>
    </row>
    <row r="10" spans="1:4">
      <c r="A10" s="580" t="s">
        <v>322</v>
      </c>
      <c r="B10" s="580"/>
      <c r="C10" s="580"/>
      <c r="D10" s="580"/>
    </row>
    <row r="11" spans="1:4">
      <c r="C11" s="131"/>
      <c r="D11" s="131" t="s">
        <v>189</v>
      </c>
    </row>
    <row r="12" spans="1:4" ht="26.25" customHeight="1">
      <c r="A12" s="47" t="s">
        <v>50</v>
      </c>
      <c r="B12" s="47" t="s">
        <v>116</v>
      </c>
      <c r="C12" s="132" t="s">
        <v>323</v>
      </c>
      <c r="D12" s="132" t="s">
        <v>324</v>
      </c>
    </row>
    <row r="13" spans="1:4">
      <c r="A13" s="50" t="s">
        <v>325</v>
      </c>
      <c r="B13" s="128"/>
      <c r="C13" s="133"/>
      <c r="D13" s="133"/>
    </row>
    <row r="14" spans="1:4" s="90" customFormat="1">
      <c r="A14" s="88" t="s">
        <v>326</v>
      </c>
      <c r="B14" s="89" t="s">
        <v>9</v>
      </c>
      <c r="C14" s="59">
        <f>МСФО!D205</f>
        <v>20325059</v>
      </c>
      <c r="D14" s="59">
        <f>МСФО!E205</f>
        <v>40370755</v>
      </c>
    </row>
    <row r="15" spans="1:4" s="90" customFormat="1" ht="25.5">
      <c r="A15" s="88" t="s">
        <v>327</v>
      </c>
      <c r="B15" s="89" t="s">
        <v>10</v>
      </c>
      <c r="C15" s="59">
        <f>МСФО!D211</f>
        <v>28623006</v>
      </c>
      <c r="D15" s="59">
        <f>МСФО!E211</f>
        <v>10601853</v>
      </c>
    </row>
    <row r="16" spans="1:4" s="90" customFormat="1">
      <c r="A16" s="88" t="s">
        <v>328</v>
      </c>
      <c r="B16" s="89" t="s">
        <v>11</v>
      </c>
      <c r="C16" s="59">
        <f>МСФО!D221</f>
        <v>75875134</v>
      </c>
      <c r="D16" s="174"/>
    </row>
    <row r="17" spans="1:9" s="90" customFormat="1">
      <c r="A17" s="88" t="s">
        <v>329</v>
      </c>
      <c r="B17" s="89" t="s">
        <v>13</v>
      </c>
      <c r="C17" s="59"/>
      <c r="D17" s="59">
        <f>МСФО!E213</f>
        <v>-460743</v>
      </c>
    </row>
    <row r="18" spans="1:9" s="90" customFormat="1" ht="38.25">
      <c r="A18" s="88" t="s">
        <v>330</v>
      </c>
      <c r="B18" s="89" t="s">
        <v>14</v>
      </c>
      <c r="C18" s="59"/>
      <c r="D18" s="174"/>
    </row>
    <row r="19" spans="1:9" s="90" customFormat="1">
      <c r="A19" s="88" t="s">
        <v>331</v>
      </c>
      <c r="B19" s="89" t="s">
        <v>15</v>
      </c>
      <c r="C19" s="59"/>
      <c r="D19" s="174">
        <f>МСФО!E212</f>
        <v>121225</v>
      </c>
    </row>
    <row r="20" spans="1:9" s="90" customFormat="1">
      <c r="A20" s="88" t="s">
        <v>332</v>
      </c>
      <c r="B20" s="89" t="s">
        <v>17</v>
      </c>
      <c r="C20" s="59"/>
      <c r="D20" s="174"/>
    </row>
    <row r="21" spans="1:9" s="90" customFormat="1">
      <c r="A21" s="88" t="s">
        <v>333</v>
      </c>
      <c r="B21" s="89" t="s">
        <v>86</v>
      </c>
      <c r="C21" s="59"/>
      <c r="D21" s="174"/>
    </row>
    <row r="22" spans="1:9" s="90" customFormat="1" ht="38.25">
      <c r="A22" s="88" t="s">
        <v>334</v>
      </c>
      <c r="B22" s="89" t="s">
        <v>87</v>
      </c>
      <c r="C22" s="59"/>
      <c r="D22" s="174"/>
    </row>
    <row r="23" spans="1:9" s="90" customFormat="1">
      <c r="A23" s="88" t="s">
        <v>335</v>
      </c>
      <c r="B23" s="89" t="s">
        <v>89</v>
      </c>
      <c r="C23" s="59">
        <f>SUM(МСФО!D217:D218)</f>
        <v>14901892</v>
      </c>
      <c r="D23" s="174">
        <f>SUM(МСФО!E217:E218)</f>
        <v>5607361</v>
      </c>
    </row>
    <row r="24" spans="1:9" s="90" customFormat="1">
      <c r="A24" s="88" t="s">
        <v>104</v>
      </c>
      <c r="B24" s="89" t="s">
        <v>19</v>
      </c>
      <c r="C24" s="59">
        <f>МСФО!D216</f>
        <v>-27840</v>
      </c>
      <c r="D24" s="59">
        <f>МСФО!E216</f>
        <v>314619</v>
      </c>
    </row>
    <row r="25" spans="1:9" s="90" customFormat="1">
      <c r="A25" s="88" t="s">
        <v>336</v>
      </c>
      <c r="B25" s="89" t="s">
        <v>20</v>
      </c>
      <c r="C25" s="197"/>
      <c r="D25" s="174"/>
    </row>
    <row r="26" spans="1:9" s="90" customFormat="1">
      <c r="A26" s="88" t="s">
        <v>337</v>
      </c>
      <c r="B26" s="89" t="s">
        <v>21</v>
      </c>
      <c r="C26" s="59"/>
      <c r="D26" s="174"/>
    </row>
    <row r="27" spans="1:9" s="90" customFormat="1">
      <c r="A27" s="88" t="s">
        <v>338</v>
      </c>
      <c r="B27" s="89" t="s">
        <v>22</v>
      </c>
      <c r="C27" s="59"/>
      <c r="D27" s="174"/>
    </row>
    <row r="28" spans="1:9" s="90" customFormat="1" ht="25.5">
      <c r="A28" s="88" t="s">
        <v>339</v>
      </c>
      <c r="B28" s="89" t="s">
        <v>24</v>
      </c>
      <c r="C28" s="59">
        <f>МСФО!D219</f>
        <v>-12957577</v>
      </c>
      <c r="D28" s="59">
        <f>МСФО!E219</f>
        <v>-30105859</v>
      </c>
    </row>
    <row r="29" spans="1:9" s="90" customFormat="1" ht="25.5">
      <c r="A29" s="88" t="s">
        <v>340</v>
      </c>
      <c r="B29" s="89" t="s">
        <v>26</v>
      </c>
      <c r="C29" s="174">
        <f>SUM(МСФО!D215,МСФО!D222:D224,МСФО!D206,МСФО!D220,МСФО!D213,МСФО!D214)</f>
        <v>-49595873</v>
      </c>
      <c r="D29" s="174">
        <f>SUM(МСФО!E215,МСФО!E222:E224,МСФО!E206,МСФО!E220,МСФО!E214)</f>
        <v>6005138</v>
      </c>
    </row>
    <row r="30" spans="1:9" s="90" customFormat="1" ht="25.5">
      <c r="A30" s="198" t="s">
        <v>347</v>
      </c>
      <c r="B30" s="89" t="s">
        <v>34</v>
      </c>
      <c r="C30" s="175">
        <f>SUM(C14:C29)</f>
        <v>77143801</v>
      </c>
      <c r="D30" s="175">
        <f>SUM(D14:D29)</f>
        <v>32454349</v>
      </c>
      <c r="F30" s="297">
        <f>МСФО!D227</f>
        <v>77143801</v>
      </c>
      <c r="G30" s="297">
        <f>МСФО!E227</f>
        <v>32454349</v>
      </c>
      <c r="H30" s="298">
        <f>C30-F30</f>
        <v>0</v>
      </c>
      <c r="I30" s="298">
        <f>D30-G30</f>
        <v>0</v>
      </c>
    </row>
    <row r="31" spans="1:9" s="90" customFormat="1">
      <c r="A31" s="88" t="s">
        <v>348</v>
      </c>
      <c r="B31" s="89" t="s">
        <v>341</v>
      </c>
      <c r="C31" s="59">
        <f>МСФО!D230</f>
        <v>-936449</v>
      </c>
      <c r="D31" s="59">
        <f>МСФО!E230</f>
        <v>-2111769</v>
      </c>
    </row>
    <row r="32" spans="1:9" s="90" customFormat="1">
      <c r="A32" s="88" t="s">
        <v>349</v>
      </c>
      <c r="B32" s="89" t="s">
        <v>342</v>
      </c>
      <c r="C32" s="59"/>
      <c r="D32" s="174"/>
    </row>
    <row r="33" spans="1:10" s="90" customFormat="1">
      <c r="A33" s="88" t="s">
        <v>350</v>
      </c>
      <c r="B33" s="89" t="s">
        <v>343</v>
      </c>
      <c r="C33" s="59">
        <f>МСФО!D229</f>
        <v>1242296</v>
      </c>
      <c r="D33" s="59">
        <f>МСФО!E229</f>
        <v>-3647701</v>
      </c>
    </row>
    <row r="34" spans="1:10" s="90" customFormat="1">
      <c r="A34" s="88" t="s">
        <v>351</v>
      </c>
      <c r="B34" s="89" t="s">
        <v>344</v>
      </c>
      <c r="C34" s="59">
        <f>МСФО!D231</f>
        <v>-2018647</v>
      </c>
      <c r="D34" s="59">
        <f>МСФО!E231</f>
        <v>-3928507</v>
      </c>
    </row>
    <row r="35" spans="1:10" s="90" customFormat="1" ht="25.5">
      <c r="A35" s="88" t="s">
        <v>352</v>
      </c>
      <c r="B35" s="89" t="s">
        <v>345</v>
      </c>
      <c r="C35" s="59">
        <f>МСФО!D233</f>
        <v>-126510</v>
      </c>
      <c r="D35" s="59">
        <f>МСФО!E233</f>
        <v>235063</v>
      </c>
    </row>
    <row r="36" spans="1:10" s="90" customFormat="1">
      <c r="A36" s="88" t="s">
        <v>353</v>
      </c>
      <c r="B36" s="89" t="s">
        <v>346</v>
      </c>
      <c r="C36" s="59">
        <f>МСФО!D232</f>
        <v>-14676</v>
      </c>
      <c r="D36" s="59">
        <f>МСФО!E232</f>
        <v>-123507</v>
      </c>
    </row>
    <row r="37" spans="1:10" s="90" customFormat="1" ht="25.5">
      <c r="A37" s="198" t="s">
        <v>354</v>
      </c>
      <c r="B37" s="89" t="s">
        <v>37</v>
      </c>
      <c r="C37" s="57">
        <f>SUM(C30:C36)</f>
        <v>75289815</v>
      </c>
      <c r="D37" s="57">
        <f>SUM(D30:D36)</f>
        <v>22877928</v>
      </c>
      <c r="F37" s="297">
        <f>МСФО!D236</f>
        <v>75289815</v>
      </c>
      <c r="G37" s="297">
        <f>МСФО!E236</f>
        <v>22877928</v>
      </c>
      <c r="H37" s="298">
        <f>C37-F37</f>
        <v>0</v>
      </c>
      <c r="I37" s="298">
        <f>D37-G37</f>
        <v>0</v>
      </c>
    </row>
    <row r="38" spans="1:10" s="90" customFormat="1">
      <c r="A38" s="88" t="s">
        <v>355</v>
      </c>
      <c r="B38" s="89" t="s">
        <v>38</v>
      </c>
      <c r="C38" s="174">
        <f>МСФО!D238</f>
        <v>-20679561</v>
      </c>
      <c r="D38" s="174">
        <f>МСФО!E238</f>
        <v>-5246529</v>
      </c>
    </row>
    <row r="39" spans="1:10" s="90" customFormat="1">
      <c r="A39" s="88" t="s">
        <v>356</v>
      </c>
      <c r="B39" s="89" t="s">
        <v>39</v>
      </c>
      <c r="C39" s="174">
        <f>МСФО!D237</f>
        <v>-4578919</v>
      </c>
      <c r="D39" s="174">
        <f>МСФО!E237</f>
        <v>-653294</v>
      </c>
    </row>
    <row r="40" spans="1:10" s="90" customFormat="1" ht="25.5">
      <c r="A40" s="198" t="s">
        <v>357</v>
      </c>
      <c r="B40" s="89" t="s">
        <v>166</v>
      </c>
      <c r="C40" s="57">
        <f>SUM(C37:C39)</f>
        <v>50031335</v>
      </c>
      <c r="D40" s="57">
        <f>SUM(D37:D39)</f>
        <v>16978105</v>
      </c>
      <c r="F40" s="297">
        <f>МСФО!D242</f>
        <v>55802807</v>
      </c>
      <c r="G40" s="297">
        <f>МСФО!E242</f>
        <v>23306231</v>
      </c>
      <c r="H40" s="298">
        <f>C40-F40</f>
        <v>-5771472</v>
      </c>
      <c r="I40" s="298">
        <f>D40-G40</f>
        <v>-6328126</v>
      </c>
      <c r="J40" s="178" t="s">
        <v>421</v>
      </c>
    </row>
    <row r="41" spans="1:10" ht="19.5">
      <c r="A41" s="51" t="s">
        <v>358</v>
      </c>
      <c r="B41" s="49" t="s">
        <v>191</v>
      </c>
      <c r="C41" s="175">
        <f>C42+C55</f>
        <v>-282990221</v>
      </c>
      <c r="D41" s="175">
        <f>D42+D55</f>
        <v>-90965658</v>
      </c>
      <c r="F41" s="299">
        <f>МСФО!D264</f>
        <v>-288761693</v>
      </c>
      <c r="G41" s="299">
        <f>МСФО!E264</f>
        <v>-97293784</v>
      </c>
      <c r="H41" s="298">
        <f>C41-F41</f>
        <v>5771472</v>
      </c>
      <c r="I41" s="298">
        <f>D41-G41</f>
        <v>6328126</v>
      </c>
      <c r="J41" s="178" t="s">
        <v>421</v>
      </c>
    </row>
    <row r="42" spans="1:10">
      <c r="A42" s="51" t="s">
        <v>360</v>
      </c>
      <c r="B42" s="49"/>
      <c r="C42" s="57">
        <f>SUM(C44:C54)</f>
        <v>51685469</v>
      </c>
      <c r="D42" s="57">
        <f>SUM(D44:D54)</f>
        <v>11845260</v>
      </c>
    </row>
    <row r="43" spans="1:10">
      <c r="A43" s="48" t="s">
        <v>55</v>
      </c>
      <c r="B43" s="49"/>
      <c r="C43" s="197"/>
      <c r="D43" s="54"/>
    </row>
    <row r="44" spans="1:10">
      <c r="A44" s="48" t="s">
        <v>73</v>
      </c>
      <c r="B44" s="49"/>
      <c r="C44" s="59">
        <f>МСФО!D255</f>
        <v>2452</v>
      </c>
      <c r="D44" s="59">
        <f>МСФО!E255</f>
        <v>82339</v>
      </c>
    </row>
    <row r="45" spans="1:10">
      <c r="A45" s="48" t="s">
        <v>74</v>
      </c>
      <c r="B45" s="49"/>
      <c r="C45" s="59"/>
      <c r="D45" s="174"/>
    </row>
    <row r="46" spans="1:10">
      <c r="A46" s="48" t="s">
        <v>75</v>
      </c>
      <c r="B46" s="49"/>
      <c r="C46" s="59"/>
      <c r="D46" s="174"/>
    </row>
    <row r="47" spans="1:10" ht="25.5">
      <c r="A47" s="48" t="s">
        <v>135</v>
      </c>
      <c r="B47" s="49"/>
      <c r="C47" s="59">
        <f>МСФО!D254</f>
        <v>45500</v>
      </c>
      <c r="D47" s="174"/>
    </row>
    <row r="48" spans="1:10">
      <c r="A48" s="48" t="s">
        <v>136</v>
      </c>
      <c r="B48" s="49"/>
      <c r="C48" s="59"/>
      <c r="D48" s="174"/>
    </row>
    <row r="49" spans="1:4">
      <c r="A49" s="48" t="s">
        <v>137</v>
      </c>
      <c r="B49" s="49"/>
      <c r="C49" s="59"/>
      <c r="D49" s="174"/>
    </row>
    <row r="50" spans="1:4">
      <c r="A50" s="48" t="s">
        <v>138</v>
      </c>
      <c r="B50" s="49"/>
      <c r="C50" s="59"/>
      <c r="D50" s="174"/>
    </row>
    <row r="51" spans="1:4">
      <c r="A51" s="48" t="s">
        <v>76</v>
      </c>
      <c r="B51" s="49"/>
      <c r="C51" s="59"/>
      <c r="D51" s="174"/>
    </row>
    <row r="52" spans="1:4">
      <c r="A52" s="48" t="s">
        <v>139</v>
      </c>
      <c r="B52" s="49"/>
      <c r="C52" s="174">
        <f>МСФО!D239</f>
        <v>5771472</v>
      </c>
      <c r="D52" s="174">
        <f>МСФО!E239</f>
        <v>6328126</v>
      </c>
    </row>
    <row r="53" spans="1:4">
      <c r="A53" s="48" t="s">
        <v>121</v>
      </c>
      <c r="B53" s="49"/>
      <c r="C53" s="174" t="str">
        <f>МСФО!D253</f>
        <v>-</v>
      </c>
      <c r="D53" s="174">
        <f>МСФО!E253</f>
        <v>121240</v>
      </c>
    </row>
    <row r="54" spans="1:4">
      <c r="A54" s="48" t="s">
        <v>69</v>
      </c>
      <c r="B54" s="49"/>
      <c r="C54" s="59">
        <f>МСФО!D259+МСФО!D261+МСФО!D258+МСФО!D256+МСФО!D260</f>
        <v>45866045</v>
      </c>
      <c r="D54" s="174">
        <f>МСФО!E258+МСФО!E261</f>
        <v>5313555</v>
      </c>
    </row>
    <row r="55" spans="1:4">
      <c r="A55" s="48" t="s">
        <v>361</v>
      </c>
      <c r="B55" s="49"/>
      <c r="C55" s="175">
        <f>SUM(C57:C67)</f>
        <v>-334675690</v>
      </c>
      <c r="D55" s="175">
        <f>SUM(D57:D67)</f>
        <v>-102810918</v>
      </c>
    </row>
    <row r="56" spans="1:4">
      <c r="A56" s="48" t="s">
        <v>55</v>
      </c>
      <c r="B56" s="49"/>
      <c r="C56" s="174"/>
      <c r="D56" s="174"/>
    </row>
    <row r="57" spans="1:4">
      <c r="A57" s="48" t="s">
        <v>77</v>
      </c>
      <c r="B57" s="49"/>
      <c r="C57" s="174">
        <f>МСФО!D247</f>
        <v>-75246928</v>
      </c>
      <c r="D57" s="174">
        <f>МСФО!E247</f>
        <v>-44141535</v>
      </c>
    </row>
    <row r="58" spans="1:4">
      <c r="A58" s="48" t="s">
        <v>78</v>
      </c>
      <c r="B58" s="49"/>
      <c r="C58" s="174">
        <f>МСФО!D248</f>
        <v>-266694</v>
      </c>
      <c r="D58" s="174">
        <f>МСФО!E248</f>
        <v>-22693</v>
      </c>
    </row>
    <row r="59" spans="1:4">
      <c r="A59" s="48" t="s">
        <v>79</v>
      </c>
      <c r="B59" s="49"/>
      <c r="C59" s="174">
        <f>МСФО!D249</f>
        <v>-1708070</v>
      </c>
      <c r="D59" s="174">
        <f>МСФО!E249</f>
        <v>-532641</v>
      </c>
    </row>
    <row r="60" spans="1:4" ht="25.5">
      <c r="A60" s="48" t="s">
        <v>151</v>
      </c>
      <c r="B60" s="49"/>
      <c r="C60" s="174">
        <f>МСФО!D252</f>
        <v>-6059620</v>
      </c>
      <c r="D60" s="174">
        <f>МСФО!E252</f>
        <v>-554000</v>
      </c>
    </row>
    <row r="61" spans="1:4">
      <c r="A61" s="48" t="s">
        <v>152</v>
      </c>
      <c r="B61" s="49"/>
      <c r="C61" s="174"/>
      <c r="D61" s="174"/>
    </row>
    <row r="62" spans="1:4">
      <c r="A62" s="48" t="s">
        <v>153</v>
      </c>
      <c r="B62" s="49"/>
      <c r="C62" s="174">
        <f>МСФО!D250</f>
        <v>-233037478</v>
      </c>
      <c r="D62" s="174">
        <f>МСФО!E250</f>
        <v>-15622</v>
      </c>
    </row>
    <row r="63" spans="1:4">
      <c r="A63" s="48" t="s">
        <v>154</v>
      </c>
      <c r="B63" s="49"/>
      <c r="C63" s="174"/>
      <c r="D63" s="174">
        <f>МСФО!E259</f>
        <v>-3589263</v>
      </c>
    </row>
    <row r="64" spans="1:4">
      <c r="A64" s="48" t="s">
        <v>155</v>
      </c>
      <c r="B64" s="49"/>
      <c r="C64" s="174"/>
      <c r="D64" s="174"/>
    </row>
    <row r="65" spans="1:10">
      <c r="A65" s="48" t="s">
        <v>76</v>
      </c>
      <c r="B65" s="49"/>
      <c r="C65" s="174"/>
      <c r="D65" s="174"/>
    </row>
    <row r="66" spans="1:10">
      <c r="A66" s="48" t="s">
        <v>156</v>
      </c>
      <c r="B66" s="49"/>
      <c r="C66" s="174">
        <f>МСФО!D251</f>
        <v>-18350000</v>
      </c>
      <c r="D66" s="174" t="str">
        <f>МСФО!E251</f>
        <v>-</v>
      </c>
    </row>
    <row r="67" spans="1:10">
      <c r="A67" s="48" t="s">
        <v>71</v>
      </c>
      <c r="B67" s="49"/>
      <c r="C67" s="174">
        <f>МСФО!D257</f>
        <v>-6900</v>
      </c>
      <c r="D67" s="174">
        <f>МСФО!E257+МСФО!E256</f>
        <v>-53955164</v>
      </c>
    </row>
    <row r="68" spans="1:10">
      <c r="A68" s="51" t="s">
        <v>362</v>
      </c>
      <c r="B68" s="52"/>
    </row>
    <row r="69" spans="1:10" ht="72.75">
      <c r="A69" s="50" t="s">
        <v>359</v>
      </c>
      <c r="B69" s="52" t="s">
        <v>210</v>
      </c>
      <c r="C69" s="175">
        <f>C70+C76</f>
        <v>221158412</v>
      </c>
      <c r="D69" s="175">
        <f>D70+D76</f>
        <v>-6885960</v>
      </c>
      <c r="F69" s="299">
        <f>МСФО!D281</f>
        <v>220335107</v>
      </c>
      <c r="G69" s="299">
        <f>МСФО!E281</f>
        <v>-4498140</v>
      </c>
      <c r="H69" s="268">
        <f>C69-F69</f>
        <v>823305</v>
      </c>
      <c r="I69" s="268">
        <f>D69-G69</f>
        <v>-2387820</v>
      </c>
      <c r="J69" s="264" t="s">
        <v>553</v>
      </c>
    </row>
    <row r="70" spans="1:10">
      <c r="A70" s="50" t="s">
        <v>363</v>
      </c>
      <c r="B70" s="52"/>
      <c r="C70" s="175">
        <f>SUM(C72:C75)</f>
        <v>252871139</v>
      </c>
      <c r="D70" s="175">
        <f>SUM(D72:D75)</f>
        <v>20676858</v>
      </c>
      <c r="I70" s="299"/>
    </row>
    <row r="71" spans="1:10">
      <c r="A71" s="46" t="s">
        <v>55</v>
      </c>
      <c r="B71" s="52"/>
      <c r="C71" s="174"/>
      <c r="D71" s="174"/>
    </row>
    <row r="72" spans="1:10">
      <c r="A72" s="46" t="s">
        <v>164</v>
      </c>
      <c r="B72" s="52"/>
      <c r="C72" s="174">
        <f>МСФО!D269</f>
        <v>21418117</v>
      </c>
      <c r="D72" s="174" t="str">
        <f>МСФО!E269</f>
        <v xml:space="preserve"> - </v>
      </c>
      <c r="I72" s="268"/>
    </row>
    <row r="73" spans="1:10">
      <c r="A73" s="46" t="s">
        <v>165</v>
      </c>
      <c r="B73" s="52"/>
      <c r="C73" s="174">
        <f>SUM(МСФО!D270:D271)</f>
        <v>230629717</v>
      </c>
      <c r="D73" s="174">
        <f>SUM(МСФО!E270:E271)</f>
        <v>20676858</v>
      </c>
    </row>
    <row r="74" spans="1:10">
      <c r="A74" s="46" t="s">
        <v>121</v>
      </c>
      <c r="B74" s="52"/>
      <c r="C74" s="174"/>
      <c r="D74" s="174"/>
    </row>
    <row r="75" spans="1:10">
      <c r="A75" s="46" t="s">
        <v>69</v>
      </c>
      <c r="B75" s="52"/>
      <c r="C75" s="174">
        <f>МСФО!D288</f>
        <v>823305</v>
      </c>
      <c r="D75" s="174"/>
    </row>
    <row r="76" spans="1:10">
      <c r="A76" s="46" t="s">
        <v>365</v>
      </c>
      <c r="B76" s="52"/>
      <c r="C76" s="175">
        <f>SUM(C78:C82)</f>
        <v>-31712727</v>
      </c>
      <c r="D76" s="175">
        <f>SUM(D78:D82)</f>
        <v>-27562818</v>
      </c>
    </row>
    <row r="77" spans="1:10">
      <c r="A77" s="46" t="s">
        <v>55</v>
      </c>
      <c r="B77" s="52"/>
      <c r="C77" s="174"/>
      <c r="D77" s="174"/>
    </row>
    <row r="78" spans="1:10">
      <c r="A78" s="46" t="s">
        <v>172</v>
      </c>
      <c r="B78" s="52"/>
      <c r="C78" s="174">
        <f>SUM(МСФО!D272:D273,МСФО!D276)</f>
        <v>-22354916</v>
      </c>
      <c r="D78" s="174">
        <f>SUM(МСФО!E272:E273,МСФО!E276)</f>
        <v>-17836671</v>
      </c>
    </row>
    <row r="79" spans="1:10">
      <c r="A79" s="46" t="s">
        <v>173</v>
      </c>
      <c r="B79" s="52"/>
      <c r="C79" s="174"/>
      <c r="D79" s="174"/>
    </row>
    <row r="80" spans="1:10">
      <c r="A80" s="46" t="s">
        <v>174</v>
      </c>
      <c r="B80" s="52"/>
      <c r="C80" s="174">
        <f>SUM(МСФО!D274:D275)</f>
        <v>-8291699</v>
      </c>
      <c r="D80" s="174">
        <f>SUM(МСФО!E274:E275)</f>
        <v>-3169736</v>
      </c>
    </row>
    <row r="81" spans="1:9">
      <c r="A81" s="46" t="s">
        <v>175</v>
      </c>
      <c r="B81" s="52"/>
      <c r="C81" s="174"/>
      <c r="D81" s="174"/>
    </row>
    <row r="82" spans="1:9">
      <c r="A82" s="46" t="s">
        <v>177</v>
      </c>
      <c r="B82" s="52"/>
      <c r="C82" s="174">
        <f>МСФО!D278</f>
        <v>-1066112</v>
      </c>
      <c r="D82" s="174">
        <f>SUM(МСФО!E278)+МСФО!E288+МСФО!E277</f>
        <v>-6556411</v>
      </c>
    </row>
    <row r="83" spans="1:9">
      <c r="A83" s="50" t="s">
        <v>364</v>
      </c>
      <c r="B83" s="52"/>
    </row>
    <row r="84" spans="1:9">
      <c r="A84" s="50" t="s">
        <v>184</v>
      </c>
      <c r="B84" s="52" t="s">
        <v>239</v>
      </c>
      <c r="C84" s="175">
        <f>МСФО!D284</f>
        <v>17150531</v>
      </c>
      <c r="D84" s="175">
        <f>МСФО!E284</f>
        <v>1124402</v>
      </c>
    </row>
    <row r="85" spans="1:9" ht="25.5">
      <c r="A85" s="51" t="s">
        <v>366</v>
      </c>
      <c r="B85" s="52" t="s">
        <v>243</v>
      </c>
      <c r="C85" s="175">
        <f>C40+C41+C69+C84</f>
        <v>5350057</v>
      </c>
      <c r="D85" s="175">
        <f>D40+D41+D69+D84</f>
        <v>-79749111</v>
      </c>
    </row>
    <row r="86" spans="1:9">
      <c r="A86" s="48" t="s">
        <v>186</v>
      </c>
      <c r="B86" s="49" t="s">
        <v>245</v>
      </c>
      <c r="C86" s="174">
        <f>ББ!F19</f>
        <v>32719043</v>
      </c>
      <c r="D86" s="174">
        <f>МСФО!E290</f>
        <v>94991109</v>
      </c>
      <c r="F86" s="299">
        <f>МСФО!D290</f>
        <v>15241998</v>
      </c>
      <c r="G86" s="299">
        <f>МСФО!E290</f>
        <v>94991109</v>
      </c>
      <c r="H86" s="299">
        <f t="shared" ref="H86:H87" si="0">C86-F86</f>
        <v>17477045</v>
      </c>
      <c r="I86" s="299">
        <f t="shared" ref="I86:I87" si="1">D86-G86</f>
        <v>0</v>
      </c>
    </row>
    <row r="87" spans="1:9">
      <c r="A87" s="48" t="s">
        <v>187</v>
      </c>
      <c r="B87" s="49" t="s">
        <v>260</v>
      </c>
      <c r="C87" s="174">
        <f>МСФО!D293</f>
        <v>20592055</v>
      </c>
      <c r="D87" s="174">
        <f>МСФО!E293</f>
        <v>15241998</v>
      </c>
      <c r="F87" s="299">
        <f>МСФО!D293</f>
        <v>20592055</v>
      </c>
      <c r="G87" s="299">
        <f>МСФО!E293</f>
        <v>15241998</v>
      </c>
      <c r="H87" s="299">
        <f t="shared" si="0"/>
        <v>0</v>
      </c>
      <c r="I87" s="299">
        <f t="shared" si="1"/>
        <v>0</v>
      </c>
    </row>
    <row r="88" spans="1:9">
      <c r="C88" s="193">
        <f>ББ!E19-C87</f>
        <v>-11549215</v>
      </c>
      <c r="D88" s="193">
        <f>ББ!F19-D87</f>
        <v>17477045</v>
      </c>
      <c r="G88" s="268"/>
    </row>
    <row r="89" spans="1:9" ht="25.5">
      <c r="A89" s="104" t="s">
        <v>376</v>
      </c>
      <c r="B89" s="105" t="str">
        <f>ОИК!C77</f>
        <v>Алиев Е.Ж.</v>
      </c>
      <c r="C89" s="99"/>
      <c r="D89" s="95"/>
    </row>
    <row r="90" spans="1:9" ht="17.25" customHeight="1">
      <c r="A90" s="1"/>
      <c r="B90" s="92" t="s">
        <v>373</v>
      </c>
      <c r="C90" s="99"/>
      <c r="D90" s="96" t="s">
        <v>311</v>
      </c>
      <c r="G90" s="268"/>
    </row>
    <row r="91" spans="1:9" ht="25.5">
      <c r="A91" s="94" t="s">
        <v>378</v>
      </c>
      <c r="B91" s="105" t="s">
        <v>372</v>
      </c>
      <c r="C91" s="99"/>
      <c r="D91" s="95"/>
    </row>
    <row r="92" spans="1:9" ht="15">
      <c r="A92" s="42"/>
      <c r="B92" s="92" t="s">
        <v>374</v>
      </c>
      <c r="C92" s="99"/>
      <c r="D92" s="96" t="s">
        <v>311</v>
      </c>
    </row>
    <row r="93" spans="1:9">
      <c r="A93" s="45"/>
    </row>
    <row r="97" spans="3:4">
      <c r="C97" s="193"/>
      <c r="D97" s="193"/>
    </row>
    <row r="98" spans="3:4">
      <c r="C98" s="193"/>
      <c r="D98" s="193"/>
    </row>
  </sheetData>
  <mergeCells count="3">
    <mergeCell ref="A8:D8"/>
    <mergeCell ref="A9:D9"/>
    <mergeCell ref="A10:D10"/>
  </mergeCells>
  <phoneticPr fontId="23" type="noConversion"/>
  <hyperlinks>
    <hyperlink ref="D2" r:id="rId1" display="jl:30820085.0 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  <customProperties>
    <customPr name="EpmWorksheetKeyString_GUID" r:id="rId3"/>
  </customPropertie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04"/>
  <sheetViews>
    <sheetView topLeftCell="A261" zoomScale="130" zoomScaleNormal="130" workbookViewId="0">
      <selection activeCell="E277" sqref="E277"/>
    </sheetView>
  </sheetViews>
  <sheetFormatPr defaultRowHeight="12.75"/>
  <cols>
    <col min="2" max="2" width="60.28515625" customWidth="1"/>
    <col min="4" max="5" width="16.42578125" customWidth="1"/>
    <col min="6" max="6" width="10.85546875" bestFit="1" customWidth="1"/>
    <col min="7" max="7" width="11.85546875" bestFit="1" customWidth="1"/>
    <col min="8" max="8" width="11.7109375" bestFit="1" customWidth="1"/>
    <col min="9" max="9" width="12.28515625" bestFit="1" customWidth="1"/>
    <col min="10" max="10" width="36.5703125" customWidth="1"/>
  </cols>
  <sheetData>
    <row r="2" spans="2:5" ht="13.5" thickBot="1">
      <c r="B2" s="200" t="s">
        <v>392</v>
      </c>
      <c r="C2" s="201" t="s">
        <v>393</v>
      </c>
      <c r="D2" s="269" t="s">
        <v>567</v>
      </c>
      <c r="E2" s="269" t="s">
        <v>458</v>
      </c>
    </row>
    <row r="3" spans="2:5">
      <c r="B3" s="203"/>
      <c r="C3" s="204"/>
      <c r="D3" s="203"/>
      <c r="E3" s="203"/>
    </row>
    <row r="4" spans="2:5">
      <c r="B4" s="206" t="s">
        <v>459</v>
      </c>
      <c r="C4" s="204"/>
      <c r="D4" s="203"/>
      <c r="E4" s="203"/>
    </row>
    <row r="5" spans="2:5">
      <c r="B5" s="207"/>
      <c r="C5" s="204"/>
      <c r="D5" s="203"/>
      <c r="E5" s="203"/>
    </row>
    <row r="6" spans="2:5">
      <c r="B6" s="206" t="s">
        <v>460</v>
      </c>
      <c r="C6" s="204"/>
      <c r="D6" s="203"/>
      <c r="E6" s="203"/>
    </row>
    <row r="7" spans="2:5">
      <c r="B7" s="208" t="s">
        <v>23</v>
      </c>
      <c r="C7" s="204">
        <v>7</v>
      </c>
      <c r="D7" s="271">
        <v>710404916</v>
      </c>
      <c r="E7" s="271">
        <v>235145703</v>
      </c>
    </row>
    <row r="8" spans="2:5">
      <c r="B8" s="208" t="s">
        <v>461</v>
      </c>
      <c r="C8" s="204">
        <v>10</v>
      </c>
      <c r="D8" s="271">
        <v>882542</v>
      </c>
      <c r="E8" s="271">
        <v>824943</v>
      </c>
    </row>
    <row r="9" spans="2:5">
      <c r="B9" s="208" t="s">
        <v>29</v>
      </c>
      <c r="C9" s="204">
        <v>8</v>
      </c>
      <c r="D9" s="271">
        <v>2052308</v>
      </c>
      <c r="E9" s="271">
        <v>1332626</v>
      </c>
    </row>
    <row r="10" spans="2:5">
      <c r="B10" s="203" t="s">
        <v>462</v>
      </c>
      <c r="C10" s="204">
        <v>9</v>
      </c>
      <c r="D10" s="271">
        <v>11448375</v>
      </c>
      <c r="E10" s="271">
        <v>9237988</v>
      </c>
    </row>
    <row r="11" spans="2:5">
      <c r="B11" s="208" t="s">
        <v>463</v>
      </c>
      <c r="C11" s="585">
        <v>11</v>
      </c>
      <c r="D11" s="587">
        <v>78896702</v>
      </c>
      <c r="E11" s="587">
        <v>242883017</v>
      </c>
    </row>
    <row r="12" spans="2:5">
      <c r="B12" s="208" t="s">
        <v>464</v>
      </c>
      <c r="C12" s="585"/>
      <c r="D12" s="587"/>
      <c r="E12" s="587"/>
    </row>
    <row r="13" spans="2:5">
      <c r="B13" s="208" t="s">
        <v>32</v>
      </c>
      <c r="C13" s="204">
        <v>12</v>
      </c>
      <c r="D13" s="273">
        <v>18665204</v>
      </c>
      <c r="E13" s="221">
        <v>30723532</v>
      </c>
    </row>
    <row r="14" spans="2:5" ht="13.5" thickBot="1">
      <c r="B14" s="211"/>
      <c r="C14" s="212"/>
      <c r="D14" s="211"/>
      <c r="E14" s="211"/>
    </row>
    <row r="15" spans="2:5">
      <c r="B15" s="207"/>
      <c r="C15" s="213"/>
      <c r="D15" s="207"/>
      <c r="E15" s="207"/>
    </row>
    <row r="16" spans="2:5">
      <c r="B16" s="206" t="s">
        <v>465</v>
      </c>
      <c r="C16" s="213"/>
      <c r="D16" s="215">
        <f>SUM(D7:D13)</f>
        <v>822350047</v>
      </c>
      <c r="E16" s="215">
        <f>SUM(E7:E13)</f>
        <v>520147809</v>
      </c>
    </row>
    <row r="17" spans="2:5" ht="13.5" thickBot="1">
      <c r="B17" s="216"/>
      <c r="C17" s="201"/>
      <c r="D17" s="216"/>
      <c r="E17" s="216"/>
    </row>
    <row r="18" spans="2:5">
      <c r="B18" s="203"/>
      <c r="C18" s="204"/>
      <c r="D18" s="203"/>
      <c r="E18" s="203"/>
    </row>
    <row r="19" spans="2:5">
      <c r="B19" s="206" t="s">
        <v>466</v>
      </c>
      <c r="C19" s="204"/>
      <c r="D19" s="203"/>
      <c r="E19" s="203"/>
    </row>
    <row r="20" spans="2:5">
      <c r="B20" s="208" t="s">
        <v>467</v>
      </c>
      <c r="C20" s="204">
        <v>13</v>
      </c>
      <c r="D20" s="271">
        <v>12035047</v>
      </c>
      <c r="E20" s="221">
        <v>8211800</v>
      </c>
    </row>
    <row r="21" spans="2:5" ht="24">
      <c r="B21" s="208" t="s">
        <v>468</v>
      </c>
      <c r="C21" s="204">
        <v>14</v>
      </c>
      <c r="D21" s="271">
        <v>11726504</v>
      </c>
      <c r="E21" s="221">
        <v>10984506</v>
      </c>
    </row>
    <row r="22" spans="2:5">
      <c r="B22" s="208" t="s">
        <v>469</v>
      </c>
      <c r="C22" s="204">
        <v>15</v>
      </c>
      <c r="D22" s="271">
        <v>42438992</v>
      </c>
      <c r="E22" s="221">
        <v>61994236</v>
      </c>
    </row>
    <row r="23" spans="2:5">
      <c r="B23" s="208" t="s">
        <v>470</v>
      </c>
      <c r="C23" s="204"/>
      <c r="D23" s="271">
        <v>1281982</v>
      </c>
      <c r="E23" s="221">
        <v>1320560</v>
      </c>
    </row>
    <row r="24" spans="2:5">
      <c r="B24" s="208" t="s">
        <v>8</v>
      </c>
      <c r="C24" s="204">
        <v>16</v>
      </c>
      <c r="D24" s="271">
        <v>20592055</v>
      </c>
      <c r="E24" s="221">
        <v>15241998</v>
      </c>
    </row>
    <row r="25" spans="2:5" ht="13.5" thickBot="1">
      <c r="B25" s="211"/>
      <c r="C25" s="212"/>
      <c r="D25" s="272"/>
      <c r="E25" s="211"/>
    </row>
    <row r="26" spans="2:5">
      <c r="B26" s="203"/>
      <c r="C26" s="204"/>
      <c r="D26" s="221"/>
      <c r="E26" s="203"/>
    </row>
    <row r="27" spans="2:5" ht="24">
      <c r="B27" s="208" t="s">
        <v>568</v>
      </c>
      <c r="C27" s="204">
        <v>17</v>
      </c>
      <c r="D27" s="273">
        <v>43984770</v>
      </c>
      <c r="E27" s="221">
        <v>343557</v>
      </c>
    </row>
    <row r="28" spans="2:5" ht="13.5" thickBot="1">
      <c r="B28" s="211"/>
      <c r="C28" s="212"/>
      <c r="D28" s="211"/>
      <c r="E28" s="211"/>
    </row>
    <row r="29" spans="2:5">
      <c r="B29" s="207"/>
      <c r="C29" s="213"/>
      <c r="D29" s="207"/>
      <c r="E29" s="207"/>
    </row>
    <row r="30" spans="2:5">
      <c r="B30" s="206" t="s">
        <v>471</v>
      </c>
      <c r="C30" s="204"/>
      <c r="D30" s="214">
        <f>SUM(D20:D27)</f>
        <v>132059350</v>
      </c>
      <c r="E30" s="214">
        <f>SUM(E20:E27)</f>
        <v>98096657</v>
      </c>
    </row>
    <row r="31" spans="2:5" ht="13.5" thickBot="1">
      <c r="B31" s="216"/>
      <c r="C31" s="201"/>
      <c r="D31" s="211"/>
      <c r="E31" s="211"/>
    </row>
    <row r="32" spans="2:5">
      <c r="B32" s="207"/>
      <c r="C32" s="213"/>
      <c r="D32" s="203"/>
      <c r="E32" s="203"/>
    </row>
    <row r="33" spans="2:5">
      <c r="B33" s="206" t="s">
        <v>472</v>
      </c>
      <c r="C33" s="213"/>
      <c r="D33" s="214">
        <f>D16+D30</f>
        <v>954409397</v>
      </c>
      <c r="E33" s="214">
        <v>618244466</v>
      </c>
    </row>
    <row r="34" spans="2:5" ht="13.5" thickBot="1">
      <c r="B34" s="217"/>
      <c r="C34" s="219"/>
      <c r="D34" s="217"/>
      <c r="E34" s="217"/>
    </row>
    <row r="35" spans="2:5" ht="13.5" thickTop="1"/>
    <row r="37" spans="2:5" ht="13.5" thickBot="1">
      <c r="B37" s="200" t="s">
        <v>392</v>
      </c>
      <c r="C37" s="201" t="s">
        <v>393</v>
      </c>
      <c r="D37" s="269" t="s">
        <v>567</v>
      </c>
      <c r="E37" s="269" t="s">
        <v>458</v>
      </c>
    </row>
    <row r="38" spans="2:5">
      <c r="B38" s="208"/>
      <c r="C38" s="204"/>
      <c r="D38" s="222"/>
      <c r="E38" s="222"/>
    </row>
    <row r="39" spans="2:5">
      <c r="B39" s="206" t="s">
        <v>473</v>
      </c>
      <c r="C39" s="204"/>
      <c r="D39" s="223"/>
      <c r="E39" s="223"/>
    </row>
    <row r="40" spans="2:5">
      <c r="B40" s="208"/>
      <c r="C40" s="204"/>
      <c r="D40" s="222"/>
      <c r="E40" s="222"/>
    </row>
    <row r="41" spans="2:5">
      <c r="B41" s="208" t="s">
        <v>474</v>
      </c>
      <c r="C41" s="204">
        <v>18</v>
      </c>
      <c r="D41" s="274">
        <v>355364386</v>
      </c>
      <c r="E41" s="230">
        <v>233946269</v>
      </c>
    </row>
    <row r="42" spans="2:5">
      <c r="B42" s="208" t="s">
        <v>475</v>
      </c>
      <c r="C42" s="204">
        <v>18</v>
      </c>
      <c r="D42" s="274">
        <v>54993097</v>
      </c>
      <c r="E42" s="230">
        <v>75308815</v>
      </c>
    </row>
    <row r="43" spans="2:5">
      <c r="B43" s="208" t="s">
        <v>188</v>
      </c>
      <c r="C43" s="204"/>
      <c r="D43" s="274">
        <v>80553684</v>
      </c>
      <c r="E43" s="230">
        <v>72276222</v>
      </c>
    </row>
    <row r="44" spans="2:5" ht="13.5" thickBot="1">
      <c r="B44" s="224"/>
      <c r="C44" s="212"/>
      <c r="D44" s="275"/>
      <c r="E44" s="225"/>
    </row>
    <row r="45" spans="2:5">
      <c r="B45" s="208"/>
      <c r="C45" s="204"/>
      <c r="D45" s="215"/>
      <c r="E45" s="223"/>
    </row>
    <row r="46" spans="2:5">
      <c r="B46" s="206" t="s">
        <v>569</v>
      </c>
      <c r="C46" s="213"/>
      <c r="D46" s="215">
        <f>SUM(D41:D43)</f>
        <v>490911167</v>
      </c>
      <c r="E46" s="215">
        <v>381531306</v>
      </c>
    </row>
    <row r="47" spans="2:5">
      <c r="B47" s="208"/>
      <c r="C47" s="204"/>
      <c r="D47" s="230"/>
      <c r="E47" s="231"/>
    </row>
    <row r="48" spans="2:5">
      <c r="B48" s="203" t="s">
        <v>476</v>
      </c>
      <c r="C48" s="204"/>
      <c r="D48" s="273">
        <v>2138284</v>
      </c>
      <c r="E48" s="230">
        <v>3021709</v>
      </c>
    </row>
    <row r="49" spans="2:5" ht="13.5" thickBot="1">
      <c r="B49" s="224"/>
      <c r="C49" s="212"/>
      <c r="D49" s="225"/>
      <c r="E49" s="225"/>
    </row>
    <row r="50" spans="2:5">
      <c r="B50" s="208"/>
      <c r="C50" s="204"/>
      <c r="D50" s="222"/>
      <c r="E50" s="222"/>
    </row>
    <row r="51" spans="2:5">
      <c r="B51" s="206" t="s">
        <v>477</v>
      </c>
      <c r="C51" s="213"/>
      <c r="D51" s="215">
        <f>SUM(D46:D48)</f>
        <v>493049451</v>
      </c>
      <c r="E51" s="215">
        <v>384553015</v>
      </c>
    </row>
    <row r="52" spans="2:5" ht="13.5" thickBot="1">
      <c r="B52" s="227"/>
      <c r="C52" s="219"/>
      <c r="D52" s="228"/>
      <c r="E52" s="228"/>
    </row>
    <row r="53" spans="2:5" ht="13.5" thickTop="1">
      <c r="B53" s="208"/>
      <c r="C53" s="204"/>
      <c r="D53" s="222"/>
      <c r="E53" s="222"/>
    </row>
    <row r="54" spans="2:5">
      <c r="B54" s="206" t="s">
        <v>478</v>
      </c>
      <c r="C54" s="204"/>
      <c r="D54" s="222"/>
      <c r="E54" s="222"/>
    </row>
    <row r="55" spans="2:5">
      <c r="B55" s="208"/>
      <c r="C55" s="204"/>
      <c r="D55" s="222"/>
      <c r="E55" s="222"/>
    </row>
    <row r="56" spans="2:5">
      <c r="B56" s="206" t="s">
        <v>479</v>
      </c>
      <c r="C56" s="204"/>
      <c r="D56" s="230"/>
      <c r="E56" s="222"/>
    </row>
    <row r="57" spans="2:5">
      <c r="B57" s="208" t="s">
        <v>480</v>
      </c>
      <c r="C57" s="204"/>
      <c r="D57" s="274">
        <v>1203172</v>
      </c>
      <c r="E57" s="230">
        <v>508248</v>
      </c>
    </row>
    <row r="58" spans="2:5">
      <c r="B58" s="208" t="s">
        <v>481</v>
      </c>
      <c r="C58" s="204">
        <v>19</v>
      </c>
      <c r="D58" s="274">
        <v>1033125</v>
      </c>
      <c r="E58" s="230">
        <v>1257622</v>
      </c>
    </row>
    <row r="59" spans="2:5">
      <c r="B59" s="208" t="s">
        <v>482</v>
      </c>
      <c r="C59" s="204">
        <v>20</v>
      </c>
      <c r="D59" s="274">
        <v>280326306</v>
      </c>
      <c r="E59" s="230">
        <v>166109523</v>
      </c>
    </row>
    <row r="60" spans="2:5">
      <c r="B60" s="208" t="s">
        <v>41</v>
      </c>
      <c r="C60" s="204">
        <v>21</v>
      </c>
      <c r="D60" s="274">
        <v>6500623</v>
      </c>
      <c r="E60" s="230">
        <v>6801835</v>
      </c>
    </row>
    <row r="61" spans="2:5">
      <c r="B61" s="208" t="s">
        <v>483</v>
      </c>
      <c r="C61" s="204">
        <v>30</v>
      </c>
      <c r="D61" s="274">
        <v>77289181</v>
      </c>
      <c r="E61" s="230">
        <v>10093806</v>
      </c>
    </row>
    <row r="62" spans="2:5" ht="13.5" thickBot="1">
      <c r="B62" s="224"/>
      <c r="C62" s="212"/>
      <c r="D62" s="275"/>
      <c r="E62" s="225"/>
    </row>
    <row r="63" spans="2:5">
      <c r="B63" s="206"/>
      <c r="C63" s="204"/>
      <c r="D63" s="215"/>
      <c r="E63" s="223"/>
    </row>
    <row r="64" spans="2:5">
      <c r="B64" s="206" t="s">
        <v>484</v>
      </c>
      <c r="C64" s="204"/>
      <c r="D64" s="215">
        <f>SUM(D57:D61)</f>
        <v>366352407</v>
      </c>
      <c r="E64" s="215">
        <v>184771034</v>
      </c>
    </row>
    <row r="65" spans="2:5" ht="13.5" thickBot="1">
      <c r="B65" s="229"/>
      <c r="C65" s="212"/>
      <c r="D65" s="276"/>
      <c r="E65" s="202"/>
    </row>
    <row r="66" spans="2:5">
      <c r="B66" s="208"/>
      <c r="C66" s="204"/>
      <c r="D66" s="230"/>
      <c r="E66" s="231"/>
    </row>
    <row r="67" spans="2:5">
      <c r="B67" s="206" t="s">
        <v>485</v>
      </c>
      <c r="C67" s="204"/>
      <c r="D67" s="230"/>
      <c r="E67" s="231"/>
    </row>
    <row r="68" spans="2:5">
      <c r="B68" s="208" t="s">
        <v>480</v>
      </c>
      <c r="C68" s="204"/>
      <c r="D68" s="274">
        <v>85020</v>
      </c>
      <c r="E68" s="231" t="s">
        <v>386</v>
      </c>
    </row>
    <row r="69" spans="2:5">
      <c r="B69" s="208" t="s">
        <v>99</v>
      </c>
      <c r="C69" s="204">
        <v>20</v>
      </c>
      <c r="D69" s="274">
        <v>38840232</v>
      </c>
      <c r="E69" s="230">
        <v>11297915</v>
      </c>
    </row>
    <row r="70" spans="2:5">
      <c r="B70" s="208" t="s">
        <v>486</v>
      </c>
      <c r="C70" s="204">
        <v>19</v>
      </c>
      <c r="D70" s="274">
        <v>69518</v>
      </c>
      <c r="E70" s="230">
        <v>82624</v>
      </c>
    </row>
    <row r="71" spans="2:5">
      <c r="B71" s="208" t="s">
        <v>487</v>
      </c>
      <c r="C71" s="204">
        <v>22</v>
      </c>
      <c r="D71" s="274"/>
      <c r="E71" s="230">
        <v>2053593</v>
      </c>
    </row>
    <row r="72" spans="2:5" ht="24">
      <c r="B72" s="208" t="s">
        <v>488</v>
      </c>
      <c r="C72" s="204">
        <v>23</v>
      </c>
      <c r="D72" s="274">
        <v>36239177</v>
      </c>
      <c r="E72" s="230">
        <v>29768379</v>
      </c>
    </row>
    <row r="73" spans="2:5">
      <c r="B73" s="208" t="s">
        <v>489</v>
      </c>
      <c r="C73" s="204">
        <v>30</v>
      </c>
      <c r="D73" s="274">
        <v>1309377</v>
      </c>
      <c r="E73" s="230">
        <v>1540131</v>
      </c>
    </row>
    <row r="74" spans="2:5">
      <c r="B74" s="208" t="s">
        <v>490</v>
      </c>
      <c r="C74" s="204">
        <v>30</v>
      </c>
      <c r="D74" s="274">
        <v>148636</v>
      </c>
      <c r="E74" s="230">
        <v>168138</v>
      </c>
    </row>
    <row r="75" spans="2:5" ht="13.5" thickBot="1">
      <c r="B75" s="224"/>
      <c r="C75" s="212"/>
      <c r="D75" s="275"/>
      <c r="E75" s="225"/>
    </row>
    <row r="76" spans="2:5">
      <c r="B76" s="206"/>
      <c r="C76" s="204"/>
      <c r="D76" s="215"/>
      <c r="E76" s="223"/>
    </row>
    <row r="77" spans="2:5">
      <c r="B77" s="208" t="s">
        <v>570</v>
      </c>
      <c r="C77" s="585">
        <v>17</v>
      </c>
      <c r="D77" s="586">
        <v>18315579</v>
      </c>
      <c r="E77" s="586">
        <v>4009637</v>
      </c>
    </row>
    <row r="78" spans="2:5">
      <c r="B78" s="208" t="s">
        <v>491</v>
      </c>
      <c r="C78" s="585"/>
      <c r="D78" s="586"/>
      <c r="E78" s="586"/>
    </row>
    <row r="79" spans="2:5" ht="13.5" thickBot="1">
      <c r="B79" s="224"/>
      <c r="C79" s="212"/>
      <c r="D79" s="275"/>
      <c r="E79" s="225"/>
    </row>
    <row r="80" spans="2:5">
      <c r="B80" s="208"/>
      <c r="C80" s="204"/>
      <c r="D80" s="230"/>
      <c r="E80" s="231"/>
    </row>
    <row r="81" spans="2:5">
      <c r="B81" s="206" t="s">
        <v>492</v>
      </c>
      <c r="C81" s="204"/>
      <c r="D81" s="215">
        <f>SUM(D68:D78)</f>
        <v>95007539</v>
      </c>
      <c r="E81" s="215">
        <v>48920417</v>
      </c>
    </row>
    <row r="82" spans="2:5" ht="13.5" thickBot="1">
      <c r="B82" s="229"/>
      <c r="C82" s="212"/>
      <c r="D82" s="276"/>
      <c r="E82" s="202"/>
    </row>
    <row r="83" spans="2:5">
      <c r="B83" s="208"/>
      <c r="C83" s="213"/>
      <c r="D83" s="215"/>
      <c r="E83" s="223"/>
    </row>
    <row r="84" spans="2:5">
      <c r="B84" s="206" t="s">
        <v>493</v>
      </c>
      <c r="C84" s="213"/>
      <c r="D84" s="215">
        <f>D64+D81</f>
        <v>461359946</v>
      </c>
      <c r="E84" s="215">
        <v>233691451</v>
      </c>
    </row>
    <row r="85" spans="2:5" ht="13.5" thickBot="1">
      <c r="B85" s="227"/>
      <c r="C85" s="219"/>
      <c r="D85" s="277"/>
      <c r="E85" s="228"/>
    </row>
    <row r="86" spans="2:5" ht="13.5" thickTop="1">
      <c r="B86" s="206"/>
      <c r="C86" s="213"/>
      <c r="D86" s="215"/>
      <c r="E86" s="223"/>
    </row>
    <row r="87" spans="2:5">
      <c r="B87" s="206" t="s">
        <v>494</v>
      </c>
      <c r="C87" s="213"/>
      <c r="D87" s="215">
        <f>D51+D84</f>
        <v>954409397</v>
      </c>
      <c r="E87" s="215">
        <v>618244466</v>
      </c>
    </row>
    <row r="88" spans="2:5">
      <c r="D88" s="209"/>
    </row>
    <row r="98" spans="2:13" ht="24.75" thickBot="1">
      <c r="B98" s="200" t="s">
        <v>392</v>
      </c>
      <c r="C98" s="201" t="s">
        <v>393</v>
      </c>
      <c r="D98" s="269" t="s">
        <v>581</v>
      </c>
      <c r="E98" s="269" t="s">
        <v>582</v>
      </c>
    </row>
    <row r="99" spans="2:13">
      <c r="B99" s="208"/>
      <c r="C99" s="204"/>
      <c r="D99" s="203"/>
      <c r="E99" s="203"/>
      <c r="J99" s="265" t="s">
        <v>571</v>
      </c>
    </row>
    <row r="100" spans="2:13" ht="13.5" thickBot="1">
      <c r="B100" s="208" t="s">
        <v>312</v>
      </c>
      <c r="C100" s="204">
        <v>24</v>
      </c>
      <c r="D100" s="271">
        <v>178084928</v>
      </c>
      <c r="E100" s="271">
        <v>95919697</v>
      </c>
      <c r="J100" s="200" t="s">
        <v>392</v>
      </c>
      <c r="K100" s="212"/>
      <c r="L100" s="202" t="s">
        <v>495</v>
      </c>
      <c r="M100" s="202" t="s">
        <v>394</v>
      </c>
    </row>
    <row r="101" spans="2:13">
      <c r="B101" s="208" t="s">
        <v>496</v>
      </c>
      <c r="C101" s="204">
        <v>25</v>
      </c>
      <c r="D101" s="271">
        <v>-120997240</v>
      </c>
      <c r="E101" s="271">
        <v>-74195257</v>
      </c>
      <c r="J101" s="203"/>
      <c r="K101" s="204"/>
      <c r="L101" s="203"/>
      <c r="M101" s="203"/>
    </row>
    <row r="102" spans="2:13" ht="13.5" thickBot="1">
      <c r="B102" s="224"/>
      <c r="C102" s="212"/>
      <c r="D102" s="272"/>
      <c r="E102" s="272"/>
      <c r="J102" s="203" t="s">
        <v>556</v>
      </c>
      <c r="K102" s="204"/>
      <c r="L102" s="210">
        <v>1327977</v>
      </c>
      <c r="M102" s="210">
        <v>922857</v>
      </c>
    </row>
    <row r="103" spans="2:13" ht="24">
      <c r="B103" s="206"/>
      <c r="C103" s="213"/>
      <c r="D103" s="214"/>
      <c r="E103" s="214"/>
      <c r="J103" s="203" t="s">
        <v>557</v>
      </c>
      <c r="K103" s="204"/>
      <c r="L103" s="203" t="s">
        <v>386</v>
      </c>
      <c r="M103" s="210">
        <v>563617</v>
      </c>
    </row>
    <row r="104" spans="2:13" ht="24">
      <c r="B104" s="206" t="s">
        <v>497</v>
      </c>
      <c r="C104" s="213"/>
      <c r="D104" s="280">
        <f>SUM(D100:D103)</f>
        <v>57087688</v>
      </c>
      <c r="E104" s="280">
        <f>SUM(E100:E103)</f>
        <v>21724440</v>
      </c>
      <c r="J104" s="203" t="s">
        <v>558</v>
      </c>
      <c r="K104" s="204"/>
      <c r="L104" s="210">
        <v>513435</v>
      </c>
      <c r="M104" s="210">
        <v>471979</v>
      </c>
    </row>
    <row r="105" spans="2:13" ht="24">
      <c r="B105" s="208"/>
      <c r="C105" s="204"/>
      <c r="D105" s="221"/>
      <c r="E105" s="221"/>
      <c r="J105" s="203" t="s">
        <v>559</v>
      </c>
      <c r="K105" s="204"/>
      <c r="L105" s="210">
        <v>180791</v>
      </c>
      <c r="M105" s="210">
        <v>218414</v>
      </c>
    </row>
    <row r="106" spans="2:13" ht="24">
      <c r="B106" s="208" t="s">
        <v>53</v>
      </c>
      <c r="C106" s="204"/>
      <c r="D106" s="271">
        <v>-2415531</v>
      </c>
      <c r="E106" s="271">
        <v>-104948</v>
      </c>
      <c r="J106" s="203" t="s">
        <v>560</v>
      </c>
      <c r="K106" s="204"/>
      <c r="L106" s="203" t="s">
        <v>386</v>
      </c>
      <c r="M106" s="210">
        <v>210000</v>
      </c>
    </row>
    <row r="107" spans="2:13">
      <c r="B107" s="208" t="s">
        <v>498</v>
      </c>
      <c r="C107" s="204">
        <v>27</v>
      </c>
      <c r="D107" s="271">
        <v>-11287412</v>
      </c>
      <c r="E107" s="271">
        <v>-8142058</v>
      </c>
      <c r="J107" s="203" t="s">
        <v>561</v>
      </c>
      <c r="K107" s="204"/>
      <c r="L107" s="210">
        <v>309310</v>
      </c>
      <c r="M107" s="210">
        <v>70364</v>
      </c>
    </row>
    <row r="108" spans="2:13">
      <c r="B108" s="208" t="s">
        <v>499</v>
      </c>
      <c r="C108" s="585">
        <v>11</v>
      </c>
      <c r="D108" s="271">
        <v>12957577</v>
      </c>
      <c r="E108" s="271">
        <v>30105859</v>
      </c>
      <c r="J108" s="203" t="s">
        <v>562</v>
      </c>
      <c r="K108" s="204"/>
      <c r="L108" s="210">
        <v>627545</v>
      </c>
      <c r="M108" s="210">
        <v>453299</v>
      </c>
    </row>
    <row r="109" spans="2:13">
      <c r="B109" s="208" t="s">
        <v>500</v>
      </c>
      <c r="C109" s="585"/>
      <c r="D109" s="271">
        <v>-75875134</v>
      </c>
      <c r="E109" s="271"/>
      <c r="J109" s="203" t="s">
        <v>563</v>
      </c>
      <c r="K109" s="204"/>
      <c r="L109" s="203" t="s">
        <v>386</v>
      </c>
      <c r="M109" s="214">
        <v>-507285</v>
      </c>
    </row>
    <row r="110" spans="2:13">
      <c r="B110" s="208" t="s">
        <v>387</v>
      </c>
      <c r="C110" s="204">
        <v>28</v>
      </c>
      <c r="D110" s="271">
        <v>8665287</v>
      </c>
      <c r="E110" s="271">
        <v>3284112</v>
      </c>
      <c r="J110" s="203" t="s">
        <v>564</v>
      </c>
      <c r="K110" s="204"/>
      <c r="L110" s="214">
        <v>-121225</v>
      </c>
      <c r="M110" s="214">
        <v>-239239</v>
      </c>
    </row>
    <row r="111" spans="2:13">
      <c r="B111" s="208" t="s">
        <v>388</v>
      </c>
      <c r="C111" s="204">
        <v>29</v>
      </c>
      <c r="D111" s="271">
        <v>-23567179</v>
      </c>
      <c r="E111" s="271">
        <v>-8891473</v>
      </c>
      <c r="J111" s="203" t="s">
        <v>565</v>
      </c>
      <c r="K111" s="204"/>
      <c r="L111" s="214">
        <v>-88279</v>
      </c>
      <c r="M111" s="214">
        <v>-218676</v>
      </c>
    </row>
    <row r="112" spans="2:13" ht="13.5" thickBot="1">
      <c r="B112" s="270" t="s">
        <v>278</v>
      </c>
      <c r="C112" s="204">
        <v>26</v>
      </c>
      <c r="D112" s="271">
        <v>58628812</v>
      </c>
      <c r="E112" s="271">
        <v>2594937</v>
      </c>
      <c r="J112" s="211"/>
      <c r="K112" s="212"/>
      <c r="L112" s="211"/>
      <c r="M112" s="211"/>
    </row>
    <row r="113" spans="2:13">
      <c r="B113" s="270" t="s">
        <v>277</v>
      </c>
      <c r="C113" s="220"/>
      <c r="D113" s="271">
        <v>-3869049</v>
      </c>
      <c r="E113" s="271">
        <v>-200114</v>
      </c>
      <c r="J113" s="278"/>
      <c r="K113" s="279"/>
      <c r="L113" s="278"/>
      <c r="M113" s="278"/>
    </row>
    <row r="114" spans="2:13" ht="13.5" thickBot="1">
      <c r="B114" s="224"/>
      <c r="C114" s="212"/>
      <c r="D114" s="272"/>
      <c r="E114" s="272"/>
      <c r="J114" s="203"/>
      <c r="K114" s="204"/>
      <c r="L114" s="203"/>
      <c r="M114" s="203"/>
    </row>
    <row r="115" spans="2:13">
      <c r="B115" s="206"/>
      <c r="C115" s="213"/>
      <c r="D115" s="214"/>
      <c r="E115" s="214"/>
      <c r="J115" s="207" t="s">
        <v>566</v>
      </c>
      <c r="K115" s="213"/>
      <c r="L115" s="214">
        <v>2749554</v>
      </c>
      <c r="M115" s="214">
        <v>1945330</v>
      </c>
    </row>
    <row r="116" spans="2:13">
      <c r="B116" s="206" t="s">
        <v>389</v>
      </c>
      <c r="C116" s="213"/>
      <c r="D116" s="281">
        <f>SUM(D104:D113)</f>
        <v>20325059</v>
      </c>
      <c r="E116" s="281">
        <f>SUM(E104:E113)</f>
        <v>40370755</v>
      </c>
      <c r="J116" s="595"/>
      <c r="K116" s="585"/>
      <c r="L116" s="595"/>
      <c r="M116" s="595"/>
    </row>
    <row r="117" spans="2:13">
      <c r="B117" s="208"/>
      <c r="C117" s="204"/>
      <c r="D117" s="271"/>
      <c r="E117" s="221"/>
      <c r="J117" s="595"/>
      <c r="K117" s="585"/>
      <c r="L117" s="595"/>
      <c r="M117" s="595"/>
    </row>
    <row r="118" spans="2:13">
      <c r="B118" s="208" t="s">
        <v>286</v>
      </c>
      <c r="C118" s="204">
        <v>30</v>
      </c>
      <c r="D118" s="271">
        <v>-10061057</v>
      </c>
      <c r="E118" s="273">
        <v>-4017733</v>
      </c>
      <c r="J118" s="595"/>
      <c r="K118" s="585"/>
      <c r="L118" s="595"/>
      <c r="M118" s="595"/>
    </row>
    <row r="119" spans="2:13" ht="13.5" thickBot="1">
      <c r="B119" s="224"/>
      <c r="C119" s="212"/>
      <c r="D119" s="272"/>
      <c r="E119" s="272"/>
      <c r="J119" s="596"/>
      <c r="K119" s="597"/>
      <c r="L119" s="596"/>
      <c r="M119" s="596"/>
    </row>
    <row r="120" spans="2:13">
      <c r="B120" s="208"/>
      <c r="C120" s="204"/>
      <c r="D120" s="221"/>
      <c r="E120" s="221"/>
    </row>
    <row r="121" spans="2:13">
      <c r="B121" s="206" t="s">
        <v>501</v>
      </c>
      <c r="C121" s="213"/>
      <c r="D121" s="281">
        <f>SUM(D116:D118)</f>
        <v>10264002</v>
      </c>
      <c r="E121" s="281">
        <f>SUM(E116:E118)</f>
        <v>36353022</v>
      </c>
    </row>
    <row r="122" spans="2:13" ht="13.5" thickBot="1">
      <c r="B122" s="226"/>
      <c r="C122" s="218"/>
      <c r="D122" s="282"/>
      <c r="E122" s="283"/>
    </row>
    <row r="123" spans="2:13" ht="13.5" thickTop="1">
      <c r="B123" s="208"/>
      <c r="C123" s="204"/>
      <c r="D123" s="271"/>
      <c r="E123" s="221"/>
    </row>
    <row r="124" spans="2:13">
      <c r="B124" s="208" t="s">
        <v>502</v>
      </c>
      <c r="C124" s="204">
        <v>31</v>
      </c>
      <c r="D124" s="271">
        <v>2986593</v>
      </c>
      <c r="E124" s="221">
        <v>5523388</v>
      </c>
    </row>
    <row r="125" spans="2:13" ht="13.5" thickBot="1">
      <c r="B125" s="224"/>
      <c r="C125" s="212"/>
      <c r="D125" s="284"/>
      <c r="E125" s="272"/>
    </row>
    <row r="126" spans="2:13">
      <c r="B126" s="208"/>
      <c r="C126" s="204"/>
      <c r="D126" s="271"/>
      <c r="E126" s="221"/>
    </row>
    <row r="127" spans="2:13">
      <c r="B127" s="206" t="s">
        <v>503</v>
      </c>
      <c r="C127" s="204"/>
      <c r="D127" s="281">
        <f>SUM(D121:D124)</f>
        <v>13250595</v>
      </c>
      <c r="E127" s="281">
        <f>SUM(E121:E124)</f>
        <v>41876410</v>
      </c>
    </row>
    <row r="128" spans="2:13">
      <c r="B128" s="208"/>
      <c r="C128" s="204"/>
      <c r="D128" s="221"/>
      <c r="E128" s="221"/>
    </row>
    <row r="129" spans="2:5">
      <c r="B129" s="208" t="s">
        <v>504</v>
      </c>
      <c r="C129" s="585"/>
      <c r="D129" s="587">
        <v>-152764</v>
      </c>
      <c r="E129" s="587">
        <v>-162072</v>
      </c>
    </row>
    <row r="130" spans="2:5">
      <c r="B130" s="232"/>
      <c r="C130" s="585"/>
      <c r="D130" s="587"/>
      <c r="E130" s="587"/>
    </row>
    <row r="131" spans="2:5" ht="24">
      <c r="B131" s="233" t="s">
        <v>572</v>
      </c>
      <c r="C131" s="585"/>
      <c r="D131" s="587"/>
      <c r="E131" s="587"/>
    </row>
    <row r="132" spans="2:5">
      <c r="B132" s="234"/>
      <c r="C132" s="585"/>
      <c r="D132" s="587"/>
      <c r="E132" s="587"/>
    </row>
    <row r="133" spans="2:5" ht="24">
      <c r="B133" s="208" t="s">
        <v>505</v>
      </c>
      <c r="C133" s="585"/>
      <c r="D133" s="587"/>
      <c r="E133" s="587"/>
    </row>
    <row r="134" spans="2:5" ht="13.5" thickBot="1">
      <c r="B134" s="224"/>
      <c r="C134" s="212"/>
      <c r="D134" s="272"/>
      <c r="E134" s="272"/>
    </row>
    <row r="135" spans="2:5">
      <c r="B135" s="208"/>
      <c r="C135" s="204"/>
      <c r="D135" s="221"/>
      <c r="E135" s="221"/>
    </row>
    <row r="136" spans="2:5">
      <c r="B136" s="206" t="s">
        <v>506</v>
      </c>
      <c r="C136" s="213"/>
      <c r="D136" s="280">
        <f>SUM(D127:D133)</f>
        <v>13097831</v>
      </c>
      <c r="E136" s="280">
        <f>SUM(E127:E133)</f>
        <v>41714338</v>
      </c>
    </row>
    <row r="137" spans="2:5" ht="13.5" thickBot="1">
      <c r="B137" s="226"/>
      <c r="C137" s="218"/>
      <c r="D137" s="283"/>
      <c r="E137" s="283"/>
    </row>
    <row r="138" spans="2:5" ht="13.5" thickTop="1">
      <c r="B138" s="208"/>
      <c r="C138" s="204"/>
      <c r="D138" s="221"/>
      <c r="E138" s="221"/>
    </row>
    <row r="139" spans="2:5">
      <c r="B139" s="206" t="s">
        <v>507</v>
      </c>
      <c r="C139" s="204"/>
      <c r="D139" s="221"/>
      <c r="E139" s="221"/>
    </row>
    <row r="140" spans="2:5">
      <c r="B140" s="208" t="s">
        <v>508</v>
      </c>
      <c r="C140" s="204"/>
      <c r="D140" s="271">
        <v>15946974</v>
      </c>
      <c r="E140" s="271">
        <v>40853022</v>
      </c>
    </row>
    <row r="141" spans="2:5">
      <c r="B141" s="208" t="s">
        <v>509</v>
      </c>
      <c r="C141" s="204"/>
      <c r="D141" s="271">
        <v>-2696379</v>
      </c>
      <c r="E141" s="271">
        <v>1023388</v>
      </c>
    </row>
    <row r="142" spans="2:5" ht="13.5" thickBot="1">
      <c r="B142" s="224"/>
      <c r="C142" s="212"/>
      <c r="D142" s="272"/>
      <c r="E142" s="272"/>
    </row>
    <row r="143" spans="2:5">
      <c r="B143" s="208"/>
      <c r="C143" s="204"/>
      <c r="D143" s="221"/>
      <c r="E143" s="221"/>
    </row>
    <row r="144" spans="2:5">
      <c r="B144" s="206" t="s">
        <v>510</v>
      </c>
      <c r="C144" s="213"/>
      <c r="D144" s="280">
        <f>SUM(D140:D143)</f>
        <v>13250595</v>
      </c>
      <c r="E144" s="280">
        <f>SUM(E140:E143)</f>
        <v>41876410</v>
      </c>
    </row>
    <row r="145" spans="2:9" ht="13.5" thickBot="1">
      <c r="B145" s="226"/>
      <c r="C145" s="218"/>
      <c r="D145" s="283"/>
      <c r="E145" s="283"/>
    </row>
    <row r="146" spans="2:9" ht="13.5" thickTop="1">
      <c r="B146" s="208"/>
      <c r="C146" s="204"/>
      <c r="D146" s="221"/>
      <c r="E146" s="221"/>
    </row>
    <row r="147" spans="2:9">
      <c r="B147" s="206" t="s">
        <v>511</v>
      </c>
      <c r="C147" s="204"/>
      <c r="D147" s="221"/>
      <c r="E147" s="221"/>
    </row>
    <row r="148" spans="2:9">
      <c r="B148" s="208" t="s">
        <v>508</v>
      </c>
      <c r="C148" s="204"/>
      <c r="D148" s="271">
        <v>15794210</v>
      </c>
      <c r="E148" s="271">
        <v>40690950</v>
      </c>
    </row>
    <row r="149" spans="2:9">
      <c r="B149" s="208" t="s">
        <v>509</v>
      </c>
      <c r="C149" s="204"/>
      <c r="D149" s="271">
        <v>-2696379</v>
      </c>
      <c r="E149" s="271">
        <v>1023388</v>
      </c>
    </row>
    <row r="150" spans="2:9" ht="13.5" thickBot="1">
      <c r="B150" s="224"/>
      <c r="C150" s="212"/>
      <c r="D150" s="272"/>
      <c r="E150" s="272"/>
    </row>
    <row r="151" spans="2:9">
      <c r="B151" s="208"/>
      <c r="C151" s="204"/>
      <c r="D151" s="221"/>
      <c r="E151" s="221"/>
    </row>
    <row r="152" spans="2:9">
      <c r="B152" s="206" t="s">
        <v>506</v>
      </c>
      <c r="C152" s="204"/>
      <c r="D152" s="280">
        <f>SUM(D148:D151)</f>
        <v>13097831</v>
      </c>
      <c r="E152" s="280">
        <f>SUM(E148:E151)</f>
        <v>41714338</v>
      </c>
    </row>
    <row r="157" spans="2:9">
      <c r="B157" s="235"/>
      <c r="C157" s="236"/>
      <c r="D157" s="592" t="s">
        <v>512</v>
      </c>
      <c r="E157" s="592"/>
      <c r="F157" s="592"/>
      <c r="G157" s="592"/>
      <c r="H157" s="237" t="s">
        <v>513</v>
      </c>
      <c r="I157" s="593" t="s">
        <v>49</v>
      </c>
    </row>
    <row r="158" spans="2:9" ht="13.5" thickBot="1">
      <c r="B158" s="238"/>
      <c r="C158" s="236"/>
      <c r="D158" s="239"/>
      <c r="E158" s="239"/>
      <c r="F158" s="239"/>
      <c r="G158" s="239"/>
      <c r="H158" s="237" t="s">
        <v>514</v>
      </c>
      <c r="I158" s="593"/>
    </row>
    <row r="159" spans="2:9">
      <c r="B159" s="238"/>
      <c r="C159" s="236"/>
      <c r="D159" s="237"/>
      <c r="E159" s="237"/>
      <c r="F159" s="237"/>
      <c r="G159" s="237"/>
      <c r="H159" s="237" t="s">
        <v>515</v>
      </c>
      <c r="I159" s="593"/>
    </row>
    <row r="160" spans="2:9">
      <c r="B160" s="581" t="s">
        <v>392</v>
      </c>
      <c r="C160" s="583" t="s">
        <v>393</v>
      </c>
      <c r="D160" s="237" t="s">
        <v>517</v>
      </c>
      <c r="E160" s="237" t="s">
        <v>519</v>
      </c>
      <c r="F160" s="593" t="s">
        <v>522</v>
      </c>
      <c r="G160" s="593" t="s">
        <v>523</v>
      </c>
      <c r="H160" s="237" t="s">
        <v>516</v>
      </c>
      <c r="I160" s="593"/>
    </row>
    <row r="161" spans="2:9">
      <c r="B161" s="581"/>
      <c r="C161" s="583"/>
      <c r="D161" s="237" t="s">
        <v>518</v>
      </c>
      <c r="E161" s="237" t="s">
        <v>520</v>
      </c>
      <c r="F161" s="593"/>
      <c r="G161" s="593"/>
      <c r="H161" s="205"/>
      <c r="I161" s="593"/>
    </row>
    <row r="162" spans="2:9" ht="13.5" thickBot="1">
      <c r="B162" s="582"/>
      <c r="C162" s="584"/>
      <c r="D162" s="205"/>
      <c r="E162" s="237" t="s">
        <v>521</v>
      </c>
      <c r="F162" s="594"/>
      <c r="G162" s="594"/>
      <c r="H162" s="205"/>
      <c r="I162" s="594"/>
    </row>
    <row r="163" spans="2:9">
      <c r="B163" s="241"/>
      <c r="C163" s="242"/>
      <c r="D163" s="243"/>
      <c r="E163" s="243"/>
      <c r="F163" s="243"/>
      <c r="G163" s="243"/>
      <c r="H163" s="243"/>
      <c r="I163" s="243"/>
    </row>
    <row r="164" spans="2:9">
      <c r="B164" s="244" t="s">
        <v>583</v>
      </c>
      <c r="C164" s="245"/>
      <c r="D164" s="246">
        <v>222868957</v>
      </c>
      <c r="E164" s="246">
        <v>86622525</v>
      </c>
      <c r="F164" s="246">
        <v>34236867</v>
      </c>
      <c r="G164" s="246">
        <v>343728349</v>
      </c>
      <c r="H164" s="246">
        <v>1998321</v>
      </c>
      <c r="I164" s="254">
        <v>345726670</v>
      </c>
    </row>
    <row r="165" spans="2:9" ht="13.5" thickBot="1">
      <c r="B165" s="247"/>
      <c r="C165" s="248"/>
      <c r="D165" s="249"/>
      <c r="E165" s="249"/>
      <c r="F165" s="249"/>
      <c r="G165" s="249"/>
      <c r="H165" s="249"/>
      <c r="I165" s="249"/>
    </row>
    <row r="166" spans="2:9">
      <c r="B166" s="250"/>
      <c r="C166" s="245"/>
      <c r="D166" s="251"/>
      <c r="E166" s="251"/>
      <c r="F166" s="251"/>
      <c r="G166" s="251"/>
      <c r="H166" s="251"/>
      <c r="I166" s="251"/>
    </row>
    <row r="167" spans="2:9">
      <c r="B167" s="250" t="s">
        <v>524</v>
      </c>
      <c r="C167" s="245"/>
      <c r="D167" s="251" t="s">
        <v>386</v>
      </c>
      <c r="E167" s="253" t="s">
        <v>386</v>
      </c>
      <c r="F167" s="252">
        <v>40853022</v>
      </c>
      <c r="G167" s="252">
        <v>40853022</v>
      </c>
      <c r="H167" s="252">
        <v>1023388</v>
      </c>
      <c r="I167" s="252">
        <v>41876410</v>
      </c>
    </row>
    <row r="168" spans="2:9">
      <c r="B168" s="250" t="s">
        <v>525</v>
      </c>
      <c r="C168" s="245"/>
      <c r="D168" s="251" t="s">
        <v>386</v>
      </c>
      <c r="E168" s="252">
        <v>-162072</v>
      </c>
      <c r="F168" s="251" t="s">
        <v>386</v>
      </c>
      <c r="G168" s="252">
        <v>-162072</v>
      </c>
      <c r="H168" s="251" t="s">
        <v>386</v>
      </c>
      <c r="I168" s="252">
        <v>-162072</v>
      </c>
    </row>
    <row r="169" spans="2:9" ht="13.5" thickBot="1">
      <c r="B169" s="247"/>
      <c r="C169" s="248"/>
      <c r="D169" s="249"/>
      <c r="E169" s="249"/>
      <c r="F169" s="249"/>
      <c r="G169" s="249"/>
      <c r="H169" s="249"/>
      <c r="I169" s="249"/>
    </row>
    <row r="170" spans="2:9">
      <c r="B170" s="250"/>
      <c r="C170" s="245"/>
      <c r="D170" s="251"/>
      <c r="E170" s="251"/>
      <c r="F170" s="251"/>
      <c r="G170" s="251"/>
      <c r="H170" s="251"/>
      <c r="I170" s="251"/>
    </row>
    <row r="171" spans="2:9">
      <c r="B171" s="250" t="s">
        <v>526</v>
      </c>
      <c r="C171" s="245"/>
      <c r="D171" s="251" t="s">
        <v>386</v>
      </c>
      <c r="E171" s="252">
        <v>-162072</v>
      </c>
      <c r="F171" s="252">
        <v>40853022</v>
      </c>
      <c r="G171" s="252">
        <v>40690950</v>
      </c>
      <c r="H171" s="252">
        <v>1023388</v>
      </c>
      <c r="I171" s="252">
        <v>41714338</v>
      </c>
    </row>
    <row r="172" spans="2:9" ht="13.5" thickBot="1">
      <c r="B172" s="247"/>
      <c r="C172" s="248"/>
      <c r="D172" s="249"/>
      <c r="E172" s="249"/>
      <c r="F172" s="249"/>
      <c r="G172" s="249"/>
      <c r="H172" s="249"/>
      <c r="I172" s="249"/>
    </row>
    <row r="173" spans="2:9">
      <c r="B173" s="250"/>
      <c r="C173" s="245"/>
      <c r="D173" s="251"/>
      <c r="E173" s="251"/>
      <c r="F173" s="251"/>
      <c r="G173" s="251"/>
      <c r="H173" s="251"/>
      <c r="I173" s="251"/>
    </row>
    <row r="174" spans="2:9">
      <c r="B174" s="250" t="s">
        <v>527</v>
      </c>
      <c r="C174" s="245">
        <v>18</v>
      </c>
      <c r="D174" s="252">
        <v>11077312</v>
      </c>
      <c r="E174" s="251" t="s">
        <v>532</v>
      </c>
      <c r="F174" s="251" t="s">
        <v>386</v>
      </c>
      <c r="G174" s="252">
        <v>11077312</v>
      </c>
      <c r="H174" s="251" t="s">
        <v>386</v>
      </c>
      <c r="I174" s="252">
        <v>11077312</v>
      </c>
    </row>
    <row r="175" spans="2:9">
      <c r="B175" s="250" t="s">
        <v>533</v>
      </c>
      <c r="C175" s="245">
        <v>18</v>
      </c>
      <c r="D175" s="251" t="s">
        <v>386</v>
      </c>
      <c r="E175" s="252">
        <v>-11151638</v>
      </c>
      <c r="F175" s="251" t="s">
        <v>386</v>
      </c>
      <c r="G175" s="252">
        <v>-11151638</v>
      </c>
      <c r="H175" s="251" t="s">
        <v>386</v>
      </c>
      <c r="I175" s="252">
        <v>-11151638</v>
      </c>
    </row>
    <row r="176" spans="2:9">
      <c r="B176" s="250" t="s">
        <v>529</v>
      </c>
      <c r="C176" s="245"/>
      <c r="D176" s="251" t="s">
        <v>386</v>
      </c>
      <c r="E176" s="251" t="s">
        <v>386</v>
      </c>
      <c r="F176" s="252">
        <v>-2813667</v>
      </c>
      <c r="G176" s="252">
        <v>-2813667</v>
      </c>
      <c r="H176" s="251" t="s">
        <v>386</v>
      </c>
      <c r="I176" s="252">
        <v>-2813667</v>
      </c>
    </row>
    <row r="177" spans="2:9" ht="13.5" thickBot="1">
      <c r="B177" s="249"/>
      <c r="C177" s="248"/>
      <c r="D177" s="249"/>
      <c r="E177" s="249"/>
      <c r="F177" s="249"/>
      <c r="G177" s="249"/>
      <c r="H177" s="249"/>
      <c r="I177" s="249"/>
    </row>
    <row r="178" spans="2:9">
      <c r="B178" s="244"/>
      <c r="C178" s="240"/>
      <c r="D178" s="253"/>
      <c r="E178" s="253"/>
      <c r="F178" s="253"/>
      <c r="G178" s="253"/>
      <c r="H178" s="251"/>
      <c r="I178" s="253"/>
    </row>
    <row r="179" spans="2:9">
      <c r="B179" s="244" t="s">
        <v>530</v>
      </c>
      <c r="C179" s="240"/>
      <c r="D179" s="246">
        <v>233946269</v>
      </c>
      <c r="E179" s="246">
        <v>75308815</v>
      </c>
      <c r="F179" s="246">
        <v>72276222</v>
      </c>
      <c r="G179" s="246">
        <v>381531306</v>
      </c>
      <c r="H179" s="246">
        <v>3021709</v>
      </c>
      <c r="I179" s="246">
        <v>384553015</v>
      </c>
    </row>
    <row r="180" spans="2:9" ht="13.5" thickBot="1">
      <c r="B180" s="255"/>
      <c r="C180" s="256"/>
      <c r="D180" s="257"/>
      <c r="E180" s="257"/>
      <c r="F180" s="257"/>
      <c r="G180" s="257"/>
      <c r="H180" s="257"/>
      <c r="I180" s="257"/>
    </row>
    <row r="181" spans="2:9" ht="13.5" thickTop="1">
      <c r="B181" s="258"/>
      <c r="C181" s="259"/>
      <c r="D181" s="260"/>
      <c r="E181" s="260"/>
      <c r="F181" s="260"/>
      <c r="G181" s="260"/>
      <c r="H181" s="260"/>
      <c r="I181" s="260"/>
    </row>
    <row r="182" spans="2:9">
      <c r="B182" s="261"/>
      <c r="C182" s="240"/>
      <c r="D182" s="251"/>
      <c r="E182" s="251"/>
      <c r="F182" s="251"/>
      <c r="G182" s="251"/>
      <c r="H182" s="251"/>
      <c r="I182" s="251"/>
    </row>
    <row r="183" spans="2:9">
      <c r="B183" s="250" t="s">
        <v>531</v>
      </c>
      <c r="C183" s="245"/>
      <c r="D183" s="246" t="s">
        <v>386</v>
      </c>
      <c r="E183" s="246" t="s">
        <v>386</v>
      </c>
      <c r="F183" s="286">
        <v>15946974</v>
      </c>
      <c r="G183" s="286">
        <v>15946974</v>
      </c>
      <c r="H183" s="286">
        <v>-2696379</v>
      </c>
      <c r="I183" s="286">
        <v>13250595</v>
      </c>
    </row>
    <row r="184" spans="2:9">
      <c r="B184" s="250" t="s">
        <v>525</v>
      </c>
      <c r="C184" s="245"/>
      <c r="D184" s="252" t="s">
        <v>386</v>
      </c>
      <c r="E184" s="286">
        <v>-152764</v>
      </c>
      <c r="F184" s="286" t="s">
        <v>386</v>
      </c>
      <c r="G184" s="286">
        <v>-152764</v>
      </c>
      <c r="H184" s="286" t="s">
        <v>386</v>
      </c>
      <c r="I184" s="286">
        <v>-152764</v>
      </c>
    </row>
    <row r="185" spans="2:9" ht="13.5" thickBot="1">
      <c r="B185" s="247"/>
      <c r="C185" s="248"/>
      <c r="D185" s="287"/>
      <c r="E185" s="287"/>
      <c r="F185" s="287"/>
      <c r="G185" s="287"/>
      <c r="H185" s="287"/>
      <c r="I185" s="287"/>
    </row>
    <row r="186" spans="2:9">
      <c r="B186" s="250"/>
      <c r="C186" s="245"/>
      <c r="D186" s="252"/>
      <c r="E186" s="252"/>
      <c r="F186" s="252"/>
      <c r="G186" s="252"/>
      <c r="H186" s="252"/>
      <c r="I186" s="252"/>
    </row>
    <row r="187" spans="2:9">
      <c r="B187" s="250" t="s">
        <v>526</v>
      </c>
      <c r="C187" s="245"/>
      <c r="D187" s="252" t="s">
        <v>386</v>
      </c>
      <c r="E187" s="286">
        <v>-152764</v>
      </c>
      <c r="F187" s="286">
        <v>15946974</v>
      </c>
      <c r="G187" s="286">
        <v>15794210</v>
      </c>
      <c r="H187" s="286">
        <v>-2696379</v>
      </c>
      <c r="I187" s="286">
        <v>13097831</v>
      </c>
    </row>
    <row r="188" spans="2:9" ht="13.5" thickBot="1">
      <c r="B188" s="247"/>
      <c r="C188" s="248"/>
      <c r="D188" s="287"/>
      <c r="E188" s="287"/>
      <c r="F188" s="287"/>
      <c r="G188" s="287"/>
      <c r="H188" s="287"/>
      <c r="I188" s="287"/>
    </row>
    <row r="189" spans="2:9">
      <c r="B189" s="250"/>
      <c r="C189" s="245"/>
      <c r="D189" s="252"/>
      <c r="E189" s="252"/>
      <c r="F189" s="252"/>
      <c r="G189" s="252"/>
      <c r="H189" s="252"/>
      <c r="I189" s="252"/>
    </row>
    <row r="190" spans="2:9">
      <c r="B190" s="250" t="s">
        <v>527</v>
      </c>
      <c r="C190" s="245">
        <v>18</v>
      </c>
      <c r="D190" s="286">
        <v>21418117</v>
      </c>
      <c r="E190" s="286" t="s">
        <v>386</v>
      </c>
      <c r="F190" s="286" t="s">
        <v>386</v>
      </c>
      <c r="G190" s="286">
        <v>21418117</v>
      </c>
      <c r="H190" s="286" t="s">
        <v>386</v>
      </c>
      <c r="I190" s="286">
        <v>21418117</v>
      </c>
    </row>
    <row r="191" spans="2:9" ht="33.75">
      <c r="B191" s="250" t="s">
        <v>586</v>
      </c>
      <c r="C191" s="245">
        <v>18</v>
      </c>
      <c r="D191" s="252" t="s">
        <v>386</v>
      </c>
      <c r="E191" s="286">
        <v>-20162954</v>
      </c>
      <c r="F191" s="286" t="s">
        <v>386</v>
      </c>
      <c r="G191" s="286">
        <v>-20162954</v>
      </c>
      <c r="H191" s="286">
        <v>1812954</v>
      </c>
      <c r="I191" s="286">
        <v>-18350000</v>
      </c>
    </row>
    <row r="192" spans="2:9" ht="33.75">
      <c r="B192" s="250" t="s">
        <v>585</v>
      </c>
      <c r="C192" s="245"/>
      <c r="D192" s="252"/>
      <c r="E192" s="286">
        <v>18922380</v>
      </c>
      <c r="F192" s="286" t="s">
        <v>386</v>
      </c>
      <c r="G192" s="286">
        <v>18922380</v>
      </c>
      <c r="H192" s="286" t="s">
        <v>386</v>
      </c>
      <c r="I192" s="286">
        <v>18922380</v>
      </c>
    </row>
    <row r="193" spans="2:9">
      <c r="B193" s="250" t="s">
        <v>584</v>
      </c>
      <c r="C193" s="245"/>
      <c r="D193" s="286">
        <v>100000000</v>
      </c>
      <c r="E193" s="286">
        <v>-18922380</v>
      </c>
      <c r="F193" s="286">
        <v>501093</v>
      </c>
      <c r="G193" s="286">
        <v>81578713</v>
      </c>
      <c r="H193" s="286" t="s">
        <v>386</v>
      </c>
      <c r="I193" s="286">
        <v>81578713</v>
      </c>
    </row>
    <row r="194" spans="2:9">
      <c r="B194" s="250" t="s">
        <v>529</v>
      </c>
      <c r="C194" s="245"/>
      <c r="D194" s="286" t="s">
        <v>386</v>
      </c>
      <c r="E194" s="286" t="s">
        <v>386</v>
      </c>
      <c r="F194" s="286">
        <v>-8170605</v>
      </c>
      <c r="G194" s="286">
        <v>-8170605</v>
      </c>
      <c r="H194" s="286" t="s">
        <v>386</v>
      </c>
      <c r="I194" s="286">
        <v>-8170605</v>
      </c>
    </row>
    <row r="195" spans="2:9" ht="13.5" thickBot="1">
      <c r="B195" s="247"/>
      <c r="C195" s="248"/>
      <c r="D195" s="287"/>
      <c r="E195" s="287"/>
      <c r="F195" s="287"/>
      <c r="G195" s="287"/>
      <c r="H195" s="287"/>
      <c r="I195" s="287"/>
    </row>
    <row r="196" spans="2:9">
      <c r="B196" s="244"/>
      <c r="C196" s="240"/>
      <c r="D196" s="246"/>
      <c r="E196" s="246"/>
      <c r="F196" s="246"/>
      <c r="G196" s="246"/>
      <c r="H196" s="246"/>
      <c r="I196" s="246"/>
    </row>
    <row r="197" spans="2:9">
      <c r="B197" s="244" t="s">
        <v>534</v>
      </c>
      <c r="C197" s="240"/>
      <c r="D197" s="288">
        <v>355364386</v>
      </c>
      <c r="E197" s="288">
        <v>54993097</v>
      </c>
      <c r="F197" s="288">
        <v>80553684</v>
      </c>
      <c r="G197" s="288">
        <v>490911167</v>
      </c>
      <c r="H197" s="288">
        <v>2138284</v>
      </c>
      <c r="I197" s="288">
        <v>493049451</v>
      </c>
    </row>
    <row r="198" spans="2:9" ht="13.5" thickBot="1">
      <c r="B198" s="255"/>
      <c r="C198" s="256"/>
      <c r="D198" s="257"/>
      <c r="E198" s="257"/>
      <c r="F198" s="257"/>
      <c r="G198" s="257"/>
      <c r="H198" s="257"/>
      <c r="I198" s="257"/>
    </row>
    <row r="199" spans="2:9" ht="13.5" thickTop="1"/>
    <row r="202" spans="2:9" ht="13.5" thickBot="1">
      <c r="B202" s="176" t="s">
        <v>392</v>
      </c>
      <c r="C202" s="177" t="s">
        <v>393</v>
      </c>
      <c r="D202" s="262" t="s">
        <v>495</v>
      </c>
      <c r="E202" s="262" t="s">
        <v>495</v>
      </c>
    </row>
    <row r="203" spans="2:9">
      <c r="B203" s="178"/>
      <c r="C203" s="199"/>
      <c r="D203" s="178"/>
      <c r="E203" s="178"/>
    </row>
    <row r="204" spans="2:9">
      <c r="B204" s="180" t="s">
        <v>395</v>
      </c>
      <c r="C204" s="199"/>
      <c r="D204" s="178"/>
      <c r="E204" s="178"/>
    </row>
    <row r="205" spans="2:9">
      <c r="B205" s="178" t="s">
        <v>535</v>
      </c>
      <c r="C205" s="199"/>
      <c r="D205" s="286">
        <v>20325059</v>
      </c>
      <c r="E205" s="286">
        <v>40370755</v>
      </c>
    </row>
    <row r="206" spans="2:9">
      <c r="B206" s="178" t="s">
        <v>536</v>
      </c>
      <c r="C206" s="199">
        <v>31</v>
      </c>
      <c r="D206" s="286">
        <v>3980433</v>
      </c>
      <c r="E206" s="286">
        <v>7127880</v>
      </c>
    </row>
    <row r="207" spans="2:9">
      <c r="B207" s="178"/>
      <c r="C207" s="199"/>
      <c r="D207" s="195"/>
      <c r="E207" s="195"/>
    </row>
    <row r="208" spans="2:9">
      <c r="B208" s="178" t="s">
        <v>396</v>
      </c>
      <c r="C208" s="199"/>
      <c r="D208" s="263"/>
      <c r="E208" s="263"/>
    </row>
    <row r="209" spans="2:5">
      <c r="B209" s="178"/>
      <c r="C209" s="199"/>
      <c r="D209" s="195"/>
      <c r="E209" s="195"/>
    </row>
    <row r="210" spans="2:5">
      <c r="B210" s="178" t="s">
        <v>537</v>
      </c>
      <c r="C210" s="199"/>
      <c r="D210" s="263" t="s">
        <v>386</v>
      </c>
      <c r="E210" s="263" t="s">
        <v>386</v>
      </c>
    </row>
    <row r="211" spans="2:5">
      <c r="B211" s="178" t="s">
        <v>538</v>
      </c>
      <c r="C211" s="199"/>
      <c r="D211" s="286">
        <v>28623006</v>
      </c>
      <c r="E211" s="286">
        <v>10601853</v>
      </c>
    </row>
    <row r="212" spans="2:5">
      <c r="B212" s="178" t="s">
        <v>399</v>
      </c>
      <c r="C212" s="199"/>
      <c r="D212" s="263"/>
      <c r="E212" s="290">
        <v>121225</v>
      </c>
    </row>
    <row r="213" spans="2:5" ht="19.5">
      <c r="B213" s="178" t="s">
        <v>539</v>
      </c>
      <c r="C213" s="178"/>
      <c r="D213" s="286">
        <v>57371</v>
      </c>
      <c r="E213" s="286">
        <v>-460743</v>
      </c>
    </row>
    <row r="214" spans="2:5">
      <c r="B214" s="178" t="s">
        <v>540</v>
      </c>
      <c r="C214" s="178"/>
      <c r="D214" s="286">
        <v>862654</v>
      </c>
      <c r="E214" s="286">
        <v>-278564</v>
      </c>
    </row>
    <row r="215" spans="2:5">
      <c r="B215" s="178" t="s">
        <v>404</v>
      </c>
      <c r="C215" s="199"/>
      <c r="D215" s="286">
        <v>-379358</v>
      </c>
      <c r="E215" s="286">
        <v>-438723</v>
      </c>
    </row>
    <row r="216" spans="2:5">
      <c r="B216" s="178" t="s">
        <v>407</v>
      </c>
      <c r="C216" s="199"/>
      <c r="D216" s="286">
        <v>-27840</v>
      </c>
      <c r="E216" s="286">
        <v>314619</v>
      </c>
    </row>
    <row r="217" spans="2:5">
      <c r="B217" s="178" t="s">
        <v>388</v>
      </c>
      <c r="C217" s="199">
        <v>29</v>
      </c>
      <c r="D217" s="286">
        <v>23567179</v>
      </c>
      <c r="E217" s="286">
        <v>8891473</v>
      </c>
    </row>
    <row r="218" spans="2:5">
      <c r="B218" s="178" t="s">
        <v>387</v>
      </c>
      <c r="C218" s="199">
        <v>28</v>
      </c>
      <c r="D218" s="286">
        <v>-8665287</v>
      </c>
      <c r="E218" s="286">
        <v>-3284112</v>
      </c>
    </row>
    <row r="219" spans="2:5">
      <c r="B219" s="178" t="s">
        <v>408</v>
      </c>
      <c r="C219" s="199">
        <v>11</v>
      </c>
      <c r="D219" s="286">
        <v>-12957577</v>
      </c>
      <c r="E219" s="286">
        <v>-30105859</v>
      </c>
    </row>
    <row r="220" spans="2:5">
      <c r="B220" s="285" t="s">
        <v>587</v>
      </c>
      <c r="C220" s="289">
        <v>25</v>
      </c>
      <c r="D220" s="286">
        <v>-56682576</v>
      </c>
      <c r="E220" s="286" t="s">
        <v>386</v>
      </c>
    </row>
    <row r="221" spans="2:5">
      <c r="B221" s="285" t="s">
        <v>328</v>
      </c>
      <c r="C221" s="289">
        <v>4</v>
      </c>
      <c r="D221" s="286">
        <v>75875134</v>
      </c>
      <c r="E221" s="286" t="s">
        <v>386</v>
      </c>
    </row>
    <row r="222" spans="2:5">
      <c r="B222" s="178" t="s">
        <v>541</v>
      </c>
      <c r="C222" s="199"/>
      <c r="D222" s="286">
        <v>-131000</v>
      </c>
      <c r="E222" s="286">
        <v>-238000</v>
      </c>
    </row>
    <row r="223" spans="2:5">
      <c r="B223" s="285" t="s">
        <v>588</v>
      </c>
      <c r="C223" s="289">
        <v>25</v>
      </c>
      <c r="D223" s="286">
        <v>2785109</v>
      </c>
      <c r="E223" s="286" t="s">
        <v>386</v>
      </c>
    </row>
    <row r="224" spans="2:5">
      <c r="B224" s="285" t="s">
        <v>410</v>
      </c>
      <c r="C224" s="289"/>
      <c r="D224" s="286">
        <v>-88506</v>
      </c>
      <c r="E224" s="286">
        <v>-167455</v>
      </c>
    </row>
    <row r="225" spans="2:7" ht="13.5" thickBot="1">
      <c r="B225" s="181"/>
      <c r="C225" s="182"/>
      <c r="D225" s="291"/>
      <c r="E225" s="291"/>
    </row>
    <row r="226" spans="2:7">
      <c r="B226" s="180"/>
      <c r="C226" s="199"/>
      <c r="D226" s="263"/>
      <c r="E226" s="263"/>
    </row>
    <row r="227" spans="2:7">
      <c r="B227" s="180" t="s">
        <v>411</v>
      </c>
      <c r="C227" s="589"/>
      <c r="D227" s="598">
        <v>77143801</v>
      </c>
      <c r="E227" s="598">
        <v>32454349</v>
      </c>
      <c r="G227" s="209">
        <f>D227-'ОДД (косвен.метод)'!C30</f>
        <v>0</v>
      </c>
    </row>
    <row r="228" spans="2:7">
      <c r="B228" s="180" t="s">
        <v>412</v>
      </c>
      <c r="C228" s="589"/>
      <c r="D228" s="598"/>
      <c r="E228" s="598" t="s">
        <v>589</v>
      </c>
    </row>
    <row r="229" spans="2:7" ht="19.5">
      <c r="B229" s="178" t="s">
        <v>542</v>
      </c>
      <c r="C229" s="199"/>
      <c r="D229" s="290">
        <v>1242296</v>
      </c>
      <c r="E229" s="292">
        <v>-3647701</v>
      </c>
    </row>
    <row r="230" spans="2:7">
      <c r="B230" s="178" t="s">
        <v>543</v>
      </c>
      <c r="C230" s="199"/>
      <c r="D230" s="286">
        <v>-936449</v>
      </c>
      <c r="E230" s="293">
        <v>-2111769</v>
      </c>
    </row>
    <row r="231" spans="2:7" ht="19.5">
      <c r="B231" s="178" t="s">
        <v>544</v>
      </c>
      <c r="C231" s="199"/>
      <c r="D231" s="290">
        <v>-2018647</v>
      </c>
      <c r="E231" s="292">
        <v>-3928507</v>
      </c>
    </row>
    <row r="232" spans="2:7">
      <c r="B232" s="178" t="s">
        <v>545</v>
      </c>
      <c r="C232" s="199"/>
      <c r="D232" s="286">
        <v>-14676</v>
      </c>
      <c r="E232" s="293">
        <v>-123507</v>
      </c>
    </row>
    <row r="233" spans="2:7">
      <c r="B233" s="178" t="s">
        <v>546</v>
      </c>
      <c r="C233" s="199"/>
      <c r="D233" s="286">
        <v>-126510</v>
      </c>
      <c r="E233" s="293">
        <v>235063</v>
      </c>
    </row>
    <row r="234" spans="2:7" ht="13.5" thickBot="1">
      <c r="B234" s="183"/>
      <c r="C234" s="182"/>
      <c r="D234" s="291"/>
      <c r="E234" s="291"/>
    </row>
    <row r="235" spans="2:7">
      <c r="B235" s="180"/>
      <c r="C235" s="199"/>
      <c r="D235" s="263"/>
      <c r="E235" s="263"/>
    </row>
    <row r="236" spans="2:7">
      <c r="B236" s="180" t="s">
        <v>573</v>
      </c>
      <c r="C236" s="199"/>
      <c r="D236" s="288">
        <v>75289815</v>
      </c>
      <c r="E236" s="294">
        <v>22877928</v>
      </c>
    </row>
    <row r="237" spans="2:7">
      <c r="B237" s="178" t="s">
        <v>419</v>
      </c>
      <c r="C237" s="199"/>
      <c r="D237" s="286">
        <v>-4578919</v>
      </c>
      <c r="E237" s="293">
        <v>-653294</v>
      </c>
    </row>
    <row r="238" spans="2:7">
      <c r="B238" s="178" t="s">
        <v>420</v>
      </c>
      <c r="C238" s="199"/>
      <c r="D238" s="286">
        <v>-20679561</v>
      </c>
      <c r="E238" s="293">
        <v>-5246529</v>
      </c>
    </row>
    <row r="239" spans="2:7">
      <c r="B239" s="178" t="s">
        <v>421</v>
      </c>
      <c r="C239" s="199"/>
      <c r="D239" s="286">
        <v>5771472</v>
      </c>
      <c r="E239" s="293">
        <v>6328126</v>
      </c>
    </row>
    <row r="240" spans="2:7" ht="13.5" thickBot="1">
      <c r="B240" s="183"/>
      <c r="C240" s="182"/>
      <c r="D240" s="291"/>
      <c r="E240" s="291"/>
    </row>
    <row r="241" spans="2:8">
      <c r="B241" s="178"/>
      <c r="C241" s="199"/>
      <c r="D241" s="195"/>
      <c r="E241" s="195"/>
    </row>
    <row r="242" spans="2:8">
      <c r="B242" s="180" t="s">
        <v>574</v>
      </c>
      <c r="C242" s="199"/>
      <c r="D242" s="288">
        <v>55802807</v>
      </c>
      <c r="E242" s="288">
        <v>23306231</v>
      </c>
    </row>
    <row r="243" spans="2:8" ht="18.75">
      <c r="B243" s="180" t="s">
        <v>575</v>
      </c>
      <c r="C243" s="199">
        <v>31</v>
      </c>
      <c r="D243" s="300">
        <v>4870923</v>
      </c>
      <c r="E243" s="301">
        <v>6657225</v>
      </c>
    </row>
    <row r="244" spans="2:8" ht="13.5" thickBot="1">
      <c r="B244" s="183"/>
      <c r="C244" s="182"/>
      <c r="D244" s="291"/>
      <c r="E244" s="291"/>
    </row>
    <row r="245" spans="2:8">
      <c r="B245" s="178"/>
      <c r="C245" s="199"/>
      <c r="D245" s="195"/>
      <c r="E245" s="195"/>
    </row>
    <row r="246" spans="2:8">
      <c r="B246" s="180" t="s">
        <v>423</v>
      </c>
      <c r="C246" s="199"/>
      <c r="D246" s="195"/>
      <c r="E246" s="195"/>
    </row>
    <row r="247" spans="2:8">
      <c r="B247" s="178" t="s">
        <v>424</v>
      </c>
      <c r="C247" s="199"/>
      <c r="D247" s="286">
        <v>-75246928</v>
      </c>
      <c r="E247" s="293">
        <v>-44141535</v>
      </c>
      <c r="G247" s="209">
        <f>SUM(D247:D252,D257)</f>
        <v>-334675690</v>
      </c>
      <c r="H247" s="209">
        <f>SUM(E247:E252,E256:E257,E259)</f>
        <v>-102810918</v>
      </c>
    </row>
    <row r="248" spans="2:8">
      <c r="B248" s="178" t="s">
        <v>425</v>
      </c>
      <c r="C248" s="199"/>
      <c r="D248" s="286">
        <v>-266694</v>
      </c>
      <c r="E248" s="293">
        <v>-22693</v>
      </c>
      <c r="G248">
        <f>-'ОДД (косвен.метод)'!C55</f>
        <v>334675690</v>
      </c>
      <c r="H248">
        <f>'ОДД (косвен.метод)'!D55</f>
        <v>-102810918</v>
      </c>
    </row>
    <row r="249" spans="2:8">
      <c r="B249" s="178" t="s">
        <v>547</v>
      </c>
      <c r="C249" s="199"/>
      <c r="D249" s="286">
        <v>-1708070</v>
      </c>
      <c r="E249" s="293">
        <v>-532641</v>
      </c>
      <c r="H249" s="209">
        <f>H247-H248</f>
        <v>0</v>
      </c>
    </row>
    <row r="250" spans="2:8">
      <c r="B250" s="178" t="s">
        <v>426</v>
      </c>
      <c r="C250" s="199"/>
      <c r="D250" s="286">
        <v>-233037478</v>
      </c>
      <c r="E250" s="293">
        <v>-15622</v>
      </c>
    </row>
    <row r="251" spans="2:8">
      <c r="B251" s="173" t="s">
        <v>591</v>
      </c>
      <c r="C251" s="199"/>
      <c r="D251" s="286">
        <v>-18350000</v>
      </c>
      <c r="E251" s="293" t="s">
        <v>386</v>
      </c>
    </row>
    <row r="252" spans="2:8">
      <c r="B252" s="173" t="s">
        <v>427</v>
      </c>
      <c r="C252" s="199"/>
      <c r="D252" s="286">
        <v>-6059620</v>
      </c>
      <c r="E252" s="293">
        <v>-554000</v>
      </c>
    </row>
    <row r="253" spans="2:8">
      <c r="B253" s="173" t="s">
        <v>431</v>
      </c>
      <c r="C253" s="199"/>
      <c r="D253" s="286" t="s">
        <v>386</v>
      </c>
      <c r="E253" s="293">
        <v>121240</v>
      </c>
    </row>
    <row r="254" spans="2:8">
      <c r="B254" s="178" t="s">
        <v>548</v>
      </c>
      <c r="C254" s="199"/>
      <c r="D254" s="286">
        <v>45500</v>
      </c>
      <c r="E254" s="293" t="s">
        <v>590</v>
      </c>
    </row>
    <row r="255" spans="2:8">
      <c r="B255" s="178" t="s">
        <v>576</v>
      </c>
      <c r="C255" s="199"/>
      <c r="D255" s="286">
        <v>2452</v>
      </c>
      <c r="E255" s="293">
        <v>82339</v>
      </c>
    </row>
    <row r="256" spans="2:8">
      <c r="B256" s="173" t="s">
        <v>594</v>
      </c>
      <c r="C256" s="199"/>
      <c r="D256" s="286">
        <v>40320275</v>
      </c>
      <c r="E256" s="293">
        <v>-49967345</v>
      </c>
    </row>
    <row r="257" spans="2:5">
      <c r="B257" s="173" t="s">
        <v>592</v>
      </c>
      <c r="C257" s="199"/>
      <c r="D257" s="271">
        <v>-6900</v>
      </c>
      <c r="E257" s="293">
        <v>-3987819</v>
      </c>
    </row>
    <row r="258" spans="2:5">
      <c r="B258" s="178" t="s">
        <v>549</v>
      </c>
      <c r="C258" s="199"/>
      <c r="D258" s="286">
        <v>3669540</v>
      </c>
      <c r="E258" s="293">
        <v>5218612</v>
      </c>
    </row>
    <row r="259" spans="2:5">
      <c r="B259" s="173" t="s">
        <v>593</v>
      </c>
      <c r="C259" s="199"/>
      <c r="D259" s="286">
        <v>412739</v>
      </c>
      <c r="E259" s="293">
        <v>-3589263</v>
      </c>
    </row>
    <row r="260" spans="2:5">
      <c r="B260" s="173" t="s">
        <v>595</v>
      </c>
      <c r="C260" s="199"/>
      <c r="D260" s="286">
        <v>1463491</v>
      </c>
      <c r="E260" s="293"/>
    </row>
    <row r="261" spans="2:5">
      <c r="B261" s="178" t="s">
        <v>437</v>
      </c>
      <c r="C261" s="199"/>
      <c r="D261" s="286"/>
      <c r="E261" s="293">
        <v>94943</v>
      </c>
    </row>
    <row r="262" spans="2:5" ht="13.5" thickBot="1">
      <c r="B262" s="183"/>
      <c r="C262" s="182"/>
      <c r="D262" s="291"/>
      <c r="E262" s="291"/>
    </row>
    <row r="263" spans="2:5">
      <c r="B263" s="180"/>
      <c r="C263" s="199"/>
      <c r="D263" s="263"/>
      <c r="E263" s="263"/>
    </row>
    <row r="264" spans="2:5">
      <c r="B264" s="180" t="s">
        <v>577</v>
      </c>
      <c r="C264" s="199"/>
      <c r="D264" s="288">
        <v>-288761693</v>
      </c>
      <c r="E264" s="288">
        <v>-97293784</v>
      </c>
    </row>
    <row r="265" spans="2:5" ht="18.75">
      <c r="B265" s="180" t="s">
        <v>578</v>
      </c>
      <c r="C265" s="199">
        <v>31</v>
      </c>
      <c r="D265" s="300">
        <v>-6601771</v>
      </c>
      <c r="E265" s="300">
        <v>-6908652</v>
      </c>
    </row>
    <row r="266" spans="2:5" ht="13.5" thickBot="1">
      <c r="B266" s="183"/>
      <c r="C266" s="182"/>
      <c r="D266" s="291"/>
      <c r="E266" s="291"/>
    </row>
    <row r="267" spans="2:5">
      <c r="B267" s="178"/>
      <c r="C267" s="199"/>
      <c r="D267" s="195"/>
      <c r="E267" s="195"/>
    </row>
    <row r="268" spans="2:5">
      <c r="B268" s="180" t="s">
        <v>439</v>
      </c>
      <c r="C268" s="199"/>
      <c r="D268" s="195"/>
      <c r="E268" s="195"/>
    </row>
    <row r="269" spans="2:5">
      <c r="B269" s="178" t="s">
        <v>440</v>
      </c>
      <c r="C269" s="199">
        <v>18</v>
      </c>
      <c r="D269" s="290">
        <v>21418117</v>
      </c>
      <c r="E269" s="195" t="s">
        <v>528</v>
      </c>
    </row>
    <row r="270" spans="2:5">
      <c r="B270" s="178" t="s">
        <v>441</v>
      </c>
      <c r="C270" s="199"/>
      <c r="D270" s="286" t="s">
        <v>386</v>
      </c>
      <c r="E270" s="286">
        <v>2956595</v>
      </c>
    </row>
    <row r="271" spans="2:5">
      <c r="B271" s="178" t="s">
        <v>442</v>
      </c>
      <c r="C271" s="199"/>
      <c r="D271" s="286">
        <v>230629717</v>
      </c>
      <c r="E271" s="286">
        <v>17720263</v>
      </c>
    </row>
    <row r="272" spans="2:5">
      <c r="B272" s="178" t="s">
        <v>445</v>
      </c>
      <c r="C272" s="199"/>
      <c r="D272" s="286">
        <v>-11708286</v>
      </c>
      <c r="E272" s="286">
        <v>-16631663</v>
      </c>
    </row>
    <row r="273" spans="2:6">
      <c r="B273" s="178" t="s">
        <v>447</v>
      </c>
      <c r="C273" s="199"/>
      <c r="D273" s="286">
        <v>-10030112</v>
      </c>
      <c r="E273" s="286" t="s">
        <v>386</v>
      </c>
    </row>
    <row r="274" spans="2:6">
      <c r="B274" s="178" t="s">
        <v>448</v>
      </c>
      <c r="C274" s="199"/>
      <c r="D274" s="286">
        <v>-8170605</v>
      </c>
      <c r="E274" s="286">
        <v>-2813667</v>
      </c>
    </row>
    <row r="275" spans="2:6">
      <c r="B275" s="178" t="s">
        <v>449</v>
      </c>
      <c r="C275" s="199"/>
      <c r="D275" s="286">
        <v>-121094</v>
      </c>
      <c r="E275" s="286">
        <v>-356069</v>
      </c>
    </row>
    <row r="276" spans="2:6">
      <c r="B276" s="178" t="s">
        <v>451</v>
      </c>
      <c r="C276" s="199"/>
      <c r="D276" s="286">
        <v>-616518</v>
      </c>
      <c r="E276" s="286">
        <v>-1205008</v>
      </c>
    </row>
    <row r="277" spans="2:6">
      <c r="B277" s="178" t="s">
        <v>550</v>
      </c>
      <c r="C277" s="199"/>
      <c r="D277" s="286" t="s">
        <v>386</v>
      </c>
      <c r="E277" s="286">
        <v>-3991200</v>
      </c>
    </row>
    <row r="278" spans="2:6">
      <c r="B278" s="178" t="s">
        <v>437</v>
      </c>
      <c r="C278" s="199"/>
      <c r="D278" s="252">
        <f>-D294</f>
        <v>-1066112</v>
      </c>
      <c r="E278" s="286">
        <f>14808-E294</f>
        <v>-177391</v>
      </c>
    </row>
    <row r="279" spans="2:6" ht="13.5" thickBot="1">
      <c r="B279" s="183"/>
      <c r="C279" s="182"/>
      <c r="D279" s="291"/>
      <c r="E279" s="291"/>
    </row>
    <row r="280" spans="2:6">
      <c r="B280" s="180"/>
      <c r="C280" s="199"/>
      <c r="D280" s="263"/>
      <c r="E280" s="263"/>
    </row>
    <row r="281" spans="2:6" ht="18.75">
      <c r="B281" s="180" t="s">
        <v>579</v>
      </c>
      <c r="C281" s="199"/>
      <c r="D281" s="288">
        <f>SUM(D269:D278)</f>
        <v>220335107</v>
      </c>
      <c r="E281" s="288">
        <f>SUM(E269:E278)</f>
        <v>-4498140</v>
      </c>
    </row>
    <row r="282" spans="2:6" ht="18.75">
      <c r="B282" s="180" t="s">
        <v>580</v>
      </c>
      <c r="C282" s="199">
        <v>31</v>
      </c>
      <c r="D282" s="300">
        <v>2554153</v>
      </c>
      <c r="E282" s="300">
        <v>-2136393</v>
      </c>
    </row>
    <row r="283" spans="2:6" ht="13.5" thickBot="1">
      <c r="B283" s="181"/>
      <c r="C283" s="182"/>
      <c r="D283" s="295"/>
      <c r="E283" s="295"/>
    </row>
    <row r="284" spans="2:6">
      <c r="B284" s="178"/>
      <c r="C284" s="588"/>
      <c r="D284" s="590">
        <v>17150531</v>
      </c>
      <c r="E284" s="590">
        <v>1124402</v>
      </c>
    </row>
    <row r="285" spans="2:6">
      <c r="B285" s="178" t="s">
        <v>551</v>
      </c>
      <c r="C285" s="589"/>
      <c r="D285" s="591"/>
      <c r="E285" s="591"/>
    </row>
    <row r="286" spans="2:6">
      <c r="B286" s="180"/>
      <c r="C286" s="199"/>
      <c r="D286" s="263"/>
      <c r="E286" s="263"/>
      <c r="F286" s="209"/>
    </row>
    <row r="287" spans="2:6" ht="18.75">
      <c r="B287" s="180" t="s">
        <v>552</v>
      </c>
      <c r="C287" s="199"/>
      <c r="D287" s="286">
        <f>D242+D264+D281+D284</f>
        <v>4526752</v>
      </c>
      <c r="E287" s="286">
        <f>E242+E264+E281+E284</f>
        <v>-77361291</v>
      </c>
    </row>
    <row r="288" spans="2:6">
      <c r="B288" s="180" t="s">
        <v>553</v>
      </c>
      <c r="C288" s="199"/>
      <c r="D288" s="302">
        <v>823305</v>
      </c>
      <c r="E288" s="302">
        <v>-2387820</v>
      </c>
    </row>
    <row r="289" spans="2:5">
      <c r="B289" s="178"/>
      <c r="C289" s="199"/>
      <c r="D289" s="195"/>
      <c r="E289" s="195"/>
    </row>
    <row r="290" spans="2:5">
      <c r="B290" s="178" t="s">
        <v>455</v>
      </c>
      <c r="C290" s="199">
        <v>16</v>
      </c>
      <c r="D290" s="286">
        <v>15241998</v>
      </c>
      <c r="E290" s="286">
        <v>94991109</v>
      </c>
    </row>
    <row r="291" spans="2:5" ht="13.5" thickBot="1">
      <c r="B291" s="183"/>
      <c r="C291" s="182"/>
      <c r="D291" s="291"/>
      <c r="E291" s="291"/>
    </row>
    <row r="292" spans="2:5">
      <c r="B292" s="178"/>
      <c r="C292" s="199"/>
      <c r="D292" s="195"/>
      <c r="E292" s="195"/>
    </row>
    <row r="293" spans="2:5">
      <c r="B293" s="180" t="s">
        <v>554</v>
      </c>
      <c r="C293" s="199">
        <v>16</v>
      </c>
      <c r="D293" s="288">
        <v>20592055</v>
      </c>
      <c r="E293" s="288">
        <v>15241998</v>
      </c>
    </row>
    <row r="294" spans="2:5">
      <c r="B294" s="180" t="s">
        <v>555</v>
      </c>
      <c r="C294" s="199"/>
      <c r="D294" s="288">
        <v>1066112</v>
      </c>
      <c r="E294" s="288">
        <v>192199</v>
      </c>
    </row>
    <row r="295" spans="2:5" ht="13.5" thickBot="1">
      <c r="B295" s="184"/>
      <c r="C295" s="185"/>
      <c r="D295" s="184"/>
      <c r="E295" s="184"/>
    </row>
    <row r="296" spans="2:5" ht="13.5" thickTop="1"/>
    <row r="297" spans="2:5">
      <c r="D297" s="209">
        <f>D287+D288+D290</f>
        <v>20592055</v>
      </c>
      <c r="E297" s="209">
        <f>E287+E288+E290</f>
        <v>15241998</v>
      </c>
    </row>
    <row r="298" spans="2:5">
      <c r="D298" s="209">
        <f>SUM(D293:D294)</f>
        <v>21658167</v>
      </c>
      <c r="E298" s="209">
        <f>SUM(E293:E294)</f>
        <v>15434197</v>
      </c>
    </row>
    <row r="300" spans="2:5">
      <c r="D300" s="209">
        <f>D297-D298</f>
        <v>-1066112</v>
      </c>
      <c r="E300" s="209">
        <f>E297-E298</f>
        <v>-192199</v>
      </c>
    </row>
    <row r="302" spans="2:5">
      <c r="D302" s="209"/>
    </row>
    <row r="303" spans="2:5">
      <c r="D303" s="209">
        <f>МСФО!D24</f>
        <v>20592055</v>
      </c>
      <c r="E303" s="209">
        <f>МСФО!E24</f>
        <v>15241998</v>
      </c>
    </row>
    <row r="304" spans="2:5">
      <c r="D304" s="209">
        <f>D297-D303</f>
        <v>0</v>
      </c>
      <c r="E304" s="209">
        <f>E297-E303</f>
        <v>0</v>
      </c>
    </row>
  </sheetData>
  <mergeCells count="26">
    <mergeCell ref="J116:J119"/>
    <mergeCell ref="K116:K119"/>
    <mergeCell ref="L116:L119"/>
    <mergeCell ref="M116:M119"/>
    <mergeCell ref="C227:C228"/>
    <mergeCell ref="D227:D228"/>
    <mergeCell ref="E227:E228"/>
    <mergeCell ref="I157:I162"/>
    <mergeCell ref="C11:C12"/>
    <mergeCell ref="D11:D12"/>
    <mergeCell ref="E11:E12"/>
    <mergeCell ref="C284:C285"/>
    <mergeCell ref="D284:D285"/>
    <mergeCell ref="E284:E285"/>
    <mergeCell ref="C129:C133"/>
    <mergeCell ref="D129:D133"/>
    <mergeCell ref="E129:E133"/>
    <mergeCell ref="D157:G157"/>
    <mergeCell ref="F160:F162"/>
    <mergeCell ref="G160:G162"/>
    <mergeCell ref="B160:B162"/>
    <mergeCell ref="C160:C162"/>
    <mergeCell ref="C77:C78"/>
    <mergeCell ref="D77:D78"/>
    <mergeCell ref="E77:E78"/>
    <mergeCell ref="C108:C109"/>
  </mergeCells>
  <pageMargins left="0.7" right="0.7" top="0.75" bottom="0.75" header="0.3" footer="0.3"/>
  <pageSetup paperSize="9" orientation="portrait" horizontalDpi="4294967295" verticalDpi="4294967295" r:id="rId1"/>
  <customProperties>
    <customPr name="EpmWorksheetKeyString_GU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86"/>
  <sheetViews>
    <sheetView showZeros="0" zoomScaleNormal="100" zoomScaleSheetLayoutView="100" workbookViewId="0">
      <selection activeCell="A28" sqref="A28"/>
    </sheetView>
  </sheetViews>
  <sheetFormatPr defaultColWidth="0" defaultRowHeight="12.75"/>
  <cols>
    <col min="1" max="1" width="57" style="34" customWidth="1"/>
    <col min="2" max="2" width="16.140625" style="34" customWidth="1"/>
    <col min="3" max="3" width="19.85546875" style="122" customWidth="1"/>
    <col min="4" max="4" width="17" style="34" customWidth="1"/>
    <col min="5" max="5" width="10.7109375" style="30" customWidth="1"/>
    <col min="6" max="17" width="7.140625" style="30" customWidth="1"/>
    <col min="18" max="245" width="9.140625" style="34" customWidth="1"/>
    <col min="246" max="246" width="53.5703125" style="34" customWidth="1"/>
    <col min="247" max="247" width="8.140625" style="34" customWidth="1"/>
    <col min="248" max="16384" width="0" style="34" hidden="1"/>
  </cols>
  <sheetData>
    <row r="1" spans="1:17">
      <c r="D1" s="54" t="s">
        <v>319</v>
      </c>
    </row>
    <row r="2" spans="1:17">
      <c r="D2" s="55" t="s">
        <v>315</v>
      </c>
    </row>
    <row r="3" spans="1:17" s="29" customFormat="1">
      <c r="C3" s="123"/>
      <c r="D3" s="54" t="s">
        <v>316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29" customFormat="1">
      <c r="C4" s="123"/>
      <c r="D4" s="54" t="s">
        <v>317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29" customFormat="1">
      <c r="C5" s="123"/>
      <c r="D5" s="54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29" customFormat="1">
      <c r="A6" s="31" t="s">
        <v>57</v>
      </c>
      <c r="B6" s="87" t="str">
        <f>ББ!B8</f>
        <v>Акционерное общество "Самрук-Энерго"</v>
      </c>
      <c r="C6" s="124"/>
      <c r="D6" s="101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29" customFormat="1">
      <c r="A7" s="32"/>
      <c r="B7" s="32"/>
      <c r="C7" s="125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s="29" customFormat="1">
      <c r="A8" s="608" t="s">
        <v>66</v>
      </c>
      <c r="B8" s="608"/>
      <c r="C8" s="608"/>
      <c r="D8" s="60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29" customFormat="1" ht="14.25" customHeight="1">
      <c r="A9" s="609" t="s">
        <v>384</v>
      </c>
      <c r="B9" s="609"/>
      <c r="C9" s="609"/>
      <c r="D9" s="60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s="29" customFormat="1">
      <c r="A10" s="610" t="s">
        <v>67</v>
      </c>
      <c r="B10" s="610"/>
      <c r="C10" s="610"/>
      <c r="D10" s="61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s="29" customFormat="1">
      <c r="A11" s="33"/>
      <c r="B11" s="33"/>
      <c r="C11" s="134"/>
      <c r="D11" s="138" t="s">
        <v>189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25.5">
      <c r="A12" s="67" t="s">
        <v>50</v>
      </c>
      <c r="B12" s="68" t="s">
        <v>116</v>
      </c>
      <c r="C12" s="135" t="s">
        <v>51</v>
      </c>
      <c r="D12" s="139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>
      <c r="A13" s="599" t="s">
        <v>68</v>
      </c>
      <c r="B13" s="600"/>
      <c r="C13" s="601"/>
      <c r="D13" s="602"/>
      <c r="E13" s="71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>
      <c r="A14" s="72" t="s">
        <v>117</v>
      </c>
      <c r="B14" s="70" t="s">
        <v>9</v>
      </c>
      <c r="C14" s="133">
        <v>9562432</v>
      </c>
      <c r="D14" s="133">
        <f>SUM(D16:D21)</f>
        <v>77918868</v>
      </c>
      <c r="E14" s="73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>
      <c r="A15" s="72" t="s">
        <v>55</v>
      </c>
      <c r="B15" s="70"/>
      <c r="C15" s="58"/>
      <c r="D15" s="129"/>
      <c r="E15" s="71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>
      <c r="A16" s="72" t="s">
        <v>313</v>
      </c>
      <c r="B16" s="70" t="s">
        <v>10</v>
      </c>
      <c r="C16" s="136">
        <v>6442435</v>
      </c>
      <c r="D16" s="58">
        <v>72030270</v>
      </c>
      <c r="E16" s="71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>
      <c r="A17" s="72" t="s">
        <v>118</v>
      </c>
      <c r="B17" s="70" t="s">
        <v>11</v>
      </c>
      <c r="C17" s="58">
        <v>-4497105</v>
      </c>
      <c r="D17" s="58">
        <v>5537</v>
      </c>
      <c r="E17" s="71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>
      <c r="A18" s="72" t="s">
        <v>119</v>
      </c>
      <c r="B18" s="70" t="s">
        <v>13</v>
      </c>
      <c r="C18" s="58">
        <v>6045683</v>
      </c>
      <c r="D18" s="58">
        <v>4770727</v>
      </c>
      <c r="E18" s="71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>
      <c r="A19" s="72" t="s">
        <v>120</v>
      </c>
      <c r="B19" s="70" t="s">
        <v>14</v>
      </c>
      <c r="C19" s="58"/>
      <c r="D19" s="58"/>
      <c r="E19" s="71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>
      <c r="A20" s="72" t="s">
        <v>121</v>
      </c>
      <c r="B20" s="70" t="s">
        <v>15</v>
      </c>
      <c r="C20" s="58">
        <v>933613</v>
      </c>
      <c r="D20" s="58">
        <v>552045</v>
      </c>
      <c r="E20" s="71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>
      <c r="A21" s="72" t="s">
        <v>69</v>
      </c>
      <c r="B21" s="70" t="s">
        <v>17</v>
      </c>
      <c r="C21" s="58">
        <v>637806</v>
      </c>
      <c r="D21" s="58">
        <v>560289</v>
      </c>
      <c r="E21" s="73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>
      <c r="A22" s="72" t="s">
        <v>122</v>
      </c>
      <c r="B22" s="70" t="s">
        <v>19</v>
      </c>
      <c r="C22" s="133">
        <f>SUM(C24:C30)</f>
        <v>-63195625</v>
      </c>
      <c r="D22" s="133">
        <f>SUM(D24:D30)</f>
        <v>70165648</v>
      </c>
      <c r="E22" s="71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5.75" customHeight="1">
      <c r="A23" s="72" t="s">
        <v>55</v>
      </c>
      <c r="B23" s="70"/>
      <c r="C23" s="129"/>
      <c r="D23" s="129"/>
      <c r="E23" s="71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>
      <c r="A24" s="72" t="s">
        <v>70</v>
      </c>
      <c r="B24" s="70" t="s">
        <v>20</v>
      </c>
      <c r="C24" s="129">
        <f>-50011273</f>
        <v>-50011273</v>
      </c>
      <c r="D24" s="129">
        <v>40754546</v>
      </c>
      <c r="E24" s="71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5.75" customHeight="1">
      <c r="A25" s="72" t="s">
        <v>123</v>
      </c>
      <c r="B25" s="70" t="s">
        <v>21</v>
      </c>
      <c r="C25" s="103"/>
      <c r="D25" s="129">
        <f>6651257</f>
        <v>6651257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>
      <c r="A26" s="72" t="s">
        <v>124</v>
      </c>
      <c r="B26" s="70" t="s">
        <v>22</v>
      </c>
      <c r="C26" s="129">
        <f>-12295167</f>
        <v>-12295167</v>
      </c>
      <c r="D26" s="129">
        <v>13263196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4.25" customHeight="1">
      <c r="A27" s="72" t="s">
        <v>125</v>
      </c>
      <c r="B27" s="70" t="s">
        <v>24</v>
      </c>
      <c r="C27" s="129">
        <f>-889185</f>
        <v>-889185</v>
      </c>
      <c r="D27" s="129">
        <v>3506772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6.5" customHeight="1">
      <c r="A28" s="72" t="s">
        <v>126</v>
      </c>
      <c r="B28" s="70" t="s">
        <v>26</v>
      </c>
      <c r="C28" s="129"/>
      <c r="D28" s="12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7.25" customHeight="1">
      <c r="A29" s="72" t="s">
        <v>127</v>
      </c>
      <c r="B29" s="70" t="s">
        <v>28</v>
      </c>
      <c r="C29" s="129">
        <v>0</v>
      </c>
      <c r="D29" s="129">
        <f>2069968+2758128</f>
        <v>4828096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8.75" customHeight="1">
      <c r="A30" s="72" t="s">
        <v>71</v>
      </c>
      <c r="B30" s="70" t="s">
        <v>30</v>
      </c>
      <c r="C30" s="129">
        <v>0</v>
      </c>
      <c r="D30" s="129">
        <v>1161781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25.5">
      <c r="A31" s="74" t="s">
        <v>128</v>
      </c>
      <c r="B31" s="70" t="s">
        <v>34</v>
      </c>
      <c r="C31" s="130">
        <f>C14+C22</f>
        <v>-53633193</v>
      </c>
      <c r="D31" s="130">
        <f>D14-D22</f>
        <v>7753220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25.5" customHeight="1">
      <c r="A32" s="603" t="s">
        <v>72</v>
      </c>
      <c r="B32" s="604"/>
      <c r="C32" s="605"/>
      <c r="D32" s="606"/>
      <c r="E32" s="10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>
      <c r="A33" s="72" t="s">
        <v>134</v>
      </c>
      <c r="B33" s="70" t="s">
        <v>37</v>
      </c>
      <c r="C33" s="133">
        <v>21621476</v>
      </c>
      <c r="D33" s="133">
        <f>SUM(D35:D45)</f>
        <v>6027619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>
      <c r="A34" s="72" t="s">
        <v>55</v>
      </c>
      <c r="B34" s="70"/>
      <c r="C34" s="129"/>
      <c r="D34" s="129"/>
      <c r="E34" s="102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>
      <c r="A35" s="72" t="s">
        <v>73</v>
      </c>
      <c r="B35" s="70" t="s">
        <v>38</v>
      </c>
      <c r="C35" s="58">
        <v>6748</v>
      </c>
      <c r="D35" s="58">
        <f>2325</f>
        <v>2325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6.5" customHeight="1">
      <c r="A36" s="72" t="s">
        <v>74</v>
      </c>
      <c r="B36" s="70" t="s">
        <v>39</v>
      </c>
      <c r="C36" s="129"/>
      <c r="D36" s="12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>
      <c r="A37" s="72" t="s">
        <v>75</v>
      </c>
      <c r="B37" s="70" t="s">
        <v>40</v>
      </c>
      <c r="C37" s="129" t="s">
        <v>383</v>
      </c>
      <c r="D37" s="12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36" customHeight="1">
      <c r="A38" s="75" t="s">
        <v>135</v>
      </c>
      <c r="B38" s="70" t="s">
        <v>42</v>
      </c>
      <c r="C38" s="129" t="s">
        <v>382</v>
      </c>
      <c r="D38" s="12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>
      <c r="A39" s="72" t="s">
        <v>136</v>
      </c>
      <c r="B39" s="70" t="s">
        <v>129</v>
      </c>
      <c r="C39" s="129"/>
      <c r="D39" s="12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>
      <c r="A40" s="72" t="s">
        <v>137</v>
      </c>
      <c r="B40" s="70" t="s">
        <v>130</v>
      </c>
      <c r="C40" s="129"/>
      <c r="D40" s="12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>
      <c r="A41" s="72" t="s">
        <v>138</v>
      </c>
      <c r="B41" s="70" t="s">
        <v>131</v>
      </c>
      <c r="C41" s="137"/>
      <c r="D41" s="13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>
      <c r="A42" s="72" t="s">
        <v>76</v>
      </c>
      <c r="B42" s="70" t="s">
        <v>132</v>
      </c>
      <c r="C42" s="129"/>
      <c r="D42" s="12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>
      <c r="A43" s="72" t="s">
        <v>139</v>
      </c>
      <c r="B43" s="70" t="s">
        <v>133</v>
      </c>
      <c r="C43" s="58">
        <v>8057326</v>
      </c>
      <c r="D43" s="58">
        <f>6025294</f>
        <v>6025294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>
      <c r="A44" s="72" t="s">
        <v>121</v>
      </c>
      <c r="B44" s="70" t="s">
        <v>44</v>
      </c>
      <c r="C44" s="58">
        <f>C26</f>
        <v>-12295167</v>
      </c>
      <c r="D44" s="5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>
      <c r="A45" s="72" t="s">
        <v>69</v>
      </c>
      <c r="B45" s="70" t="s">
        <v>46</v>
      </c>
      <c r="C45" s="58">
        <v>303180</v>
      </c>
      <c r="D45" s="5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>
      <c r="A46" s="75" t="s">
        <v>150</v>
      </c>
      <c r="B46" s="70" t="s">
        <v>61</v>
      </c>
      <c r="C46" s="133">
        <f>C29</f>
        <v>0</v>
      </c>
      <c r="D46" s="133">
        <f>SUM(D48:D58)</f>
        <v>-55991784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>
      <c r="A47" s="72" t="s">
        <v>55</v>
      </c>
      <c r="B47" s="70"/>
      <c r="C47" s="133">
        <f>C30</f>
        <v>0</v>
      </c>
      <c r="D47" s="12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>
      <c r="A48" s="72" t="s">
        <v>77</v>
      </c>
      <c r="B48" s="70" t="s">
        <v>140</v>
      </c>
      <c r="C48" s="58">
        <f>-54587067</f>
        <v>-54587067</v>
      </c>
      <c r="D48" s="58">
        <f>-51057828</f>
        <v>-51057828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>
      <c r="A49" s="72" t="s">
        <v>78</v>
      </c>
      <c r="B49" s="70" t="s">
        <v>141</v>
      </c>
      <c r="C49" s="58">
        <f>-500059</f>
        <v>-500059</v>
      </c>
      <c r="D49" s="58">
        <f>-225012</f>
        <v>-225012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9.5" customHeight="1">
      <c r="A50" s="72" t="s">
        <v>79</v>
      </c>
      <c r="B50" s="70" t="s">
        <v>142</v>
      </c>
      <c r="C50" s="58"/>
      <c r="D50" s="5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25.5">
      <c r="A51" s="74" t="s">
        <v>151</v>
      </c>
      <c r="B51" s="70" t="s">
        <v>143</v>
      </c>
      <c r="C51" s="58"/>
      <c r="D51" s="58">
        <f>-31964</f>
        <v>-31964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>
      <c r="A52" s="72" t="s">
        <v>152</v>
      </c>
      <c r="B52" s="70" t="s">
        <v>144</v>
      </c>
      <c r="C52" s="58"/>
      <c r="D52" s="5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>
      <c r="A53" s="72" t="s">
        <v>153</v>
      </c>
      <c r="B53" s="70" t="s">
        <v>145</v>
      </c>
      <c r="C53" s="58"/>
      <c r="D53" s="5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>
      <c r="A54" s="72" t="s">
        <v>154</v>
      </c>
      <c r="B54" s="70" t="s">
        <v>146</v>
      </c>
      <c r="C54" s="58"/>
      <c r="D54" s="5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>
      <c r="A55" s="72" t="s">
        <v>155</v>
      </c>
      <c r="B55" s="70" t="s">
        <v>147</v>
      </c>
      <c r="C55" s="58"/>
      <c r="D55" s="5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>
      <c r="A56" s="72" t="s">
        <v>76</v>
      </c>
      <c r="B56" s="70" t="s">
        <v>148</v>
      </c>
      <c r="C56" s="119"/>
      <c r="D56" s="11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>
      <c r="A57" s="72" t="s">
        <v>156</v>
      </c>
      <c r="B57" s="70" t="s">
        <v>62</v>
      </c>
      <c r="C57" s="119"/>
      <c r="D57" s="119">
        <f>-1500000-2324609</f>
        <v>-3824609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>
      <c r="A58" s="72" t="s">
        <v>71</v>
      </c>
      <c r="B58" s="70" t="s">
        <v>149</v>
      </c>
      <c r="C58" s="119">
        <f>-7531084</f>
        <v>-7531084</v>
      </c>
      <c r="D58" s="119">
        <f>-852371</f>
        <v>-852371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25.5">
      <c r="A59" s="75" t="s">
        <v>157</v>
      </c>
      <c r="B59" s="70" t="s">
        <v>63</v>
      </c>
      <c r="C59" s="120">
        <f>C33+C46</f>
        <v>21621476</v>
      </c>
      <c r="D59" s="120">
        <f>D33+D46</f>
        <v>-49964165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>
      <c r="A60" s="603" t="s">
        <v>158</v>
      </c>
      <c r="B60" s="604"/>
      <c r="C60" s="604"/>
      <c r="D60" s="607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>
      <c r="A61" s="72" t="s">
        <v>159</v>
      </c>
      <c r="B61" s="76" t="s">
        <v>64</v>
      </c>
      <c r="C61" s="120">
        <f>SUM(C63:C66)</f>
        <v>71780152</v>
      </c>
      <c r="D61" s="120">
        <f>SUM(D63:D66)</f>
        <v>135621822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>
      <c r="A62" s="77" t="s">
        <v>55</v>
      </c>
      <c r="B62" s="76"/>
      <c r="C62" s="119"/>
      <c r="D62" s="11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>
      <c r="A63" s="77" t="s">
        <v>164</v>
      </c>
      <c r="B63" s="76" t="s">
        <v>160</v>
      </c>
      <c r="C63" s="119">
        <v>43579806</v>
      </c>
      <c r="D63" s="119">
        <f>42459978+17678</f>
        <v>42477656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5" customHeight="1">
      <c r="A64" s="72" t="s">
        <v>165</v>
      </c>
      <c r="B64" s="76" t="s">
        <v>161</v>
      </c>
      <c r="C64" s="119">
        <v>28178846</v>
      </c>
      <c r="D64" s="119">
        <f>60667829+32346834+26989</f>
        <v>93041652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3.5" customHeight="1">
      <c r="A65" s="78" t="s">
        <v>121</v>
      </c>
      <c r="B65" s="76" t="s">
        <v>162</v>
      </c>
      <c r="C65" s="119"/>
      <c r="D65" s="11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>
      <c r="A66" s="78" t="s">
        <v>69</v>
      </c>
      <c r="B66" s="76" t="s">
        <v>163</v>
      </c>
      <c r="C66" s="119">
        <v>21500</v>
      </c>
      <c r="D66" s="119">
        <f>102514</f>
        <v>102514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3.5" customHeight="1">
      <c r="A67" s="79" t="s">
        <v>167</v>
      </c>
      <c r="B67" s="80" t="s">
        <v>166</v>
      </c>
      <c r="C67" s="120">
        <f>SUM(C69:C73)</f>
        <v>-18506295</v>
      </c>
      <c r="D67" s="120">
        <f>SUM(D69:D73)</f>
        <v>-90406391</v>
      </c>
      <c r="E67" s="102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>
      <c r="A68" s="74" t="s">
        <v>55</v>
      </c>
      <c r="B68" s="80"/>
      <c r="C68" s="119"/>
      <c r="D68" s="11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>
      <c r="A69" s="72" t="s">
        <v>172</v>
      </c>
      <c r="B69" s="80" t="s">
        <v>168</v>
      </c>
      <c r="C69" s="119">
        <f>-14689744</f>
        <v>-14689744</v>
      </c>
      <c r="D69" s="119">
        <f>-47142830-42459952-489225-283150</f>
        <v>-90375157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>
      <c r="A70" s="35" t="s">
        <v>173</v>
      </c>
      <c r="B70" s="80" t="s">
        <v>169</v>
      </c>
      <c r="C70" s="119"/>
      <c r="D70" s="11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>
      <c r="A71" s="35" t="s">
        <v>174</v>
      </c>
      <c r="B71" s="80" t="s">
        <v>170</v>
      </c>
      <c r="C71" s="119"/>
      <c r="D71" s="119">
        <f>-31234</f>
        <v>-31234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>
      <c r="A72" s="36" t="s">
        <v>175</v>
      </c>
      <c r="B72" s="80" t="s">
        <v>171</v>
      </c>
      <c r="C72" s="119"/>
      <c r="D72" s="11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>
      <c r="A73" s="81" t="s">
        <v>177</v>
      </c>
      <c r="B73" s="80" t="s">
        <v>176</v>
      </c>
      <c r="C73" s="119">
        <f>-3816551</f>
        <v>-3816551</v>
      </c>
      <c r="D73" s="119"/>
      <c r="E73" s="82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25.5">
      <c r="A74" s="83" t="s">
        <v>183</v>
      </c>
      <c r="B74" s="84" t="s">
        <v>178</v>
      </c>
      <c r="C74" s="121">
        <f>C61+C67</f>
        <v>53273857</v>
      </c>
      <c r="D74" s="121">
        <f>D61+D67</f>
        <v>45215431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5" customHeight="1">
      <c r="A75" s="85" t="s">
        <v>184</v>
      </c>
      <c r="B75" s="84" t="s">
        <v>179</v>
      </c>
      <c r="C75" s="119"/>
      <c r="D75" s="11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>
      <c r="A76" s="86" t="s">
        <v>185</v>
      </c>
      <c r="B76" s="84" t="s">
        <v>180</v>
      </c>
      <c r="C76" s="119">
        <f>C31+C59+C74+C75</f>
        <v>21262140</v>
      </c>
      <c r="D76" s="119">
        <f>D31+D59+D74+D75</f>
        <v>3004486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>
      <c r="A77" s="35" t="s">
        <v>186</v>
      </c>
      <c r="B77" s="84" t="s">
        <v>181</v>
      </c>
      <c r="C77" s="119">
        <v>16085352</v>
      </c>
      <c r="D77" s="119">
        <v>11983674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>
      <c r="A78" s="35" t="s">
        <v>187</v>
      </c>
      <c r="B78" s="84" t="s">
        <v>182</v>
      </c>
      <c r="C78" s="119">
        <f>C76+C77</f>
        <v>37347492</v>
      </c>
      <c r="D78" s="119">
        <f>D76+D77</f>
        <v>14988160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80" spans="1:17" s="44" customFormat="1" ht="25.5">
      <c r="A80" s="91" t="s">
        <v>376</v>
      </c>
      <c r="B80" s="105" t="s">
        <v>377</v>
      </c>
      <c r="C80" s="99"/>
      <c r="D80" s="95"/>
    </row>
    <row r="81" spans="1:4" s="44" customFormat="1" ht="17.25" customHeight="1">
      <c r="A81" s="1"/>
      <c r="B81" s="92" t="s">
        <v>373</v>
      </c>
      <c r="C81" s="99"/>
      <c r="D81" s="96" t="s">
        <v>311</v>
      </c>
    </row>
    <row r="82" spans="1:4" s="44" customFormat="1" ht="16.5" customHeight="1">
      <c r="A82" s="42"/>
      <c r="B82" s="1"/>
      <c r="C82" s="99"/>
      <c r="D82" s="99"/>
    </row>
    <row r="83" spans="1:4" s="44" customFormat="1" ht="25.5">
      <c r="A83" s="94" t="s">
        <v>381</v>
      </c>
      <c r="B83" s="105" t="s">
        <v>372</v>
      </c>
      <c r="C83" s="99"/>
      <c r="D83" s="95"/>
    </row>
    <row r="84" spans="1:4" s="44" customFormat="1" ht="15">
      <c r="A84" s="42"/>
      <c r="B84" s="92" t="s">
        <v>374</v>
      </c>
      <c r="C84" s="99"/>
      <c r="D84" s="96" t="s">
        <v>311</v>
      </c>
    </row>
    <row r="85" spans="1:4" s="44" customFormat="1">
      <c r="A85" s="45"/>
      <c r="C85" s="107"/>
      <c r="D85" s="90"/>
    </row>
    <row r="86" spans="1:4" s="44" customFormat="1">
      <c r="C86" s="107"/>
      <c r="D86" s="90"/>
    </row>
  </sheetData>
  <mergeCells count="6">
    <mergeCell ref="A13:D13"/>
    <mergeCell ref="A32:D32"/>
    <mergeCell ref="A60:D60"/>
    <mergeCell ref="A8:D8"/>
    <mergeCell ref="A9:D9"/>
    <mergeCell ref="A10:D10"/>
  </mergeCells>
  <phoneticPr fontId="23" type="noConversion"/>
  <hyperlinks>
    <hyperlink ref="D2" r:id="rId1" display="jl:30820085.0 "/>
  </hyperlinks>
  <pageMargins left="0.7" right="0.19" top="0.36" bottom="0.21" header="0.28999999999999998" footer="0.19"/>
  <pageSetup paperSize="9" scale="78" orientation="portrait" r:id="rId2"/>
  <headerFooter alignWithMargins="0"/>
  <customProperties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50" workbookViewId="0">
      <selection activeCell="C57" sqref="C57"/>
    </sheetView>
  </sheetViews>
  <sheetFormatPr defaultRowHeight="12.75"/>
  <cols>
    <col min="1" max="1" width="62.5703125" customWidth="1"/>
    <col min="3" max="3" width="9.140625" style="191"/>
  </cols>
  <sheetData>
    <row r="1" spans="1:3" ht="13.5" thickBot="1">
      <c r="A1" s="176" t="s">
        <v>392</v>
      </c>
      <c r="B1" s="177" t="s">
        <v>393</v>
      </c>
      <c r="C1" s="186" t="s">
        <v>394</v>
      </c>
    </row>
    <row r="2" spans="1:3">
      <c r="A2" s="178"/>
      <c r="B2" s="179"/>
      <c r="C2" s="187"/>
    </row>
    <row r="3" spans="1:3">
      <c r="A3" s="180" t="s">
        <v>395</v>
      </c>
      <c r="B3" s="179"/>
      <c r="C3" s="187"/>
    </row>
    <row r="4" spans="1:3">
      <c r="A4" s="178" t="s">
        <v>389</v>
      </c>
      <c r="B4" s="179"/>
      <c r="C4" s="187">
        <v>22093625</v>
      </c>
    </row>
    <row r="5" spans="1:3">
      <c r="A5" s="178"/>
      <c r="B5" s="179"/>
      <c r="C5" s="187"/>
    </row>
    <row r="6" spans="1:3">
      <c r="A6" s="178" t="s">
        <v>396</v>
      </c>
      <c r="B6" s="179"/>
      <c r="C6" s="188"/>
    </row>
    <row r="7" spans="1:3">
      <c r="A7" s="178"/>
      <c r="B7" s="179"/>
      <c r="C7" s="187"/>
    </row>
    <row r="8" spans="1:3">
      <c r="A8" s="178" t="s">
        <v>397</v>
      </c>
      <c r="B8" s="179">
        <v>7</v>
      </c>
      <c r="C8" s="192">
        <v>316109</v>
      </c>
    </row>
    <row r="9" spans="1:3">
      <c r="A9" s="178" t="s">
        <v>398</v>
      </c>
      <c r="B9" s="179"/>
      <c r="C9" s="192">
        <v>8529572</v>
      </c>
    </row>
    <row r="10" spans="1:3">
      <c r="A10" s="178" t="s">
        <v>399</v>
      </c>
      <c r="B10" s="179"/>
      <c r="C10" s="192">
        <v>239239</v>
      </c>
    </row>
    <row r="11" spans="1:3">
      <c r="A11" s="178" t="s">
        <v>400</v>
      </c>
      <c r="B11" s="179"/>
      <c r="C11" s="187" t="s">
        <v>386</v>
      </c>
    </row>
    <row r="12" spans="1:3" ht="19.5">
      <c r="A12" s="178" t="s">
        <v>401</v>
      </c>
      <c r="B12" s="178"/>
      <c r="C12" s="192">
        <v>-374944</v>
      </c>
    </row>
    <row r="13" spans="1:3">
      <c r="A13" s="178" t="s">
        <v>402</v>
      </c>
      <c r="B13" s="179"/>
      <c r="C13" s="187" t="s">
        <v>386</v>
      </c>
    </row>
    <row r="14" spans="1:3">
      <c r="A14" s="178" t="s">
        <v>403</v>
      </c>
      <c r="B14" s="179"/>
      <c r="C14" s="187">
        <v>249877</v>
      </c>
    </row>
    <row r="15" spans="1:3">
      <c r="A15" s="178" t="s">
        <v>404</v>
      </c>
      <c r="B15" s="179"/>
      <c r="C15" s="187">
        <v>-539121</v>
      </c>
    </row>
    <row r="16" spans="1:3">
      <c r="A16" s="178" t="s">
        <v>405</v>
      </c>
      <c r="B16" s="179"/>
      <c r="C16" s="187" t="s">
        <v>386</v>
      </c>
    </row>
    <row r="17" spans="1:3">
      <c r="A17" s="178" t="s">
        <v>406</v>
      </c>
      <c r="B17" s="179"/>
      <c r="C17" s="187">
        <v>272000</v>
      </c>
    </row>
    <row r="18" spans="1:3">
      <c r="A18" s="178" t="s">
        <v>407</v>
      </c>
      <c r="B18" s="179"/>
      <c r="C18" s="192">
        <v>406006</v>
      </c>
    </row>
    <row r="19" spans="1:3">
      <c r="A19" s="178" t="s">
        <v>385</v>
      </c>
      <c r="B19" s="179"/>
      <c r="C19" s="187">
        <v>0</v>
      </c>
    </row>
    <row r="20" spans="1:3">
      <c r="A20" s="178" t="s">
        <v>388</v>
      </c>
      <c r="B20" s="179">
        <v>30</v>
      </c>
      <c r="C20" s="192">
        <v>5300112</v>
      </c>
    </row>
    <row r="21" spans="1:3">
      <c r="A21" s="178" t="s">
        <v>387</v>
      </c>
      <c r="B21" s="179">
        <v>29</v>
      </c>
      <c r="C21" s="192">
        <v>-1701666</v>
      </c>
    </row>
    <row r="22" spans="1:3">
      <c r="A22" s="178" t="s">
        <v>408</v>
      </c>
      <c r="B22" s="179">
        <v>11</v>
      </c>
      <c r="C22" s="192">
        <v>-13176583</v>
      </c>
    </row>
    <row r="23" spans="1:3">
      <c r="A23" s="178" t="s">
        <v>409</v>
      </c>
      <c r="B23" s="179"/>
      <c r="C23" s="187">
        <v>-200565</v>
      </c>
    </row>
    <row r="24" spans="1:3">
      <c r="A24" s="178" t="s">
        <v>410</v>
      </c>
      <c r="B24" s="179"/>
      <c r="C24" s="187">
        <v>5382</v>
      </c>
    </row>
    <row r="25" spans="1:3" ht="13.5" thickBot="1">
      <c r="A25" s="181"/>
      <c r="B25" s="182"/>
      <c r="C25" s="189"/>
    </row>
    <row r="26" spans="1:3">
      <c r="A26" s="180"/>
      <c r="B26" s="179"/>
      <c r="C26" s="188"/>
    </row>
    <row r="27" spans="1:3">
      <c r="A27" s="180" t="s">
        <v>411</v>
      </c>
      <c r="B27" s="589"/>
      <c r="C27" s="611">
        <v>21419043</v>
      </c>
    </row>
    <row r="28" spans="1:3">
      <c r="A28" s="180" t="s">
        <v>412</v>
      </c>
      <c r="B28" s="589"/>
      <c r="C28" s="611"/>
    </row>
    <row r="29" spans="1:3" ht="19.5">
      <c r="A29" s="178" t="s">
        <v>413</v>
      </c>
      <c r="B29" s="179"/>
      <c r="C29" s="187">
        <v>-5361004</v>
      </c>
    </row>
    <row r="30" spans="1:3">
      <c r="A30" s="178" t="s">
        <v>414</v>
      </c>
      <c r="B30" s="179"/>
      <c r="C30" s="187">
        <v>2976705</v>
      </c>
    </row>
    <row r="31" spans="1:3" ht="19.5">
      <c r="A31" s="178" t="s">
        <v>415</v>
      </c>
      <c r="B31" s="179"/>
      <c r="C31" s="187">
        <v>3961589</v>
      </c>
    </row>
    <row r="32" spans="1:3">
      <c r="A32" s="178" t="s">
        <v>416</v>
      </c>
      <c r="B32" s="179"/>
      <c r="C32" s="187">
        <v>51600</v>
      </c>
    </row>
    <row r="33" spans="1:3">
      <c r="A33" s="178" t="s">
        <v>417</v>
      </c>
      <c r="B33" s="179"/>
      <c r="C33" s="187" t="s">
        <v>386</v>
      </c>
    </row>
    <row r="34" spans="1:3" ht="13.5" thickBot="1">
      <c r="A34" s="183"/>
      <c r="B34" s="182"/>
      <c r="C34" s="189"/>
    </row>
    <row r="35" spans="1:3">
      <c r="A35" s="180"/>
      <c r="B35" s="179"/>
      <c r="C35" s="188"/>
    </row>
    <row r="36" spans="1:3">
      <c r="A36" s="180" t="s">
        <v>418</v>
      </c>
      <c r="B36" s="179"/>
      <c r="C36" s="188">
        <f>SUM(C27:C33)</f>
        <v>23047933</v>
      </c>
    </row>
    <row r="37" spans="1:3">
      <c r="A37" s="178" t="s">
        <v>419</v>
      </c>
      <c r="B37" s="179"/>
      <c r="C37" s="187">
        <v>-3291365</v>
      </c>
    </row>
    <row r="38" spans="1:3">
      <c r="A38" s="178" t="s">
        <v>420</v>
      </c>
      <c r="B38" s="179"/>
      <c r="C38" s="194">
        <v>-3686802</v>
      </c>
    </row>
    <row r="39" spans="1:3">
      <c r="A39" s="178" t="s">
        <v>421</v>
      </c>
      <c r="B39" s="179"/>
      <c r="C39" s="187">
        <v>5850808</v>
      </c>
    </row>
    <row r="40" spans="1:3" ht="13.5" thickBot="1">
      <c r="A40" s="183"/>
      <c r="B40" s="182"/>
      <c r="C40" s="189"/>
    </row>
    <row r="41" spans="1:3">
      <c r="A41" s="178"/>
      <c r="B41" s="179"/>
      <c r="C41" s="187"/>
    </row>
    <row r="42" spans="1:3">
      <c r="A42" s="180" t="s">
        <v>422</v>
      </c>
      <c r="B42" s="179"/>
      <c r="C42" s="188">
        <f>SUM(C36:C39)</f>
        <v>21920574</v>
      </c>
    </row>
    <row r="43" spans="1:3" ht="13.5" thickBot="1">
      <c r="A43" s="183"/>
      <c r="B43" s="182"/>
      <c r="C43" s="189"/>
    </row>
    <row r="44" spans="1:3">
      <c r="A44" s="178"/>
      <c r="B44" s="179"/>
      <c r="C44" s="187"/>
    </row>
    <row r="45" spans="1:3">
      <c r="A45" s="180" t="s">
        <v>423</v>
      </c>
      <c r="B45" s="179"/>
      <c r="C45" s="187"/>
    </row>
    <row r="46" spans="1:3">
      <c r="A46" s="178" t="s">
        <v>424</v>
      </c>
      <c r="B46" s="179"/>
      <c r="C46" s="194">
        <v>-34108375</v>
      </c>
    </row>
    <row r="47" spans="1:3">
      <c r="A47" s="178" t="s">
        <v>425</v>
      </c>
      <c r="B47" s="179"/>
      <c r="C47" s="192">
        <v>-80103</v>
      </c>
    </row>
    <row r="48" spans="1:3">
      <c r="A48" s="178" t="s">
        <v>426</v>
      </c>
      <c r="B48" s="179"/>
      <c r="C48" s="192">
        <v>-9347772</v>
      </c>
    </row>
    <row r="49" spans="1:3">
      <c r="A49" s="178" t="s">
        <v>427</v>
      </c>
      <c r="B49" s="179"/>
      <c r="C49" s="192">
        <v>-1562500</v>
      </c>
    </row>
    <row r="50" spans="1:3">
      <c r="A50" s="178" t="s">
        <v>428</v>
      </c>
      <c r="B50" s="179"/>
      <c r="C50" s="192">
        <v>3694165</v>
      </c>
    </row>
    <row r="51" spans="1:3">
      <c r="A51" s="178" t="s">
        <v>429</v>
      </c>
      <c r="B51" s="179"/>
      <c r="C51" s="187">
        <v>0</v>
      </c>
    </row>
    <row r="52" spans="1:3">
      <c r="A52" s="178" t="s">
        <v>430</v>
      </c>
      <c r="B52" s="179"/>
      <c r="C52" s="192">
        <v>-104197</v>
      </c>
    </row>
    <row r="53" spans="1:3">
      <c r="A53" s="178" t="s">
        <v>431</v>
      </c>
      <c r="B53" s="179"/>
      <c r="C53" s="187">
        <v>1188607</v>
      </c>
    </row>
    <row r="54" spans="1:3">
      <c r="A54" s="178" t="s">
        <v>432</v>
      </c>
      <c r="B54" s="179"/>
      <c r="C54" s="192">
        <v>7556910</v>
      </c>
    </row>
    <row r="55" spans="1:3">
      <c r="A55" s="178" t="s">
        <v>433</v>
      </c>
      <c r="B55" s="179"/>
      <c r="C55" s="187" t="s">
        <v>386</v>
      </c>
    </row>
    <row r="56" spans="1:3">
      <c r="A56" s="178" t="s">
        <v>434</v>
      </c>
      <c r="B56" s="179"/>
      <c r="C56" s="195">
        <f>-7142084-1188607</f>
        <v>-8330691</v>
      </c>
    </row>
    <row r="57" spans="1:3">
      <c r="A57" s="178" t="s">
        <v>435</v>
      </c>
      <c r="B57" s="179"/>
      <c r="C57" s="195">
        <v>-7052246</v>
      </c>
    </row>
    <row r="58" spans="1:3">
      <c r="A58" s="178" t="s">
        <v>436</v>
      </c>
      <c r="B58" s="179"/>
      <c r="C58" s="195">
        <v>3731129</v>
      </c>
    </row>
    <row r="59" spans="1:3">
      <c r="A59" s="178" t="s">
        <v>437</v>
      </c>
      <c r="B59" s="179"/>
      <c r="C59" s="195">
        <v>180920</v>
      </c>
    </row>
    <row r="60" spans="1:3" ht="13.5" thickBot="1">
      <c r="A60" s="183"/>
      <c r="B60" s="182"/>
      <c r="C60" s="189"/>
    </row>
    <row r="61" spans="1:3">
      <c r="A61" s="180"/>
      <c r="B61" s="179"/>
      <c r="C61" s="188"/>
    </row>
    <row r="62" spans="1:3">
      <c r="A62" s="180" t="s">
        <v>438</v>
      </c>
      <c r="B62" s="179"/>
      <c r="C62" s="196">
        <f>SUM(C46:C59)</f>
        <v>-44234153</v>
      </c>
    </row>
    <row r="63" spans="1:3" ht="13.5" thickBot="1">
      <c r="A63" s="183"/>
      <c r="B63" s="182"/>
      <c r="C63" s="189"/>
    </row>
    <row r="64" spans="1:3">
      <c r="A64" s="178"/>
      <c r="B64" s="179"/>
      <c r="C64" s="187"/>
    </row>
    <row r="65" spans="1:3">
      <c r="A65" s="180" t="s">
        <v>439</v>
      </c>
      <c r="B65" s="179"/>
      <c r="C65" s="187"/>
    </row>
    <row r="66" spans="1:3">
      <c r="A66" s="178" t="s">
        <v>440</v>
      </c>
      <c r="B66" s="179">
        <v>18</v>
      </c>
      <c r="C66" s="187">
        <v>954008</v>
      </c>
    </row>
    <row r="67" spans="1:3">
      <c r="A67" s="178" t="s">
        <v>441</v>
      </c>
      <c r="B67" s="179"/>
      <c r="C67" s="187">
        <v>14213</v>
      </c>
    </row>
    <row r="68" spans="1:3">
      <c r="A68" s="178" t="s">
        <v>442</v>
      </c>
      <c r="B68" s="179"/>
      <c r="C68" s="187">
        <v>92078070</v>
      </c>
    </row>
    <row r="69" spans="1:3">
      <c r="A69" s="178" t="s">
        <v>443</v>
      </c>
      <c r="B69" s="179"/>
      <c r="C69" s="187" t="s">
        <v>386</v>
      </c>
    </row>
    <row r="70" spans="1:3">
      <c r="A70" s="178" t="s">
        <v>444</v>
      </c>
      <c r="B70" s="179"/>
      <c r="C70" s="187" t="s">
        <v>386</v>
      </c>
    </row>
    <row r="71" spans="1:3">
      <c r="A71" s="178" t="s">
        <v>445</v>
      </c>
      <c r="B71" s="179"/>
      <c r="C71" s="187">
        <v>-24095506</v>
      </c>
    </row>
    <row r="72" spans="1:3">
      <c r="A72" s="178" t="s">
        <v>446</v>
      </c>
      <c r="B72" s="179"/>
      <c r="C72" s="187">
        <v>-500000</v>
      </c>
    </row>
    <row r="73" spans="1:3">
      <c r="A73" s="178" t="s">
        <v>447</v>
      </c>
      <c r="B73" s="179"/>
      <c r="C73" s="187" t="s">
        <v>386</v>
      </c>
    </row>
    <row r="74" spans="1:3">
      <c r="A74" s="178" t="s">
        <v>448</v>
      </c>
      <c r="B74" s="179"/>
      <c r="C74" s="187">
        <v>-4438251</v>
      </c>
    </row>
    <row r="75" spans="1:3">
      <c r="A75" s="178" t="s">
        <v>449</v>
      </c>
      <c r="B75" s="179"/>
      <c r="C75" s="187">
        <v>-110053</v>
      </c>
    </row>
    <row r="76" spans="1:3">
      <c r="A76" s="178" t="s">
        <v>450</v>
      </c>
      <c r="B76" s="179"/>
      <c r="C76" s="187" t="s">
        <v>386</v>
      </c>
    </row>
    <row r="77" spans="1:3">
      <c r="A77" s="178" t="s">
        <v>451</v>
      </c>
      <c r="B77" s="179"/>
      <c r="C77" s="187">
        <v>-815132</v>
      </c>
    </row>
    <row r="78" spans="1:3">
      <c r="A78" s="178" t="s">
        <v>452</v>
      </c>
      <c r="B78" s="179"/>
      <c r="C78" s="187">
        <v>3990000</v>
      </c>
    </row>
    <row r="79" spans="1:3">
      <c r="A79" s="178" t="s">
        <v>437</v>
      </c>
      <c r="B79" s="179"/>
      <c r="C79" s="187">
        <v>57978</v>
      </c>
    </row>
    <row r="80" spans="1:3" ht="13.5" thickBot="1">
      <c r="A80" s="183"/>
      <c r="B80" s="182"/>
      <c r="C80" s="189"/>
    </row>
    <row r="81" spans="1:3">
      <c r="A81" s="180"/>
      <c r="B81" s="179"/>
      <c r="C81" s="188"/>
    </row>
    <row r="82" spans="1:3" ht="18.75">
      <c r="A82" s="180" t="s">
        <v>453</v>
      </c>
      <c r="B82" s="179"/>
      <c r="C82" s="188">
        <f>SUM(C65:C79)</f>
        <v>67135327</v>
      </c>
    </row>
    <row r="83" spans="1:3" ht="13.5" thickBot="1">
      <c r="A83" s="181"/>
      <c r="B83" s="182"/>
      <c r="C83" s="186"/>
    </row>
    <row r="84" spans="1:3">
      <c r="A84" s="180"/>
      <c r="B84" s="179"/>
      <c r="C84" s="188"/>
    </row>
    <row r="85" spans="1:3">
      <c r="A85" s="180" t="s">
        <v>454</v>
      </c>
      <c r="B85" s="179"/>
      <c r="C85" s="188">
        <f>C82+C62+C42</f>
        <v>44821748</v>
      </c>
    </row>
    <row r="86" spans="1:3">
      <c r="A86" s="178"/>
      <c r="B86" s="179"/>
      <c r="C86" s="187"/>
    </row>
    <row r="87" spans="1:3">
      <c r="A87" s="178" t="s">
        <v>455</v>
      </c>
      <c r="B87" s="179">
        <v>16</v>
      </c>
      <c r="C87" s="187">
        <v>49844147</v>
      </c>
    </row>
    <row r="88" spans="1:3" ht="13.5" thickBot="1">
      <c r="A88" s="183"/>
      <c r="B88" s="182"/>
      <c r="C88" s="189"/>
    </row>
    <row r="89" spans="1:3">
      <c r="A89" s="178"/>
      <c r="B89" s="179"/>
      <c r="C89" s="187"/>
    </row>
    <row r="90" spans="1:3">
      <c r="A90" s="180" t="s">
        <v>456</v>
      </c>
      <c r="B90" s="179">
        <v>16</v>
      </c>
      <c r="C90" s="188">
        <f>C87+C85</f>
        <v>94665895</v>
      </c>
    </row>
    <row r="91" spans="1:3" ht="13.5" thickBot="1">
      <c r="A91" s="184"/>
      <c r="B91" s="185"/>
      <c r="C91" s="190"/>
    </row>
    <row r="92" spans="1:3" ht="13.5" thickTop="1">
      <c r="A92" s="178"/>
      <c r="B92" s="179"/>
      <c r="C92" s="187"/>
    </row>
    <row r="93" spans="1:3">
      <c r="A93" s="173" t="s">
        <v>457</v>
      </c>
    </row>
  </sheetData>
  <mergeCells count="2">
    <mergeCell ref="B27:B28"/>
    <mergeCell ref="C27:C28"/>
  </mergeCells>
  <pageMargins left="0.7" right="0.7" top="0.75" bottom="0.75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285"/>
  <sheetViews>
    <sheetView topLeftCell="R25" workbookViewId="0">
      <selection activeCell="V54" sqref="V54"/>
    </sheetView>
  </sheetViews>
  <sheetFormatPr defaultRowHeight="12.75" outlineLevelCol="1"/>
  <cols>
    <col min="1" max="1" width="32.140625" style="311" hidden="1" customWidth="1" outlineLevel="1"/>
    <col min="2" max="2" width="73.140625" style="311" hidden="1" customWidth="1" outlineLevel="1"/>
    <col min="3" max="3" width="12.85546875" style="311" hidden="1" customWidth="1" outlineLevel="1"/>
    <col min="4" max="4" width="25.7109375" style="311" hidden="1" customWidth="1" outlineLevel="1"/>
    <col min="5" max="5" width="65.28515625" style="311" hidden="1" customWidth="1" outlineLevel="1"/>
    <col min="6" max="6" width="14.140625" style="311" hidden="1" customWidth="1" outlineLevel="1"/>
    <col min="7" max="7" width="31.5703125" hidden="1" customWidth="1" outlineLevel="1"/>
    <col min="8" max="8" width="31.28515625" hidden="1" customWidth="1" outlineLevel="1"/>
    <col min="9" max="9" width="26.28515625" hidden="1" customWidth="1" outlineLevel="1"/>
    <col min="10" max="13" width="9.140625" hidden="1" customWidth="1" outlineLevel="1"/>
    <col min="14" max="14" width="10.28515625" hidden="1" customWidth="1" outlineLevel="1"/>
    <col min="15" max="15" width="13.140625" hidden="1" customWidth="1" collapsed="1"/>
    <col min="16" max="16" width="18.85546875" hidden="1" customWidth="1"/>
    <col min="17" max="17" width="15.85546875" hidden="1" customWidth="1"/>
    <col min="18" max="18" width="63.5703125" style="310" customWidth="1"/>
    <col min="19" max="106" width="21.7109375" style="310" customWidth="1"/>
    <col min="107" max="16384" width="9.140625" style="310"/>
  </cols>
  <sheetData>
    <row r="1" spans="1:100" ht="15">
      <c r="A1" s="303" t="e">
        <f>_xll.EVDRE($D$1,A4:B11,A15:G21)</f>
        <v>#VALUE!</v>
      </c>
      <c r="B1" s="304" t="s">
        <v>597</v>
      </c>
      <c r="C1" s="305" t="s">
        <v>598</v>
      </c>
      <c r="D1" s="306" t="s">
        <v>599</v>
      </c>
      <c r="E1" s="305" t="s">
        <v>600</v>
      </c>
      <c r="F1" s="307" t="e">
        <f ca="1">EV_CVW($D$1,E1)</f>
        <v>#NAME?</v>
      </c>
      <c r="R1" s="308" t="e">
        <f ca="1">EV_DES($D$4,$D$1)</f>
        <v>#NAME?</v>
      </c>
    </row>
    <row r="2" spans="1:100" ht="15">
      <c r="C2" s="305" t="s">
        <v>601</v>
      </c>
      <c r="D2" s="307" t="e">
        <f ca="1">EV_CVW($D$1,C2)</f>
        <v>#NAME?</v>
      </c>
      <c r="R2" s="308" t="e">
        <f ca="1">"Период, за который составляется отчетность (с нарастающим итогом):  "&amp;EV_DES($D$11,$D$1)</f>
        <v>#NAME?</v>
      </c>
      <c r="V2" s="312"/>
      <c r="X2" s="312"/>
      <c r="Y2" s="312"/>
    </row>
    <row r="3" spans="1:100" ht="15">
      <c r="A3" s="313" t="s">
        <v>602</v>
      </c>
      <c r="B3" s="314" t="s">
        <v>603</v>
      </c>
      <c r="C3" s="305" t="s">
        <v>604</v>
      </c>
      <c r="D3" s="307" t="e">
        <f ca="1">EV_CVW($D$1,C3)</f>
        <v>#NAME?</v>
      </c>
      <c r="R3" s="315" t="e">
        <f ca="1">IF(OR(currentStatus="Checking",currentStatus="Approved",currentStatus="LOCKED"),"Текущий рабочий статус : " &amp;currentStatus,"")</f>
        <v>#NAME?</v>
      </c>
    </row>
    <row r="4" spans="1:100" ht="15">
      <c r="A4" s="316" t="s">
        <v>605</v>
      </c>
      <c r="B4" s="317" t="str">
        <f>_xll.EVRNG(D2:D11)</f>
        <v>'Ф1'!$D$2:$D$11</v>
      </c>
      <c r="C4" s="305" t="s">
        <v>606</v>
      </c>
      <c r="D4" s="307" t="e">
        <f ca="1">EV_CVW($D$1,C4)</f>
        <v>#NAME?</v>
      </c>
      <c r="E4" s="311" t="e">
        <f ca="1">D4</f>
        <v>#NAME?</v>
      </c>
      <c r="Q4" s="310"/>
      <c r="R4" s="318" t="s">
        <v>607</v>
      </c>
    </row>
    <row r="5" spans="1:100" ht="15">
      <c r="A5" s="316" t="s">
        <v>608</v>
      </c>
      <c r="B5" s="317" t="str">
        <f>_xll.EVRNG(S7:U9)</f>
        <v>'Ф1'!$S$7:$U$9</v>
      </c>
      <c r="C5" s="305" t="s">
        <v>609</v>
      </c>
      <c r="D5" s="319" t="s">
        <v>610</v>
      </c>
      <c r="Q5" s="310"/>
      <c r="R5" s="320" t="s">
        <v>597</v>
      </c>
    </row>
    <row r="6" spans="1:100" ht="15">
      <c r="A6" s="316" t="s">
        <v>611</v>
      </c>
      <c r="B6" s="317" t="str">
        <f>_xll.EVRNG(O13:Q14,O17:Q31,O33:Q39)</f>
        <v>'Ф1'!$O$13:$Q$14,'Ф1'!$O$17:$Q$31,'Ф1'!$O$33:$Q$39</v>
      </c>
      <c r="C6" s="305" t="s">
        <v>612</v>
      </c>
      <c r="D6" s="319" t="s">
        <v>613</v>
      </c>
      <c r="R6" s="318" t="s">
        <v>614</v>
      </c>
      <c r="U6" s="321"/>
      <c r="W6" s="322"/>
      <c r="Y6" s="322"/>
      <c r="AA6" s="322"/>
      <c r="AC6" s="322"/>
      <c r="AD6" s="322"/>
      <c r="AE6" s="322"/>
      <c r="AF6" s="322"/>
      <c r="AH6" s="322"/>
      <c r="CV6" s="322"/>
    </row>
    <row r="7" spans="1:100" ht="15">
      <c r="A7" s="316" t="s">
        <v>615</v>
      </c>
      <c r="B7" s="317"/>
      <c r="C7" s="305" t="s">
        <v>616</v>
      </c>
      <c r="D7" s="319" t="s">
        <v>617</v>
      </c>
      <c r="Q7" t="s">
        <v>618</v>
      </c>
      <c r="R7"/>
      <c r="S7" s="324" t="s">
        <v>619</v>
      </c>
      <c r="T7" s="324" t="s">
        <v>620</v>
      </c>
      <c r="U7" s="324" t="s">
        <v>621</v>
      </c>
    </row>
    <row r="8" spans="1:100" ht="15">
      <c r="A8" s="316" t="s">
        <v>622</v>
      </c>
      <c r="B8" s="317"/>
      <c r="C8" s="305" t="s">
        <v>623</v>
      </c>
      <c r="D8" s="319" t="s">
        <v>624</v>
      </c>
      <c r="R8"/>
      <c r="S8" s="324" t="s">
        <v>625</v>
      </c>
      <c r="T8" s="324" t="s">
        <v>625</v>
      </c>
      <c r="U8" s="324" t="s">
        <v>625</v>
      </c>
    </row>
    <row r="9" spans="1:100" ht="15">
      <c r="A9" s="316" t="s">
        <v>626</v>
      </c>
      <c r="B9" s="317" t="str">
        <f>_xll.EVRNG($A$204:$F$286)</f>
        <v>'Ф1'!$A$204:$F$286</v>
      </c>
      <c r="C9" s="305" t="s">
        <v>627</v>
      </c>
      <c r="D9" s="319" t="s">
        <v>628</v>
      </c>
      <c r="R9"/>
      <c r="S9" s="324" t="s">
        <v>629</v>
      </c>
      <c r="T9" s="324" t="s">
        <v>629</v>
      </c>
      <c r="U9" s="324" t="s">
        <v>629</v>
      </c>
    </row>
    <row r="10" spans="1:100" ht="15">
      <c r="A10" s="316" t="s">
        <v>630</v>
      </c>
      <c r="B10" s="317" t="str">
        <f>_xll.EVRNG($A$25:$B$41)</f>
        <v>'Ф1'!$A$25:$B$41</v>
      </c>
      <c r="C10" s="305" t="s">
        <v>631</v>
      </c>
      <c r="D10" s="319" t="s">
        <v>632</v>
      </c>
      <c r="Q10" t="s">
        <v>633</v>
      </c>
      <c r="S10" s="325" t="str">
        <f>IF(S7&lt;&gt;"I_T","HidebyCol","")</f>
        <v>HidebyCol</v>
      </c>
      <c r="T10" s="325" t="str">
        <f t="shared" ref="T10:U10" si="0">IF(T7&lt;&gt;"I_T","HidebyCol","")</f>
        <v>HidebyCol</v>
      </c>
      <c r="U10" s="325" t="str">
        <f t="shared" si="0"/>
        <v/>
      </c>
    </row>
    <row r="11" spans="1:100" ht="15">
      <c r="A11" s="316" t="s">
        <v>635</v>
      </c>
      <c r="B11" s="317"/>
      <c r="C11" s="305" t="s">
        <v>636</v>
      </c>
      <c r="D11" s="307" t="e">
        <f ca="1">EV_CVW($D$1,C11)</f>
        <v>#NAME?</v>
      </c>
      <c r="Q11" t="s">
        <v>637</v>
      </c>
      <c r="R11" s="326"/>
      <c r="S11" s="612" t="s">
        <v>5</v>
      </c>
      <c r="T11" s="613"/>
      <c r="U11" s="614"/>
    </row>
    <row r="12" spans="1:100" ht="15">
      <c r="E12"/>
      <c r="R12" s="328"/>
      <c r="S12" s="325" t="e">
        <f ca="1">IF(EV_DES(S7,$D$1)="#NODATA","",EV_DES(S7,$D$1))</f>
        <v>#NAME?</v>
      </c>
      <c r="T12" s="325" t="e">
        <f ca="1">IF(EV_DES(T7,$D$1)="#NODATA","",EV_DES(T7,$D$1))</f>
        <v>#NAME?</v>
      </c>
      <c r="U12" s="325" t="e">
        <f ca="1">IF(EV_DES(U7,$D$1)="#NODATA","",EV_DES(U7,$D$1))</f>
        <v>#NAME?</v>
      </c>
    </row>
    <row r="13" spans="1:100">
      <c r="A13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O13" s="331"/>
      <c r="P13" s="331"/>
      <c r="Q13" s="331"/>
      <c r="R13" s="332"/>
      <c r="S13" s="334"/>
      <c r="T13" s="334"/>
      <c r="U13" s="334"/>
    </row>
    <row r="14" spans="1:100" ht="15">
      <c r="A14" s="313" t="s">
        <v>638</v>
      </c>
      <c r="B14" s="335" t="s">
        <v>639</v>
      </c>
      <c r="C14" s="314" t="s">
        <v>640</v>
      </c>
      <c r="D14" s="314" t="s">
        <v>640</v>
      </c>
      <c r="E14" s="314" t="s">
        <v>641</v>
      </c>
      <c r="F14" s="314" t="s">
        <v>641</v>
      </c>
      <c r="G14" s="314" t="s">
        <v>641</v>
      </c>
      <c r="O14" s="331"/>
      <c r="P14" s="331"/>
      <c r="Q14" s="331"/>
      <c r="R14" s="332"/>
      <c r="S14" s="334"/>
      <c r="T14" s="334"/>
      <c r="U14" s="334"/>
    </row>
    <row r="15" spans="1:100" ht="15">
      <c r="A15" s="336" t="s">
        <v>642</v>
      </c>
      <c r="B15" s="337" t="s">
        <v>643</v>
      </c>
      <c r="C15" s="337" t="s">
        <v>643</v>
      </c>
      <c r="D15" s="337" t="s">
        <v>643</v>
      </c>
      <c r="E15" s="337" t="s">
        <v>644</v>
      </c>
      <c r="F15" s="337" t="s">
        <v>644</v>
      </c>
      <c r="G15" s="337" t="s">
        <v>644</v>
      </c>
      <c r="Q15" t="s">
        <v>645</v>
      </c>
      <c r="R15" s="338" t="s">
        <v>646</v>
      </c>
    </row>
    <row r="16" spans="1:100" ht="15">
      <c r="A16" s="336" t="s">
        <v>647</v>
      </c>
      <c r="B16" s="330" t="s">
        <v>648</v>
      </c>
      <c r="C16" s="337" t="s">
        <v>616</v>
      </c>
      <c r="D16" s="337" t="s">
        <v>636</v>
      </c>
      <c r="E16" s="337" t="s">
        <v>649</v>
      </c>
      <c r="F16" s="337" t="s">
        <v>612</v>
      </c>
      <c r="G16" s="337" t="s">
        <v>609</v>
      </c>
      <c r="Q16" t="s">
        <v>645</v>
      </c>
      <c r="R16" s="338" t="s">
        <v>650</v>
      </c>
    </row>
    <row r="17" spans="1:21" ht="15">
      <c r="A17" s="336" t="s">
        <v>651</v>
      </c>
      <c r="B17" s="330" t="str">
        <f>"I_19,I_Internal,I_T"</f>
        <v>I_19,I_Internal,I_T</v>
      </c>
      <c r="C17" s="337" t="s">
        <v>625</v>
      </c>
      <c r="D17" s="330" t="e">
        <f ca="1">EV_CVW($D$1,$C$11)</f>
        <v>#NAME?</v>
      </c>
      <c r="E17" s="330" t="str">
        <f>CONCATENATE(E24,E25)</f>
        <v>|205000000,207000000,206000000,204000000,202080000,202070000,202060000,202010000,202020000,202040000,202030000,210000000,203000000,299000000,200000000|104000000,103000000,102010000,102020000,102040000,102030000,110010000</v>
      </c>
      <c r="F17" s="330" t="str">
        <f>CONCATENATE(F24,F25)</f>
        <v>|M4_TOTAL|M4_TOTAL</v>
      </c>
      <c r="G17" s="330" t="str">
        <f>CONCATENATE(G24,G25)</f>
        <v>|M3_TOTAL|M3_TOTAL</v>
      </c>
      <c r="L17" t="e">
        <f t="shared" ref="L17:L39" ca="1" si="1">EV_PRO("LEGAL",O17,"HLEVEL")</f>
        <v>#NAME?</v>
      </c>
      <c r="O17" s="331">
        <v>205000000</v>
      </c>
      <c r="P17" s="331" t="s">
        <v>652</v>
      </c>
      <c r="Q17" s="331" t="s">
        <v>653</v>
      </c>
      <c r="R17" s="332" t="s">
        <v>23</v>
      </c>
      <c r="S17" s="340"/>
      <c r="T17" s="340"/>
      <c r="U17" s="341">
        <v>746455323</v>
      </c>
    </row>
    <row r="18" spans="1:21" ht="15">
      <c r="A18" s="336" t="s">
        <v>654</v>
      </c>
      <c r="B18" s="337"/>
      <c r="C18" s="337"/>
      <c r="D18" s="337"/>
      <c r="E18" s="337"/>
      <c r="F18" s="337"/>
      <c r="G18" s="337"/>
      <c r="L18" t="e">
        <f t="shared" ca="1" si="1"/>
        <v>#NAME?</v>
      </c>
      <c r="O18" s="331">
        <v>207000000</v>
      </c>
      <c r="P18" s="331" t="s">
        <v>652</v>
      </c>
      <c r="Q18" s="331" t="s">
        <v>653</v>
      </c>
      <c r="R18" s="332" t="s">
        <v>29</v>
      </c>
      <c r="S18" s="340"/>
      <c r="T18" s="340"/>
      <c r="U18" s="341">
        <v>1998498</v>
      </c>
    </row>
    <row r="19" spans="1:21" ht="15">
      <c r="A19" s="336" t="s">
        <v>655</v>
      </c>
      <c r="B19" s="337"/>
      <c r="C19" s="337"/>
      <c r="D19" s="337"/>
      <c r="E19" s="337"/>
      <c r="F19" s="337"/>
      <c r="G19" s="337"/>
      <c r="L19" t="e">
        <f t="shared" ca="1" si="1"/>
        <v>#NAME?</v>
      </c>
      <c r="O19" s="331">
        <v>206000000</v>
      </c>
      <c r="P19" s="331" t="s">
        <v>652</v>
      </c>
      <c r="Q19" s="331" t="s">
        <v>653</v>
      </c>
      <c r="R19" s="332" t="s">
        <v>27</v>
      </c>
      <c r="S19" s="340"/>
      <c r="T19" s="340"/>
      <c r="U19" s="341">
        <v>13252759</v>
      </c>
    </row>
    <row r="20" spans="1:21" ht="15">
      <c r="A20" s="336" t="s">
        <v>656</v>
      </c>
      <c r="B20" s="337"/>
      <c r="C20" s="337"/>
      <c r="D20" s="337"/>
      <c r="E20" s="337"/>
      <c r="F20" s="337"/>
      <c r="G20" s="337"/>
      <c r="L20" t="e">
        <f t="shared" ca="1" si="1"/>
        <v>#NAME?</v>
      </c>
      <c r="O20" s="331">
        <v>204000000</v>
      </c>
      <c r="P20" s="331" t="s">
        <v>652</v>
      </c>
      <c r="Q20" s="331" t="s">
        <v>653</v>
      </c>
      <c r="R20" s="332" t="s">
        <v>461</v>
      </c>
      <c r="S20" s="340"/>
      <c r="T20" s="340"/>
      <c r="U20" s="341">
        <v>829067</v>
      </c>
    </row>
    <row r="21" spans="1:21" ht="15">
      <c r="A21" s="336" t="s">
        <v>657</v>
      </c>
      <c r="B21" s="337"/>
      <c r="C21" s="337"/>
      <c r="D21" s="337"/>
      <c r="E21" s="337"/>
      <c r="F21" s="337"/>
      <c r="G21" s="337"/>
      <c r="L21" t="e">
        <f t="shared" ca="1" si="1"/>
        <v>#NAME?</v>
      </c>
      <c r="O21" s="331">
        <v>202080000</v>
      </c>
      <c r="P21" s="331" t="s">
        <v>652</v>
      </c>
      <c r="Q21" s="331" t="s">
        <v>653</v>
      </c>
      <c r="R21" s="332" t="s">
        <v>788</v>
      </c>
      <c r="S21" s="340"/>
      <c r="T21" s="340"/>
      <c r="U21" s="341"/>
    </row>
    <row r="22" spans="1:21" ht="15">
      <c r="A22" s="311" t="s">
        <v>658</v>
      </c>
      <c r="L22" t="e">
        <f t="shared" ca="1" si="1"/>
        <v>#NAME?</v>
      </c>
      <c r="O22" s="331">
        <v>202070000</v>
      </c>
      <c r="P22" s="331" t="s">
        <v>652</v>
      </c>
      <c r="Q22" s="331" t="s">
        <v>653</v>
      </c>
      <c r="R22" s="332" t="s">
        <v>463</v>
      </c>
      <c r="S22" s="340"/>
      <c r="T22" s="340"/>
      <c r="U22" s="341">
        <v>68332542</v>
      </c>
    </row>
    <row r="23" spans="1:21" ht="15">
      <c r="A23" s="311" t="e">
        <f ca="1">EV_LCK(EV_APP(),0,EV_CVW(EV_APP(),"TIME"),EV_CVW(EV_APP(),"C_ENTITY"),"ACTUAL",EV_CVW(EV_APP(),"C_DATATS"))</f>
        <v>#NAME?</v>
      </c>
      <c r="E23" s="330"/>
      <c r="F23" s="330"/>
      <c r="G23" s="330"/>
      <c r="L23" t="e">
        <f t="shared" ca="1" si="1"/>
        <v>#NAME?</v>
      </c>
      <c r="O23" s="331">
        <v>202060000</v>
      </c>
      <c r="P23" s="331" t="s">
        <v>652</v>
      </c>
      <c r="Q23" s="331" t="s">
        <v>653</v>
      </c>
      <c r="R23" s="332" t="s">
        <v>789</v>
      </c>
      <c r="S23" s="340"/>
      <c r="T23" s="340"/>
      <c r="U23" s="341">
        <v>18064514</v>
      </c>
    </row>
    <row r="24" spans="1:21" ht="15">
      <c r="A24" s="313" t="s">
        <v>659</v>
      </c>
      <c r="B24" s="314" t="s">
        <v>660</v>
      </c>
      <c r="E24" s="311" t="s">
        <v>661</v>
      </c>
      <c r="F24" s="311" t="s">
        <v>662</v>
      </c>
      <c r="G24" s="342" t="s">
        <v>663</v>
      </c>
      <c r="L24" t="e">
        <f t="shared" ca="1" si="1"/>
        <v>#NAME?</v>
      </c>
      <c r="O24" s="331">
        <v>202010000</v>
      </c>
      <c r="P24" s="331" t="s">
        <v>652</v>
      </c>
      <c r="Q24" s="331" t="s">
        <v>653</v>
      </c>
      <c r="R24" s="332" t="s">
        <v>790</v>
      </c>
      <c r="S24" s="341"/>
      <c r="T24" s="341"/>
      <c r="U24" s="341"/>
    </row>
    <row r="25" spans="1:21" ht="15">
      <c r="A25" s="316" t="s">
        <v>664</v>
      </c>
      <c r="B25" s="317"/>
      <c r="E25" s="311" t="s">
        <v>665</v>
      </c>
      <c r="F25" s="311" t="s">
        <v>662</v>
      </c>
      <c r="G25" t="s">
        <v>663</v>
      </c>
      <c r="L25" t="e">
        <f t="shared" ca="1" si="1"/>
        <v>#NAME?</v>
      </c>
      <c r="O25" s="331">
        <v>202020000</v>
      </c>
      <c r="P25" s="331" t="s">
        <v>652</v>
      </c>
      <c r="Q25" s="331" t="s">
        <v>653</v>
      </c>
      <c r="R25" s="332" t="s">
        <v>791</v>
      </c>
      <c r="S25" s="341"/>
      <c r="T25" s="341">
        <v>230548</v>
      </c>
      <c r="U25" s="341">
        <v>230548</v>
      </c>
    </row>
    <row r="26" spans="1:21" ht="15">
      <c r="A26" s="316" t="s">
        <v>666</v>
      </c>
      <c r="B26" s="317"/>
      <c r="L26" t="e">
        <f t="shared" ca="1" si="1"/>
        <v>#NAME?</v>
      </c>
      <c r="O26" s="331">
        <v>202040000</v>
      </c>
      <c r="P26" s="331" t="s">
        <v>652</v>
      </c>
      <c r="Q26" s="331" t="s">
        <v>653</v>
      </c>
      <c r="R26" s="332" t="s">
        <v>792</v>
      </c>
      <c r="S26" s="341">
        <v>3944000</v>
      </c>
      <c r="T26" s="341"/>
      <c r="U26" s="341">
        <v>3944000</v>
      </c>
    </row>
    <row r="27" spans="1:21" ht="15">
      <c r="A27" s="316" t="s">
        <v>667</v>
      </c>
      <c r="B27" s="317"/>
      <c r="L27" t="e">
        <f t="shared" ca="1" si="1"/>
        <v>#NAME?</v>
      </c>
      <c r="O27" s="331">
        <v>202030000</v>
      </c>
      <c r="P27" s="331" t="s">
        <v>652</v>
      </c>
      <c r="Q27" s="331" t="s">
        <v>653</v>
      </c>
      <c r="R27" s="332" t="s">
        <v>793</v>
      </c>
      <c r="S27" s="341"/>
      <c r="T27" s="341"/>
      <c r="U27" s="341"/>
    </row>
    <row r="28" spans="1:21" ht="15">
      <c r="A28" s="316" t="s">
        <v>668</v>
      </c>
      <c r="B28" s="317"/>
      <c r="L28" t="e">
        <f t="shared" ca="1" si="1"/>
        <v>#NAME?</v>
      </c>
      <c r="O28" s="331">
        <v>210000000</v>
      </c>
      <c r="P28" s="331" t="s">
        <v>652</v>
      </c>
      <c r="Q28" s="331" t="s">
        <v>653</v>
      </c>
      <c r="R28" s="332" t="s">
        <v>794</v>
      </c>
      <c r="S28" s="340"/>
      <c r="T28" s="340"/>
      <c r="U28" s="341"/>
    </row>
    <row r="29" spans="1:21" ht="15">
      <c r="A29" s="316" t="s">
        <v>669</v>
      </c>
      <c r="B29" s="317" t="s">
        <v>670</v>
      </c>
      <c r="L29" t="e">
        <f t="shared" ca="1" si="1"/>
        <v>#NAME?</v>
      </c>
      <c r="O29" s="331">
        <v>203000000</v>
      </c>
      <c r="P29" s="331" t="s">
        <v>652</v>
      </c>
      <c r="Q29" s="331" t="s">
        <v>653</v>
      </c>
      <c r="R29" s="332" t="s">
        <v>795</v>
      </c>
      <c r="S29" s="341"/>
      <c r="T29" s="341"/>
      <c r="U29" s="341"/>
    </row>
    <row r="30" spans="1:21" ht="15">
      <c r="A30" s="316" t="s">
        <v>671</v>
      </c>
      <c r="B30" s="317" t="s">
        <v>670</v>
      </c>
      <c r="L30" t="e">
        <f t="shared" ca="1" si="1"/>
        <v>#NAME?</v>
      </c>
      <c r="O30" s="331">
        <v>299000000</v>
      </c>
      <c r="P30" s="331" t="s">
        <v>652</v>
      </c>
      <c r="Q30" s="331" t="s">
        <v>653</v>
      </c>
      <c r="R30" s="332" t="s">
        <v>32</v>
      </c>
      <c r="S30" s="341">
        <v>143</v>
      </c>
      <c r="T30" s="341">
        <v>11466540</v>
      </c>
      <c r="U30" s="341">
        <v>11466683</v>
      </c>
    </row>
    <row r="31" spans="1:21" ht="15">
      <c r="A31" s="316" t="s">
        <v>672</v>
      </c>
      <c r="B31" s="317"/>
      <c r="L31" t="e">
        <f t="shared" ca="1" si="1"/>
        <v>#NAME?</v>
      </c>
      <c r="O31" s="331">
        <v>200000000</v>
      </c>
      <c r="P31" s="331" t="s">
        <v>652</v>
      </c>
      <c r="Q31" s="331" t="s">
        <v>653</v>
      </c>
      <c r="R31" s="343" t="s">
        <v>796</v>
      </c>
      <c r="S31" s="344">
        <v>3944143</v>
      </c>
      <c r="T31" s="344">
        <v>11697088</v>
      </c>
      <c r="U31" s="344">
        <v>864573934</v>
      </c>
    </row>
    <row r="32" spans="1:21" ht="15">
      <c r="A32" s="316" t="s">
        <v>673</v>
      </c>
      <c r="B32" s="317"/>
      <c r="F32" s="345"/>
      <c r="L32" t="e">
        <f t="shared" ca="1" si="1"/>
        <v>#NAME?</v>
      </c>
      <c r="Q32" t="s">
        <v>645</v>
      </c>
      <c r="R32" s="338" t="s">
        <v>674</v>
      </c>
    </row>
    <row r="33" spans="1:21" ht="15">
      <c r="A33" s="316" t="s">
        <v>675</v>
      </c>
      <c r="B33" s="317"/>
      <c r="F33" s="345"/>
      <c r="L33" t="e">
        <f t="shared" ca="1" si="1"/>
        <v>#NAME?</v>
      </c>
      <c r="O33" s="331">
        <v>104000000</v>
      </c>
      <c r="P33" s="331" t="s">
        <v>652</v>
      </c>
      <c r="Q33" s="331" t="s">
        <v>653</v>
      </c>
      <c r="R33" s="332" t="s">
        <v>467</v>
      </c>
      <c r="S33" s="340"/>
      <c r="T33" s="340"/>
      <c r="U33" s="341">
        <v>14362076</v>
      </c>
    </row>
    <row r="34" spans="1:21" ht="15">
      <c r="A34" s="316" t="s">
        <v>676</v>
      </c>
      <c r="B34" s="317"/>
      <c r="F34" s="345"/>
      <c r="L34" t="e">
        <f t="shared" ca="1" si="1"/>
        <v>#NAME?</v>
      </c>
      <c r="O34" s="331">
        <v>103000000</v>
      </c>
      <c r="P34" s="331" t="s">
        <v>652</v>
      </c>
      <c r="Q34" s="331" t="s">
        <v>653</v>
      </c>
      <c r="R34" s="332" t="s">
        <v>797</v>
      </c>
      <c r="S34" s="341">
        <v>442865</v>
      </c>
      <c r="T34" s="341">
        <v>14061525</v>
      </c>
      <c r="U34" s="341">
        <v>14504390</v>
      </c>
    </row>
    <row r="35" spans="1:21" ht="15">
      <c r="A35" s="316" t="s">
        <v>677</v>
      </c>
      <c r="B35" s="317"/>
      <c r="L35" t="e">
        <f t="shared" ca="1" si="1"/>
        <v>#NAME?</v>
      </c>
      <c r="O35" s="331">
        <v>102010000</v>
      </c>
      <c r="P35" s="331" t="s">
        <v>652</v>
      </c>
      <c r="Q35" s="331" t="s">
        <v>653</v>
      </c>
      <c r="R35" s="332" t="s">
        <v>798</v>
      </c>
      <c r="S35" s="341"/>
      <c r="T35" s="341">
        <v>12342</v>
      </c>
      <c r="U35" s="341">
        <v>12342</v>
      </c>
    </row>
    <row r="36" spans="1:21" ht="15">
      <c r="A36" s="316" t="s">
        <v>678</v>
      </c>
      <c r="B36" s="317"/>
      <c r="L36" t="e">
        <f t="shared" ca="1" si="1"/>
        <v>#NAME?</v>
      </c>
      <c r="O36" s="331">
        <v>102020000</v>
      </c>
      <c r="P36" s="331" t="s">
        <v>652</v>
      </c>
      <c r="Q36" s="331" t="s">
        <v>653</v>
      </c>
      <c r="R36" s="332" t="s">
        <v>799</v>
      </c>
      <c r="S36" s="341"/>
      <c r="T36" s="341">
        <v>25038332</v>
      </c>
      <c r="U36" s="341">
        <v>25038332</v>
      </c>
    </row>
    <row r="37" spans="1:21" ht="15">
      <c r="A37" s="316" t="s">
        <v>679</v>
      </c>
      <c r="B37" s="317"/>
      <c r="L37" t="e">
        <f t="shared" ca="1" si="1"/>
        <v>#NAME?</v>
      </c>
      <c r="O37" s="331">
        <v>102040000</v>
      </c>
      <c r="P37" s="331" t="s">
        <v>652</v>
      </c>
      <c r="Q37" s="331" t="s">
        <v>653</v>
      </c>
      <c r="R37" s="332" t="s">
        <v>800</v>
      </c>
      <c r="S37" s="341">
        <v>17317</v>
      </c>
      <c r="T37" s="341"/>
      <c r="U37" s="341">
        <v>17317</v>
      </c>
    </row>
    <row r="38" spans="1:21" ht="15.75">
      <c r="A38" s="316" t="s">
        <v>680</v>
      </c>
      <c r="B38" s="317"/>
      <c r="H38" s="346"/>
      <c r="L38" t="e">
        <f t="shared" ca="1" si="1"/>
        <v>#NAME?</v>
      </c>
      <c r="O38" s="331">
        <v>102030000</v>
      </c>
      <c r="P38" s="331" t="s">
        <v>652</v>
      </c>
      <c r="Q38" s="331" t="s">
        <v>653</v>
      </c>
      <c r="R38" s="332" t="s">
        <v>801</v>
      </c>
      <c r="S38" s="341"/>
      <c r="T38" s="341"/>
      <c r="U38" s="341"/>
    </row>
    <row r="39" spans="1:21" ht="15">
      <c r="A39" s="316" t="s">
        <v>681</v>
      </c>
      <c r="B39" s="317"/>
      <c r="L39" t="e">
        <f t="shared" ca="1" si="1"/>
        <v>#NAME?</v>
      </c>
      <c r="O39" s="331">
        <v>110010000</v>
      </c>
      <c r="P39" s="331" t="s">
        <v>652</v>
      </c>
      <c r="Q39" s="331" t="s">
        <v>653</v>
      </c>
      <c r="R39" s="332" t="s">
        <v>802</v>
      </c>
      <c r="S39" s="340"/>
      <c r="T39" s="340"/>
      <c r="U39" s="341"/>
    </row>
    <row r="40" spans="1:21" ht="15">
      <c r="A40" s="316" t="s">
        <v>682</v>
      </c>
      <c r="B40" s="317"/>
      <c r="R40" s="310" t="s">
        <v>633</v>
      </c>
    </row>
    <row r="41" spans="1:21" ht="15">
      <c r="A41" s="316" t="s">
        <v>683</v>
      </c>
      <c r="B41" s="317"/>
      <c r="S41" s="324" t="s">
        <v>619</v>
      </c>
      <c r="T41" s="324" t="s">
        <v>684</v>
      </c>
      <c r="U41" s="324" t="s">
        <v>621</v>
      </c>
    </row>
    <row r="42" spans="1:21">
      <c r="S42" s="347" t="s">
        <v>625</v>
      </c>
      <c r="T42" s="347" t="s">
        <v>625</v>
      </c>
      <c r="U42" s="347" t="s">
        <v>625</v>
      </c>
    </row>
    <row r="43" spans="1:21" ht="15">
      <c r="A43" s="303" t="e">
        <f>_xll.EVDRE($D$1,A46:B53,A57:G63)</f>
        <v>#VALUE!</v>
      </c>
      <c r="B43" s="304" t="s">
        <v>597</v>
      </c>
      <c r="C43" s="305" t="s">
        <v>598</v>
      </c>
      <c r="D43" s="306" t="s">
        <v>599</v>
      </c>
      <c r="E43" s="305" t="s">
        <v>600</v>
      </c>
      <c r="F43" s="307" t="e">
        <f ca="1">EV_CVW($D$1,E43)</f>
        <v>#NAME?</v>
      </c>
      <c r="S43" s="347" t="s">
        <v>629</v>
      </c>
      <c r="T43" s="347" t="s">
        <v>629</v>
      </c>
      <c r="U43" s="347" t="s">
        <v>629</v>
      </c>
    </row>
    <row r="44" spans="1:21" ht="15">
      <c r="C44" s="305" t="s">
        <v>601</v>
      </c>
      <c r="D44" s="307" t="e">
        <f ca="1">EV_CVW($D$1,C44)</f>
        <v>#NAME?</v>
      </c>
      <c r="R44" s="310" t="s">
        <v>633</v>
      </c>
      <c r="S44" s="325"/>
      <c r="T44" s="325"/>
      <c r="U44" s="325"/>
    </row>
    <row r="45" spans="1:21" ht="15">
      <c r="A45" s="313" t="s">
        <v>602</v>
      </c>
      <c r="B45" s="314" t="s">
        <v>603</v>
      </c>
      <c r="C45" s="305" t="s">
        <v>604</v>
      </c>
      <c r="D45" s="307" t="e">
        <f ca="1">EV_CVW($D$1,C45)</f>
        <v>#NAME?</v>
      </c>
      <c r="O45" s="331"/>
      <c r="P45" s="331"/>
      <c r="Q45" s="331"/>
      <c r="R45" s="332"/>
      <c r="S45" s="334"/>
      <c r="T45" s="348"/>
      <c r="U45" s="334"/>
    </row>
    <row r="46" spans="1:21" ht="15">
      <c r="A46" s="316" t="s">
        <v>605</v>
      </c>
      <c r="B46" s="317" t="str">
        <f>_xll.EVRNG(D44:D53)</f>
        <v>'Ф1'!$D$44:$D$53</v>
      </c>
      <c r="C46" s="305" t="s">
        <v>606</v>
      </c>
      <c r="D46" s="307" t="e">
        <f ca="1">EV_CVW($D$1,C46)</f>
        <v>#NAME?</v>
      </c>
      <c r="E46" s="311" t="e">
        <f ca="1">D46</f>
        <v>#NAME?</v>
      </c>
      <c r="O46" s="331"/>
      <c r="P46" s="331"/>
      <c r="Q46" s="331"/>
      <c r="R46" s="332"/>
      <c r="S46" s="334"/>
      <c r="T46" s="348"/>
      <c r="U46" s="334"/>
    </row>
    <row r="47" spans="1:21" ht="15">
      <c r="A47" s="316" t="s">
        <v>608</v>
      </c>
      <c r="B47" s="317" t="str">
        <f>_xll.EVRNG(S41:U43,)</f>
        <v>'Ф1'!$S$41:$U$43</v>
      </c>
      <c r="C47" s="305" t="s">
        <v>609</v>
      </c>
      <c r="D47" s="319" t="s">
        <v>610</v>
      </c>
      <c r="R47" s="310" t="s">
        <v>633</v>
      </c>
    </row>
    <row r="48" spans="1:21" ht="15">
      <c r="A48" s="316" t="s">
        <v>611</v>
      </c>
      <c r="B48" s="317" t="str">
        <f>_xll.EVRNG(O45:Q46,O48:Q49)</f>
        <v>'Ф1'!$O$45:$Q$46,'Ф1'!$O$48:$Q$49</v>
      </c>
      <c r="C48" s="305" t="s">
        <v>612</v>
      </c>
      <c r="D48" s="319" t="s">
        <v>613</v>
      </c>
      <c r="O48" s="331">
        <v>110020000</v>
      </c>
      <c r="P48" s="331" t="s">
        <v>613</v>
      </c>
      <c r="Q48" s="331" t="s">
        <v>610</v>
      </c>
      <c r="R48" s="332" t="s">
        <v>803</v>
      </c>
      <c r="S48" s="340"/>
      <c r="T48" s="348">
        <v>5655863</v>
      </c>
      <c r="U48" s="334">
        <v>5653792</v>
      </c>
    </row>
    <row r="49" spans="1:21" ht="15">
      <c r="A49" s="316" t="s">
        <v>615</v>
      </c>
      <c r="B49" s="317"/>
      <c r="C49" s="305" t="s">
        <v>616</v>
      </c>
      <c r="D49" s="319" t="s">
        <v>617</v>
      </c>
      <c r="O49" s="331"/>
      <c r="P49" s="331"/>
      <c r="Q49" s="331"/>
      <c r="R49" s="332">
        <v>0</v>
      </c>
      <c r="S49" s="334"/>
      <c r="T49" s="348"/>
      <c r="U49" s="334"/>
    </row>
    <row r="50" spans="1:21" ht="15">
      <c r="A50" s="316" t="s">
        <v>622</v>
      </c>
      <c r="B50" s="317"/>
      <c r="C50" s="305" t="s">
        <v>623</v>
      </c>
      <c r="D50" s="319" t="s">
        <v>624</v>
      </c>
      <c r="L50" t="e">
        <f ca="1">EV_PRO("LEGAL",#REF!,"HLEVEL")</f>
        <v>#NAME?</v>
      </c>
      <c r="R50" s="310" t="s">
        <v>633</v>
      </c>
    </row>
    <row r="51" spans="1:21" ht="15">
      <c r="A51" s="316" t="s">
        <v>626</v>
      </c>
      <c r="B51" s="317" t="str">
        <f>_xll.EVRNG($A$204:$F$286)</f>
        <v>'Ф1'!$A$204:$F$286</v>
      </c>
      <c r="C51" s="305" t="s">
        <v>627</v>
      </c>
      <c r="D51" s="319" t="s">
        <v>628</v>
      </c>
      <c r="L51" t="e">
        <f t="shared" ref="L51:L68" ca="1" si="2">EV_PRO("LEGAL",O54,"HLEVEL")</f>
        <v>#NAME?</v>
      </c>
      <c r="S51" s="324" t="s">
        <v>619</v>
      </c>
      <c r="T51" s="324" t="s">
        <v>620</v>
      </c>
      <c r="U51" s="324" t="s">
        <v>621</v>
      </c>
    </row>
    <row r="52" spans="1:21" ht="15">
      <c r="A52" s="316" t="s">
        <v>630</v>
      </c>
      <c r="B52" s="317" t="str">
        <f>_xll.EVRNG($A$25:$B$41)</f>
        <v>'Ф1'!$A$25:$B$41</v>
      </c>
      <c r="C52" s="305" t="s">
        <v>631</v>
      </c>
      <c r="D52" s="319" t="s">
        <v>632</v>
      </c>
      <c r="L52" t="e">
        <f t="shared" ca="1" si="2"/>
        <v>#NAME?</v>
      </c>
      <c r="S52" s="324" t="s">
        <v>625</v>
      </c>
      <c r="T52" s="324" t="s">
        <v>625</v>
      </c>
      <c r="U52" s="324" t="s">
        <v>625</v>
      </c>
    </row>
    <row r="53" spans="1:21" ht="15">
      <c r="A53" s="316" t="s">
        <v>635</v>
      </c>
      <c r="B53" s="317"/>
      <c r="C53" s="305" t="s">
        <v>636</v>
      </c>
      <c r="D53" s="307" t="e">
        <f ca="1">EV_CVW($D$1,C53)</f>
        <v>#NAME?</v>
      </c>
      <c r="L53" t="e">
        <f t="shared" ca="1" si="2"/>
        <v>#NAME?</v>
      </c>
      <c r="S53" s="324" t="s">
        <v>629</v>
      </c>
      <c r="T53" s="324" t="s">
        <v>629</v>
      </c>
      <c r="U53" s="324" t="s">
        <v>629</v>
      </c>
    </row>
    <row r="54" spans="1:21">
      <c r="E54"/>
      <c r="L54" t="e">
        <f t="shared" ca="1" si="2"/>
        <v>#NAME?</v>
      </c>
      <c r="O54" s="331">
        <v>199000000</v>
      </c>
      <c r="P54" s="331" t="s">
        <v>652</v>
      </c>
      <c r="Q54" s="331" t="s">
        <v>653</v>
      </c>
      <c r="R54" s="332" t="s">
        <v>16</v>
      </c>
      <c r="S54" s="341">
        <v>109798</v>
      </c>
      <c r="T54" s="341">
        <v>9021024</v>
      </c>
      <c r="U54" s="341">
        <v>9130822</v>
      </c>
    </row>
    <row r="55" spans="1:21">
      <c r="A55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E55" s="330" t="s">
        <v>685</v>
      </c>
      <c r="F55" s="330" t="s">
        <v>686</v>
      </c>
      <c r="G55" s="330" t="s">
        <v>687</v>
      </c>
      <c r="L55" t="e">
        <f t="shared" ca="1" si="2"/>
        <v>#NAME?</v>
      </c>
      <c r="O55" s="331">
        <v>101000000</v>
      </c>
      <c r="P55" s="331" t="s">
        <v>652</v>
      </c>
      <c r="Q55" s="331" t="s">
        <v>653</v>
      </c>
      <c r="R55" s="332" t="s">
        <v>804</v>
      </c>
      <c r="S55" s="341">
        <v>39595</v>
      </c>
      <c r="T55" s="341">
        <v>10691054</v>
      </c>
      <c r="U55" s="341">
        <v>10730649</v>
      </c>
    </row>
    <row r="56" spans="1:21" ht="26.25">
      <c r="A56" s="313" t="s">
        <v>638</v>
      </c>
      <c r="B56" s="335" t="s">
        <v>639</v>
      </c>
      <c r="C56" s="314" t="s">
        <v>640</v>
      </c>
      <c r="D56" s="314" t="s">
        <v>640</v>
      </c>
      <c r="E56" s="314" t="s">
        <v>641</v>
      </c>
      <c r="F56" s="314" t="s">
        <v>641</v>
      </c>
      <c r="G56" s="314" t="s">
        <v>641</v>
      </c>
      <c r="L56" t="e">
        <f t="shared" ca="1" si="2"/>
        <v>#NAME?</v>
      </c>
      <c r="O56" s="331">
        <v>109000000</v>
      </c>
      <c r="P56" s="331" t="s">
        <v>652</v>
      </c>
      <c r="Q56" s="331" t="s">
        <v>653</v>
      </c>
      <c r="R56" s="332" t="s">
        <v>805</v>
      </c>
      <c r="S56" s="341">
        <v>0</v>
      </c>
      <c r="T56" s="341"/>
      <c r="U56" s="341">
        <v>45617764.239239603</v>
      </c>
    </row>
    <row r="57" spans="1:21" ht="15">
      <c r="A57" s="336" t="s">
        <v>642</v>
      </c>
      <c r="B57" s="337" t="s">
        <v>643</v>
      </c>
      <c r="C57" s="337" t="s">
        <v>643</v>
      </c>
      <c r="D57" s="337" t="s">
        <v>643</v>
      </c>
      <c r="E57" s="337" t="s">
        <v>644</v>
      </c>
      <c r="F57" s="337" t="s">
        <v>644</v>
      </c>
      <c r="G57" s="337" t="s">
        <v>644</v>
      </c>
      <c r="L57" t="e">
        <f t="shared" ca="1" si="2"/>
        <v>#NAME?</v>
      </c>
      <c r="O57" s="331">
        <v>100000000</v>
      </c>
      <c r="P57" s="331" t="s">
        <v>652</v>
      </c>
      <c r="Q57" s="331" t="s">
        <v>653</v>
      </c>
      <c r="R57" s="343" t="s">
        <v>806</v>
      </c>
      <c r="S57" s="344">
        <v>609575</v>
      </c>
      <c r="T57" s="344">
        <v>64480140</v>
      </c>
      <c r="U57" s="344">
        <v>125069555.2392396</v>
      </c>
    </row>
    <row r="58" spans="1:21" ht="15">
      <c r="A58" s="336" t="s">
        <v>647</v>
      </c>
      <c r="B58" s="330" t="s">
        <v>648</v>
      </c>
      <c r="C58" s="337" t="s">
        <v>616</v>
      </c>
      <c r="D58" s="337" t="s">
        <v>636</v>
      </c>
      <c r="E58" s="337" t="s">
        <v>649</v>
      </c>
      <c r="F58" s="337" t="s">
        <v>612</v>
      </c>
      <c r="G58" s="337" t="s">
        <v>609</v>
      </c>
      <c r="L58" t="e">
        <f t="shared" ca="1" si="2"/>
        <v>#NAME?</v>
      </c>
      <c r="Q58" t="s">
        <v>645</v>
      </c>
      <c r="R58" s="349" t="s">
        <v>688</v>
      </c>
      <c r="S58" s="350">
        <f>IF(SUM(S57,S31)=0,"",SUM(S57,S31))</f>
        <v>4553718</v>
      </c>
      <c r="T58" s="350">
        <f t="shared" ref="T58:U58" si="3">IF(SUM(T57,T31)=0,"",SUM(T57,T31))</f>
        <v>76177228</v>
      </c>
      <c r="U58" s="350">
        <f t="shared" si="3"/>
        <v>989643489.23923957</v>
      </c>
    </row>
    <row r="59" spans="1:21" ht="15">
      <c r="A59" s="336" t="s">
        <v>651</v>
      </c>
      <c r="B59" s="330" t="str">
        <f>"I_19,I_29,I_T"</f>
        <v>I_19,I_29,I_T</v>
      </c>
      <c r="C59" s="337" t="s">
        <v>625</v>
      </c>
      <c r="D59" s="330" t="e">
        <f ca="1">EV_CVW($D$1,$C$11)</f>
        <v>#NAME?</v>
      </c>
      <c r="E59" s="351" t="s">
        <v>689</v>
      </c>
      <c r="F59" s="330" t="s">
        <v>690</v>
      </c>
      <c r="G59" s="330" t="s">
        <v>691</v>
      </c>
      <c r="L59" t="e">
        <f t="shared" ca="1" si="2"/>
        <v>#NAME?</v>
      </c>
      <c r="Q59" t="s">
        <v>645</v>
      </c>
      <c r="R59" s="338" t="s">
        <v>692</v>
      </c>
    </row>
    <row r="60" spans="1:21" ht="15">
      <c r="A60" s="336" t="s">
        <v>654</v>
      </c>
      <c r="B60" s="337"/>
      <c r="C60" s="337"/>
      <c r="D60" s="337"/>
      <c r="E60" s="337"/>
      <c r="F60" s="337"/>
      <c r="G60" s="337"/>
      <c r="L60" t="e">
        <f t="shared" ca="1" si="2"/>
        <v>#NAME?</v>
      </c>
      <c r="Q60" t="s">
        <v>645</v>
      </c>
      <c r="R60" s="338" t="s">
        <v>693</v>
      </c>
    </row>
    <row r="61" spans="1:21" ht="15">
      <c r="A61" s="336" t="s">
        <v>655</v>
      </c>
      <c r="B61" s="337"/>
      <c r="C61" s="337"/>
      <c r="D61" s="337"/>
      <c r="E61" s="337"/>
      <c r="F61" s="337"/>
      <c r="G61" s="337"/>
      <c r="L61" t="e">
        <f t="shared" ca="1" si="2"/>
        <v>#NAME?</v>
      </c>
      <c r="O61" s="331">
        <v>501010000</v>
      </c>
      <c r="P61" s="331" t="s">
        <v>652</v>
      </c>
      <c r="Q61" s="331" t="s">
        <v>653</v>
      </c>
      <c r="R61" s="332" t="s">
        <v>807</v>
      </c>
      <c r="S61" s="340"/>
      <c r="T61" s="340"/>
      <c r="U61" s="341">
        <v>-355364386</v>
      </c>
    </row>
    <row r="62" spans="1:21" ht="15">
      <c r="A62" s="336" t="s">
        <v>656</v>
      </c>
      <c r="B62" s="337"/>
      <c r="C62" s="337"/>
      <c r="D62" s="337"/>
      <c r="E62" s="337"/>
      <c r="F62" s="337"/>
      <c r="G62" s="337"/>
      <c r="L62" t="e">
        <f t="shared" ca="1" si="2"/>
        <v>#NAME?</v>
      </c>
      <c r="O62" s="331">
        <v>503000000</v>
      </c>
      <c r="P62" s="331" t="s">
        <v>652</v>
      </c>
      <c r="Q62" s="331" t="s">
        <v>653</v>
      </c>
      <c r="R62" s="332" t="s">
        <v>47</v>
      </c>
      <c r="S62" s="340"/>
      <c r="T62" s="340"/>
      <c r="U62" s="341"/>
    </row>
    <row r="63" spans="1:21" ht="15">
      <c r="A63" s="336" t="s">
        <v>657</v>
      </c>
      <c r="B63" s="337"/>
      <c r="C63" s="337"/>
      <c r="D63" s="337"/>
      <c r="E63" s="337"/>
      <c r="F63" s="337"/>
      <c r="G63" s="337"/>
      <c r="L63" t="e">
        <f t="shared" ca="1" si="2"/>
        <v>#NAME?</v>
      </c>
      <c r="O63" s="331">
        <v>504000000</v>
      </c>
      <c r="P63" s="331" t="s">
        <v>652</v>
      </c>
      <c r="Q63" s="331" t="s">
        <v>653</v>
      </c>
      <c r="R63" s="332" t="s">
        <v>45</v>
      </c>
      <c r="S63" s="340"/>
      <c r="T63" s="340"/>
      <c r="U63" s="341"/>
    </row>
    <row r="64" spans="1:21" ht="15">
      <c r="A64" s="311" t="s">
        <v>658</v>
      </c>
      <c r="L64" t="e">
        <f t="shared" ca="1" si="2"/>
        <v>#NAME?</v>
      </c>
      <c r="O64" s="331">
        <v>501020000</v>
      </c>
      <c r="P64" s="331" t="s">
        <v>652</v>
      </c>
      <c r="Q64" s="331" t="s">
        <v>653</v>
      </c>
      <c r="R64" s="332" t="s">
        <v>808</v>
      </c>
      <c r="S64" s="340"/>
      <c r="T64" s="340"/>
      <c r="U64" s="341">
        <v>-37194831</v>
      </c>
    </row>
    <row r="65" spans="1:21" ht="26.25">
      <c r="A65" s="311" t="e">
        <f ca="1">EV_LCK(EV_APP(),0,EV_CVW(EV_APP(),"TIME"),EV_CVW(EV_APP(),"C_ENTITY"),"ACTUAL",EV_CVW(EV_APP(),"C_DATATS"))</f>
        <v>#NAME?</v>
      </c>
      <c r="L65" t="e">
        <f t="shared" ca="1" si="2"/>
        <v>#NAME?</v>
      </c>
      <c r="O65" s="331">
        <v>505010000</v>
      </c>
      <c r="P65" s="331" t="s">
        <v>652</v>
      </c>
      <c r="Q65" s="331" t="s">
        <v>653</v>
      </c>
      <c r="R65" s="332" t="s">
        <v>809</v>
      </c>
      <c r="S65" s="340"/>
      <c r="T65" s="340"/>
      <c r="U65" s="341"/>
    </row>
    <row r="66" spans="1:21" ht="15">
      <c r="L66" t="e">
        <f t="shared" ca="1" si="2"/>
        <v>#NAME?</v>
      </c>
      <c r="O66" s="331">
        <v>505020000</v>
      </c>
      <c r="P66" s="331" t="s">
        <v>652</v>
      </c>
      <c r="Q66" s="331" t="s">
        <v>653</v>
      </c>
      <c r="R66" s="332" t="s">
        <v>810</v>
      </c>
      <c r="S66" s="340"/>
      <c r="T66" s="340"/>
      <c r="U66" s="341"/>
    </row>
    <row r="67" spans="1:21" ht="15">
      <c r="L67" t="e">
        <f t="shared" ca="1" si="2"/>
        <v>#NAME?</v>
      </c>
      <c r="O67" s="331">
        <v>505030000</v>
      </c>
      <c r="P67" s="331" t="s">
        <v>652</v>
      </c>
      <c r="Q67" s="331" t="s">
        <v>653</v>
      </c>
      <c r="R67" s="332" t="s">
        <v>811</v>
      </c>
      <c r="S67" s="340"/>
      <c r="T67" s="340"/>
      <c r="U67" s="341"/>
    </row>
    <row r="68" spans="1:21" ht="15">
      <c r="L68" t="e">
        <f t="shared" ca="1" si="2"/>
        <v>#NAME?</v>
      </c>
      <c r="O68" s="331">
        <v>505040000</v>
      </c>
      <c r="P68" s="331" t="s">
        <v>652</v>
      </c>
      <c r="Q68" s="331" t="s">
        <v>653</v>
      </c>
      <c r="R68" s="332" t="s">
        <v>812</v>
      </c>
      <c r="S68" s="340"/>
      <c r="T68" s="340"/>
      <c r="U68" s="341"/>
    </row>
    <row r="69" spans="1:21" ht="15">
      <c r="L69" t="e">
        <f t="shared" ref="L69:L96" ca="1" si="4">EV_PRO("LEGAL",O73,"HLEVEL")</f>
        <v>#NAME?</v>
      </c>
      <c r="O69" s="331">
        <v>505990000</v>
      </c>
      <c r="P69" s="331" t="s">
        <v>652</v>
      </c>
      <c r="Q69" s="331" t="s">
        <v>653</v>
      </c>
      <c r="R69" s="332" t="s">
        <v>475</v>
      </c>
      <c r="S69" s="340"/>
      <c r="T69" s="340"/>
      <c r="U69" s="341"/>
    </row>
    <row r="70" spans="1:21" ht="15">
      <c r="F70" s="345"/>
      <c r="L70" t="e">
        <f t="shared" ca="1" si="4"/>
        <v>#NAME?</v>
      </c>
      <c r="O70" s="331">
        <v>502000000</v>
      </c>
      <c r="P70" s="331" t="s">
        <v>652</v>
      </c>
      <c r="Q70" s="331" t="s">
        <v>653</v>
      </c>
      <c r="R70" s="332" t="s">
        <v>813</v>
      </c>
      <c r="S70" s="340"/>
      <c r="T70" s="340"/>
      <c r="U70" s="341"/>
    </row>
    <row r="71" spans="1:21" ht="15">
      <c r="F71" s="345"/>
      <c r="L71" t="e">
        <f t="shared" ca="1" si="4"/>
        <v>#NAME?</v>
      </c>
      <c r="O71" s="331">
        <v>506000000</v>
      </c>
      <c r="P71" s="331" t="s">
        <v>652</v>
      </c>
      <c r="Q71" s="331" t="s">
        <v>653</v>
      </c>
      <c r="R71" s="332" t="s">
        <v>188</v>
      </c>
      <c r="S71" s="340"/>
      <c r="T71" s="340"/>
      <c r="U71" s="341">
        <v>-103354494</v>
      </c>
    </row>
    <row r="72" spans="1:21" ht="15">
      <c r="F72" s="345"/>
      <c r="L72" t="e">
        <f t="shared" ca="1" si="4"/>
        <v>#NAME?</v>
      </c>
      <c r="Q72" s="352" t="s">
        <v>645</v>
      </c>
      <c r="R72" s="353" t="s">
        <v>694</v>
      </c>
      <c r="S72" s="344" t="str">
        <f>IF(SUM(S61:S71)=0,"",SUM(S61:S71))</f>
        <v/>
      </c>
      <c r="T72" s="344" t="str">
        <f t="shared" ref="T72:U72" si="5">IF(SUM(T61:T71)=0,"",SUM(T61:T71))</f>
        <v/>
      </c>
      <c r="U72" s="344">
        <f t="shared" si="5"/>
        <v>-495913711</v>
      </c>
    </row>
    <row r="73" spans="1:21">
      <c r="F73" s="345"/>
      <c r="L73" t="e">
        <f t="shared" ca="1" si="4"/>
        <v>#NAME?</v>
      </c>
      <c r="O73" s="331">
        <v>599000000</v>
      </c>
      <c r="P73" s="331" t="s">
        <v>652</v>
      </c>
      <c r="Q73" s="331" t="s">
        <v>653</v>
      </c>
      <c r="R73" s="332" t="s">
        <v>113</v>
      </c>
      <c r="S73" s="341"/>
      <c r="T73" s="341"/>
      <c r="U73" s="341">
        <v>-2138284</v>
      </c>
    </row>
    <row r="74" spans="1:21" ht="15">
      <c r="F74" s="345"/>
      <c r="L74" t="e">
        <f t="shared" ca="1" si="4"/>
        <v>#NAME?</v>
      </c>
      <c r="O74" s="331">
        <v>500000000</v>
      </c>
      <c r="P74" s="331" t="s">
        <v>652</v>
      </c>
      <c r="Q74" s="331" t="s">
        <v>653</v>
      </c>
      <c r="R74" s="343" t="s">
        <v>814</v>
      </c>
      <c r="S74" s="344"/>
      <c r="T74" s="344"/>
      <c r="U74" s="344">
        <v>-498051995</v>
      </c>
    </row>
    <row r="75" spans="1:21" ht="15">
      <c r="F75" s="345"/>
      <c r="L75" t="e">
        <f t="shared" ca="1" si="4"/>
        <v>#NAME?</v>
      </c>
      <c r="Q75" t="s">
        <v>645</v>
      </c>
      <c r="R75" s="338" t="s">
        <v>695</v>
      </c>
    </row>
    <row r="76" spans="1:21">
      <c r="F76" s="345"/>
      <c r="L76" t="e">
        <f t="shared" ca="1" si="4"/>
        <v>#NAME?</v>
      </c>
      <c r="O76" s="331">
        <v>402010000</v>
      </c>
      <c r="P76" s="331" t="s">
        <v>652</v>
      </c>
      <c r="Q76" s="331" t="s">
        <v>653</v>
      </c>
      <c r="R76" s="332" t="s">
        <v>815</v>
      </c>
      <c r="S76" s="341">
        <v>-126025352</v>
      </c>
      <c r="T76" s="341">
        <v>-154446287</v>
      </c>
      <c r="U76" s="341">
        <v>-280471639</v>
      </c>
    </row>
    <row r="77" spans="1:21" ht="25.5">
      <c r="L77" t="e">
        <f t="shared" ca="1" si="4"/>
        <v>#NAME?</v>
      </c>
      <c r="O77" s="331">
        <v>402040000</v>
      </c>
      <c r="P77" s="331" t="s">
        <v>652</v>
      </c>
      <c r="Q77" s="331" t="s">
        <v>653</v>
      </c>
      <c r="R77" s="332" t="s">
        <v>816</v>
      </c>
      <c r="S77" s="341"/>
      <c r="T77" s="341"/>
      <c r="U77" s="341"/>
    </row>
    <row r="78" spans="1:21">
      <c r="L78" t="e">
        <f t="shared" ca="1" si="4"/>
        <v>#NAME?</v>
      </c>
      <c r="O78" s="331">
        <v>402020000</v>
      </c>
      <c r="P78" s="331" t="s">
        <v>652</v>
      </c>
      <c r="Q78" s="331" t="s">
        <v>653</v>
      </c>
      <c r="R78" s="332" t="s">
        <v>817</v>
      </c>
      <c r="S78" s="341"/>
      <c r="T78" s="341"/>
      <c r="U78" s="341"/>
    </row>
    <row r="79" spans="1:21">
      <c r="L79" t="e">
        <f t="shared" ca="1" si="4"/>
        <v>#NAME?</v>
      </c>
      <c r="O79" s="331">
        <v>402050000</v>
      </c>
      <c r="P79" s="331" t="s">
        <v>652</v>
      </c>
      <c r="Q79" s="331" t="s">
        <v>653</v>
      </c>
      <c r="R79" s="332" t="s">
        <v>818</v>
      </c>
      <c r="S79" s="341"/>
      <c r="T79" s="341"/>
      <c r="U79" s="341"/>
    </row>
    <row r="80" spans="1:21">
      <c r="L80" t="e">
        <f t="shared" ca="1" si="4"/>
        <v>#NAME?</v>
      </c>
      <c r="O80" s="331">
        <v>405000000</v>
      </c>
      <c r="P80" s="331" t="s">
        <v>652</v>
      </c>
      <c r="Q80" s="331" t="s">
        <v>653</v>
      </c>
      <c r="R80" s="332" t="s">
        <v>481</v>
      </c>
      <c r="S80" s="341"/>
      <c r="T80" s="341"/>
      <c r="U80" s="341">
        <v>-1109093</v>
      </c>
    </row>
    <row r="81" spans="1:21" ht="25.5">
      <c r="L81" t="e">
        <f t="shared" ca="1" si="4"/>
        <v>#NAME?</v>
      </c>
      <c r="O81" s="331">
        <v>402030000</v>
      </c>
      <c r="P81" s="331" t="s">
        <v>652</v>
      </c>
      <c r="Q81" s="331" t="s">
        <v>653</v>
      </c>
      <c r="R81" s="332" t="s">
        <v>819</v>
      </c>
      <c r="S81" s="341"/>
      <c r="T81" s="341"/>
      <c r="U81" s="341"/>
    </row>
    <row r="82" spans="1:21" ht="15">
      <c r="L82" t="e">
        <f t="shared" ca="1" si="4"/>
        <v>#NAME?</v>
      </c>
      <c r="O82" s="331">
        <v>410000000</v>
      </c>
      <c r="P82" s="331" t="s">
        <v>652</v>
      </c>
      <c r="Q82" s="331" t="s">
        <v>653</v>
      </c>
      <c r="R82" s="332" t="s">
        <v>820</v>
      </c>
      <c r="S82" s="340"/>
      <c r="T82" s="340"/>
      <c r="U82" s="341"/>
    </row>
    <row r="83" spans="1:21">
      <c r="L83" t="e">
        <f t="shared" ca="1" si="4"/>
        <v>#NAME?</v>
      </c>
      <c r="O83" s="331">
        <v>408000000</v>
      </c>
      <c r="P83" s="331" t="s">
        <v>652</v>
      </c>
      <c r="Q83" s="331" t="s">
        <v>653</v>
      </c>
      <c r="R83" s="332" t="s">
        <v>821</v>
      </c>
      <c r="S83" s="341"/>
      <c r="T83" s="341"/>
      <c r="U83" s="341">
        <v>-1503147</v>
      </c>
    </row>
    <row r="84" spans="1:21">
      <c r="L84" t="e">
        <f t="shared" ca="1" si="4"/>
        <v>#NAME?</v>
      </c>
      <c r="O84" s="331">
        <v>403000000</v>
      </c>
      <c r="P84" s="331" t="s">
        <v>652</v>
      </c>
      <c r="Q84" s="331" t="s">
        <v>653</v>
      </c>
      <c r="R84" s="332" t="s">
        <v>822</v>
      </c>
      <c r="S84" s="341"/>
      <c r="T84" s="341">
        <v>-2629439</v>
      </c>
      <c r="U84" s="341">
        <v>-2629439</v>
      </c>
    </row>
    <row r="85" spans="1:21" ht="15">
      <c r="A85" s="303" t="e">
        <f>_xll.EVDRE($D$1,A88:B95,A99:G105)</f>
        <v>#VALUE!</v>
      </c>
      <c r="B85" s="304" t="s">
        <v>597</v>
      </c>
      <c r="C85" s="305" t="s">
        <v>598</v>
      </c>
      <c r="D85" s="306" t="s">
        <v>599</v>
      </c>
      <c r="E85" s="305" t="s">
        <v>600</v>
      </c>
      <c r="F85" s="307" t="e">
        <f ca="1">EV_CVW($D$1,E85)</f>
        <v>#NAME?</v>
      </c>
      <c r="L85" t="e">
        <f t="shared" ca="1" si="4"/>
        <v>#NAME?</v>
      </c>
      <c r="O85" s="331">
        <v>499000000</v>
      </c>
      <c r="P85" s="331" t="s">
        <v>652</v>
      </c>
      <c r="Q85" s="331" t="s">
        <v>653</v>
      </c>
      <c r="R85" s="332" t="s">
        <v>41</v>
      </c>
      <c r="S85" s="341"/>
      <c r="T85" s="341">
        <v>-3416679</v>
      </c>
      <c r="U85" s="341">
        <v>-3416679</v>
      </c>
    </row>
    <row r="86" spans="1:21" ht="15">
      <c r="C86" s="305" t="s">
        <v>601</v>
      </c>
      <c r="D86" s="307" t="e">
        <f ca="1">EV_CVW($D$1,C86)</f>
        <v>#NAME?</v>
      </c>
      <c r="L86" t="e">
        <f t="shared" ca="1" si="4"/>
        <v>#NAME?</v>
      </c>
      <c r="O86" s="331">
        <v>400000000</v>
      </c>
      <c r="P86" s="331" t="s">
        <v>652</v>
      </c>
      <c r="Q86" s="331" t="s">
        <v>653</v>
      </c>
      <c r="R86" s="343" t="s">
        <v>823</v>
      </c>
      <c r="S86" s="344">
        <v>-126025352</v>
      </c>
      <c r="T86" s="344">
        <v>-160492405</v>
      </c>
      <c r="U86" s="344">
        <v>-289129997</v>
      </c>
    </row>
    <row r="87" spans="1:21" ht="15">
      <c r="A87" s="313" t="s">
        <v>602</v>
      </c>
      <c r="B87" s="314" t="s">
        <v>603</v>
      </c>
      <c r="C87" s="305" t="s">
        <v>604</v>
      </c>
      <c r="D87" s="307" t="e">
        <f ca="1">EV_CVW($D$1,C87)</f>
        <v>#NAME?</v>
      </c>
      <c r="L87" t="e">
        <f t="shared" ca="1" si="4"/>
        <v>#NAME?</v>
      </c>
      <c r="Q87" t="s">
        <v>645</v>
      </c>
      <c r="R87" s="338" t="s">
        <v>485</v>
      </c>
    </row>
    <row r="88" spans="1:21" ht="15">
      <c r="A88" s="316" t="s">
        <v>605</v>
      </c>
      <c r="B88" s="317" t="str">
        <f>_xll.EVRNG(D86:D95)</f>
        <v>'Ф1'!$D$86:$D$95</v>
      </c>
      <c r="C88" s="305" t="s">
        <v>606</v>
      </c>
      <c r="D88" s="307" t="e">
        <f ca="1">EV_CVW($D$1,C88)</f>
        <v>#NAME?</v>
      </c>
      <c r="E88" s="311" t="e">
        <f ca="1">D88</f>
        <v>#NAME?</v>
      </c>
      <c r="L88" t="e">
        <f t="shared" ca="1" si="4"/>
        <v>#NAME?</v>
      </c>
      <c r="O88" s="331">
        <v>302010000</v>
      </c>
      <c r="P88" s="331" t="s">
        <v>652</v>
      </c>
      <c r="Q88" s="331" t="s">
        <v>653</v>
      </c>
      <c r="R88" s="332" t="s">
        <v>824</v>
      </c>
      <c r="S88" s="341">
        <v>-3316007</v>
      </c>
      <c r="T88" s="341">
        <v>-68578782</v>
      </c>
      <c r="U88" s="341">
        <v>-71894789</v>
      </c>
    </row>
    <row r="89" spans="1:21" ht="26.25">
      <c r="A89" s="316" t="s">
        <v>608</v>
      </c>
      <c r="B89" s="317" t="str">
        <f>_xll.EVRNG(S51:U53,)</f>
        <v>'Ф1'!$S$51:$U$53</v>
      </c>
      <c r="C89" s="305" t="s">
        <v>609</v>
      </c>
      <c r="D89" s="319" t="s">
        <v>610</v>
      </c>
      <c r="L89" t="e">
        <f t="shared" ca="1" si="4"/>
        <v>#NAME?</v>
      </c>
      <c r="O89" s="331">
        <v>302040000</v>
      </c>
      <c r="P89" s="331" t="s">
        <v>652</v>
      </c>
      <c r="Q89" s="331" t="s">
        <v>653</v>
      </c>
      <c r="R89" s="332" t="s">
        <v>825</v>
      </c>
      <c r="S89" s="341"/>
      <c r="T89" s="341"/>
      <c r="U89" s="341"/>
    </row>
    <row r="90" spans="1:21" ht="15">
      <c r="A90" s="316" t="s">
        <v>611</v>
      </c>
      <c r="B90" s="317" t="str">
        <f>_xll.EVRNG(O54:Q57,O61:Q71,O73:Q74,O76:Q86,O88:Q100,O103:Q104)</f>
        <v>'Ф1'!$O$54:$Q$57,'Ф1'!$O$61:$Q$71,'Ф1'!$O$73:$Q$74,'Ф1'!$O$76:$Q$86,'Ф1'!$O$88:$Q$100,'Ф1'!$O$103:$Q$104</v>
      </c>
      <c r="C90" s="305" t="s">
        <v>612</v>
      </c>
      <c r="D90" s="319" t="s">
        <v>613</v>
      </c>
      <c r="L90" t="e">
        <f t="shared" ca="1" si="4"/>
        <v>#NAME?</v>
      </c>
      <c r="O90" s="331">
        <v>302020000</v>
      </c>
      <c r="P90" s="331" t="s">
        <v>652</v>
      </c>
      <c r="Q90" s="331" t="s">
        <v>653</v>
      </c>
      <c r="R90" s="332" t="s">
        <v>826</v>
      </c>
      <c r="S90" s="341"/>
      <c r="T90" s="341"/>
      <c r="U90" s="341"/>
    </row>
    <row r="91" spans="1:21" ht="15">
      <c r="A91" s="316" t="s">
        <v>615</v>
      </c>
      <c r="B91" s="317"/>
      <c r="C91" s="305" t="s">
        <v>616</v>
      </c>
      <c r="D91" s="319" t="s">
        <v>617</v>
      </c>
      <c r="L91" t="e">
        <f t="shared" ca="1" si="4"/>
        <v>#NAME?</v>
      </c>
      <c r="O91" s="331">
        <v>302050000</v>
      </c>
      <c r="P91" s="331" t="s">
        <v>652</v>
      </c>
      <c r="Q91" s="331" t="s">
        <v>653</v>
      </c>
      <c r="R91" s="332" t="s">
        <v>818</v>
      </c>
      <c r="S91" s="341"/>
      <c r="T91" s="341"/>
      <c r="U91" s="341"/>
    </row>
    <row r="92" spans="1:21" ht="15">
      <c r="A92" s="316" t="s">
        <v>622</v>
      </c>
      <c r="B92" s="317"/>
      <c r="C92" s="305" t="s">
        <v>623</v>
      </c>
      <c r="D92" s="319" t="s">
        <v>624</v>
      </c>
      <c r="L92" t="e">
        <f t="shared" ca="1" si="4"/>
        <v>#NAME?</v>
      </c>
      <c r="O92" s="331">
        <v>305000000</v>
      </c>
      <c r="P92" s="331" t="s">
        <v>652</v>
      </c>
      <c r="Q92" s="331" t="s">
        <v>653</v>
      </c>
      <c r="R92" s="332" t="s">
        <v>481</v>
      </c>
      <c r="S92" s="340"/>
      <c r="T92" s="340"/>
      <c r="U92" s="341">
        <v>-71786</v>
      </c>
    </row>
    <row r="93" spans="1:21" ht="26.25">
      <c r="A93" s="316" t="s">
        <v>626</v>
      </c>
      <c r="B93" s="317" t="str">
        <f>_xll.EVRNG($A$204:$F$286)</f>
        <v>'Ф1'!$A$204:$F$286</v>
      </c>
      <c r="C93" s="305" t="s">
        <v>627</v>
      </c>
      <c r="D93" s="319" t="s">
        <v>628</v>
      </c>
      <c r="L93" t="e">
        <f t="shared" ca="1" si="4"/>
        <v>#NAME?</v>
      </c>
      <c r="O93" s="331">
        <v>302030000</v>
      </c>
      <c r="P93" s="331" t="s">
        <v>652</v>
      </c>
      <c r="Q93" s="331" t="s">
        <v>653</v>
      </c>
      <c r="R93" s="332" t="s">
        <v>827</v>
      </c>
      <c r="S93" s="341"/>
      <c r="T93" s="341"/>
      <c r="U93" s="341"/>
    </row>
    <row r="94" spans="1:21" ht="15">
      <c r="A94" s="316" t="s">
        <v>630</v>
      </c>
      <c r="B94" s="317" t="str">
        <f>_xll.EVRNG($A$25:$B$41)</f>
        <v>'Ф1'!$A$25:$B$41</v>
      </c>
      <c r="C94" s="305" t="s">
        <v>631</v>
      </c>
      <c r="D94" s="319" t="s">
        <v>632</v>
      </c>
      <c r="L94" t="e">
        <f t="shared" ca="1" si="4"/>
        <v>#NAME?</v>
      </c>
      <c r="O94" s="331">
        <v>303000000</v>
      </c>
      <c r="P94" s="331" t="s">
        <v>652</v>
      </c>
      <c r="Q94" s="331" t="s">
        <v>653</v>
      </c>
      <c r="R94" s="332" t="s">
        <v>828</v>
      </c>
      <c r="S94" s="341">
        <v>-143917</v>
      </c>
      <c r="T94" s="341">
        <v>-25235274</v>
      </c>
      <c r="U94" s="341">
        <v>-25379191</v>
      </c>
    </row>
    <row r="95" spans="1:21" ht="15">
      <c r="A95" s="316" t="s">
        <v>635</v>
      </c>
      <c r="B95" s="317"/>
      <c r="C95" s="305" t="s">
        <v>636</v>
      </c>
      <c r="D95" s="307" t="e">
        <f ca="1">EV_CVW($D$1,C95)</f>
        <v>#NAME?</v>
      </c>
      <c r="L95" t="e">
        <f t="shared" ca="1" si="4"/>
        <v>#NAME?</v>
      </c>
      <c r="O95" s="331">
        <v>310010000</v>
      </c>
      <c r="P95" s="331" t="s">
        <v>652</v>
      </c>
      <c r="Q95" s="331" t="s">
        <v>653</v>
      </c>
      <c r="R95" s="332" t="s">
        <v>829</v>
      </c>
      <c r="S95" s="340"/>
      <c r="T95" s="340"/>
      <c r="U95" s="341"/>
    </row>
    <row r="96" spans="1:21" ht="15">
      <c r="E96"/>
      <c r="L96" t="e">
        <f t="shared" ca="1" si="4"/>
        <v>#NAME?</v>
      </c>
      <c r="O96" s="331">
        <v>310020000</v>
      </c>
      <c r="P96" s="331" t="s">
        <v>652</v>
      </c>
      <c r="Q96" s="331" t="s">
        <v>653</v>
      </c>
      <c r="R96" s="332" t="s">
        <v>830</v>
      </c>
      <c r="S96" s="340"/>
      <c r="T96" s="340"/>
      <c r="U96" s="341">
        <v>-1027977</v>
      </c>
    </row>
    <row r="97" spans="1:21">
      <c r="A97" s="330" t="e">
        <f ca="1">"(ID=I_19 OR PARENTH1=I_19 OR ID=I_29 OR ID=I_25 OR ID=I_26) AND ENTITY&lt;&gt;"&amp;curIntCo&amp;",TVSEGO|(ID=I_19 OR PARENTH1=I_19 OR ID=I_29 OR ID=I_25 OR ID=I_26) AND ENTITY&lt;&gt;"&amp;curIntCo&amp;",TVSEGO||"</f>
        <v>#NAME?</v>
      </c>
      <c r="E97" s="330" t="s">
        <v>685</v>
      </c>
      <c r="F97" s="330" t="s">
        <v>686</v>
      </c>
      <c r="G97" s="330" t="s">
        <v>687</v>
      </c>
      <c r="O97" s="331">
        <v>308000000</v>
      </c>
      <c r="P97" s="331" t="s">
        <v>652</v>
      </c>
      <c r="Q97" s="331" t="s">
        <v>653</v>
      </c>
      <c r="R97" s="332" t="s">
        <v>831</v>
      </c>
      <c r="S97" s="341"/>
      <c r="T97" s="341"/>
      <c r="U97" s="341">
        <v>-84154</v>
      </c>
    </row>
    <row r="98" spans="1:21" ht="15">
      <c r="A98" s="313" t="s">
        <v>638</v>
      </c>
      <c r="B98" s="335" t="s">
        <v>639</v>
      </c>
      <c r="C98" s="314" t="s">
        <v>640</v>
      </c>
      <c r="D98" s="314" t="s">
        <v>640</v>
      </c>
      <c r="E98" s="314" t="s">
        <v>641</v>
      </c>
      <c r="F98" s="314" t="s">
        <v>641</v>
      </c>
      <c r="G98" s="314" t="s">
        <v>641</v>
      </c>
      <c r="O98" s="331">
        <v>399000000</v>
      </c>
      <c r="P98" s="331" t="s">
        <v>652</v>
      </c>
      <c r="Q98" s="331" t="s">
        <v>653</v>
      </c>
      <c r="R98" s="332" t="s">
        <v>35</v>
      </c>
      <c r="S98" s="341">
        <v>-194246</v>
      </c>
      <c r="T98" s="341">
        <v>-6327462</v>
      </c>
      <c r="U98" s="341">
        <v>-6521708</v>
      </c>
    </row>
    <row r="99" spans="1:21" ht="26.25">
      <c r="A99" s="336" t="s">
        <v>642</v>
      </c>
      <c r="B99" s="337" t="s">
        <v>643</v>
      </c>
      <c r="C99" s="337" t="s">
        <v>643</v>
      </c>
      <c r="D99" s="337" t="s">
        <v>643</v>
      </c>
      <c r="E99" s="337" t="s">
        <v>644</v>
      </c>
      <c r="F99" s="337" t="s">
        <v>644</v>
      </c>
      <c r="G99" s="337" t="s">
        <v>644</v>
      </c>
      <c r="O99" s="331">
        <v>309000000</v>
      </c>
      <c r="P99" s="331" t="s">
        <v>652</v>
      </c>
      <c r="Q99" s="331" t="s">
        <v>653</v>
      </c>
      <c r="R99" s="332" t="s">
        <v>832</v>
      </c>
      <c r="S99" s="341">
        <v>0</v>
      </c>
      <c r="T99" s="341"/>
      <c r="U99" s="341">
        <v>-16545680.985750001</v>
      </c>
    </row>
    <row r="100" spans="1:21" ht="15">
      <c r="A100" s="336" t="s">
        <v>647</v>
      </c>
      <c r="B100" s="330" t="s">
        <v>648</v>
      </c>
      <c r="C100" s="337" t="s">
        <v>616</v>
      </c>
      <c r="D100" s="337" t="s">
        <v>636</v>
      </c>
      <c r="E100" s="337" t="s">
        <v>649</v>
      </c>
      <c r="F100" s="337" t="s">
        <v>612</v>
      </c>
      <c r="G100" s="337" t="s">
        <v>609</v>
      </c>
      <c r="O100" s="331">
        <v>300000000</v>
      </c>
      <c r="P100" s="331" t="s">
        <v>652</v>
      </c>
      <c r="Q100" s="331" t="s">
        <v>653</v>
      </c>
      <c r="R100" s="343" t="s">
        <v>833</v>
      </c>
      <c r="S100" s="344">
        <v>-3654170</v>
      </c>
      <c r="T100" s="344">
        <v>-100141518</v>
      </c>
      <c r="U100" s="344">
        <v>-121525285.98575</v>
      </c>
    </row>
    <row r="101" spans="1:21" ht="15">
      <c r="A101" s="336" t="s">
        <v>651</v>
      </c>
      <c r="B101" s="330" t="str">
        <f>"I_19,I_Internal,I_T"</f>
        <v>I_19,I_Internal,I_T</v>
      </c>
      <c r="C101" s="337" t="s">
        <v>625</v>
      </c>
      <c r="D101" s="330" t="e">
        <f ca="1">EV_CVW($D$1,$C$11)</f>
        <v>#NAME?</v>
      </c>
      <c r="E101" s="330" t="str">
        <f>CONCATENATE(E107,E108,E109,E110,E111,E112)</f>
        <v>199000000,101000000,109000000,100000000|501010000,503000000,504000000,501020000,505010000,505020000,505030000,505040000,505990000,502000000,506000000|599000000,500000000|402010000,402040000,402020000,402050000,405000000,402030000,410000000,408000000,403000000,499000000,400000000|302010000,302040000,302020000,302050000,305000000,302030000,303000000,310010000,310020000,308000000,399000000,309000000,300000000|</v>
      </c>
      <c r="F101" s="330" t="str">
        <f>CONCATENATE(F107,F108,F109,F110,F111,F112)</f>
        <v>M4_TOTAL|M4_TOTAL|M4_TOTAL|M4_TOTAL|M4_TOTAL|</v>
      </c>
      <c r="G101" s="330" t="str">
        <f>CONCATENATE(G107,G108,G109,G110,G111,G112)</f>
        <v>M3_TOTAL|M3_TOTAL|M3_TOTAL|M3_TOTAL|M3_TOTAL|</v>
      </c>
      <c r="Q101" t="s">
        <v>645</v>
      </c>
      <c r="R101" s="349" t="s">
        <v>696</v>
      </c>
      <c r="S101" s="350">
        <f>IF(SUM(S100,S86)=0,"",SUM(S100,S86))</f>
        <v>-129679522</v>
      </c>
      <c r="T101" s="350">
        <f t="shared" ref="T101:U101" si="6">IF(SUM(T100,T86)=0,"",SUM(T100,T86))</f>
        <v>-260633923</v>
      </c>
      <c r="U101" s="350">
        <f t="shared" si="6"/>
        <v>-410655282.98575002</v>
      </c>
    </row>
    <row r="102" spans="1:21" ht="15">
      <c r="A102" s="336" t="s">
        <v>654</v>
      </c>
      <c r="B102" s="337"/>
      <c r="C102" s="337"/>
      <c r="D102" s="337"/>
      <c r="E102" s="337"/>
      <c r="F102" s="337"/>
      <c r="G102" s="337"/>
      <c r="Q102" t="s">
        <v>645</v>
      </c>
      <c r="R102" s="349" t="s">
        <v>697</v>
      </c>
      <c r="S102" s="350">
        <f>IF(SUM(S101,S74)=0,"",SUM(S101,S74))</f>
        <v>-129679522</v>
      </c>
      <c r="T102" s="350">
        <f t="shared" ref="T102:U102" si="7">IF(SUM(T101,T74)=0,"",SUM(T101,T74))</f>
        <v>-260633923</v>
      </c>
      <c r="U102" s="350">
        <f t="shared" si="7"/>
        <v>-908707277.98574996</v>
      </c>
    </row>
    <row r="103" spans="1:21" ht="15">
      <c r="A103" s="336" t="s">
        <v>655</v>
      </c>
      <c r="B103" s="337"/>
      <c r="C103" s="337"/>
      <c r="D103" s="337"/>
      <c r="E103" s="337"/>
      <c r="F103" s="337"/>
      <c r="G103" s="337"/>
      <c r="O103" s="331"/>
      <c r="P103" s="331"/>
      <c r="Q103" s="331"/>
      <c r="R103" s="332"/>
      <c r="S103" s="334"/>
      <c r="T103" s="334"/>
      <c r="U103" s="334"/>
    </row>
    <row r="104" spans="1:21" ht="15">
      <c r="A104" s="336" t="s">
        <v>656</v>
      </c>
      <c r="B104" s="337"/>
      <c r="C104" s="337"/>
      <c r="D104" s="337"/>
      <c r="E104" s="337"/>
      <c r="F104" s="337"/>
      <c r="G104" s="337"/>
      <c r="O104" s="331"/>
      <c r="P104" s="331"/>
      <c r="Q104" s="331"/>
      <c r="R104" s="332"/>
      <c r="S104" s="334"/>
      <c r="T104" s="334"/>
      <c r="U104" s="334"/>
    </row>
    <row r="105" spans="1:21" ht="15">
      <c r="A105" s="336" t="s">
        <v>657</v>
      </c>
      <c r="B105" s="337"/>
      <c r="C105" s="337"/>
      <c r="D105" s="337"/>
      <c r="E105" s="337"/>
      <c r="F105" s="337"/>
      <c r="G105" s="337"/>
    </row>
    <row r="106" spans="1:21">
      <c r="A106" s="311" t="s">
        <v>658</v>
      </c>
    </row>
    <row r="107" spans="1:21" ht="15">
      <c r="A107" s="311" t="e">
        <f ca="1">EV_LCK(EV_APP(),0,EV_CVW(EV_APP(),"TIME"),EV_CVW(EV_APP(),"C_ENTITY"),"ACTUAL",EV_CVW(EV_APP(),"C_DATATS"))</f>
        <v>#NAME?</v>
      </c>
      <c r="E107" s="311" t="s">
        <v>698</v>
      </c>
      <c r="F107" s="311" t="s">
        <v>652</v>
      </c>
      <c r="G107" t="s">
        <v>653</v>
      </c>
      <c r="R107" s="354" t="s">
        <v>699</v>
      </c>
    </row>
    <row r="108" spans="1:21" ht="15">
      <c r="E108" s="311" t="s">
        <v>700</v>
      </c>
      <c r="F108" s="311" t="s">
        <v>662</v>
      </c>
      <c r="G108" t="s">
        <v>663</v>
      </c>
      <c r="R108" s="354" t="s">
        <v>701</v>
      </c>
    </row>
    <row r="109" spans="1:21">
      <c r="E109" s="311" t="s">
        <v>702</v>
      </c>
      <c r="F109" s="345" t="s">
        <v>662</v>
      </c>
      <c r="G109" t="s">
        <v>663</v>
      </c>
    </row>
    <row r="110" spans="1:21">
      <c r="E110" s="311" t="s">
        <v>703</v>
      </c>
      <c r="F110" s="345" t="s">
        <v>662</v>
      </c>
      <c r="G110" s="342" t="s">
        <v>663</v>
      </c>
    </row>
    <row r="111" spans="1:21">
      <c r="E111" s="311" t="s">
        <v>704</v>
      </c>
      <c r="F111" s="345" t="s">
        <v>662</v>
      </c>
      <c r="G111" s="342" t="s">
        <v>663</v>
      </c>
    </row>
    <row r="112" spans="1:21">
      <c r="E112" s="311" t="s">
        <v>705</v>
      </c>
      <c r="F112" s="345" t="s">
        <v>705</v>
      </c>
      <c r="G112" t="s">
        <v>705</v>
      </c>
    </row>
    <row r="113" spans="6:6" s="310" customFormat="1">
      <c r="F113" s="345"/>
    </row>
    <row r="114" spans="6:6" s="310" customFormat="1">
      <c r="F114" s="345"/>
    </row>
    <row r="115" spans="6:6" s="310" customFormat="1">
      <c r="F115" s="345"/>
    </row>
    <row r="116" spans="6:6" s="310" customFormat="1">
      <c r="F116" s="345"/>
    </row>
    <row r="117" spans="6:6" s="310" customFormat="1">
      <c r="F117" s="345"/>
    </row>
    <row r="118" spans="6:6" s="310" customFormat="1">
      <c r="F118" s="345"/>
    </row>
    <row r="168" spans="3:4" s="310" customFormat="1">
      <c r="C168" s="355"/>
      <c r="D168" s="342"/>
    </row>
    <row r="203" spans="1:17" ht="15">
      <c r="A203" s="356" t="s">
        <v>706</v>
      </c>
      <c r="B203" s="357" t="s">
        <v>707</v>
      </c>
      <c r="C203" s="357" t="s">
        <v>708</v>
      </c>
      <c r="D203" s="357" t="s">
        <v>709</v>
      </c>
      <c r="E203" s="357" t="s">
        <v>710</v>
      </c>
      <c r="F203" s="358" t="s">
        <v>711</v>
      </c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</row>
    <row r="204" spans="1:17">
      <c r="A204" s="359"/>
      <c r="B204" s="360"/>
      <c r="C204" s="360"/>
      <c r="D204" s="360"/>
      <c r="E204" s="360"/>
      <c r="F204" s="361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  <c r="Q204" s="310"/>
    </row>
    <row r="205" spans="1:17">
      <c r="A205" s="362" t="s">
        <v>712</v>
      </c>
      <c r="B205" s="342"/>
      <c r="C205" s="363">
        <v>342</v>
      </c>
      <c r="D205" s="342" t="s">
        <v>713</v>
      </c>
      <c r="E205" s="342"/>
      <c r="F205" s="364" t="s">
        <v>714</v>
      </c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  <c r="Q205" s="310"/>
    </row>
    <row r="206" spans="1:17">
      <c r="A206" s="362"/>
      <c r="B206" s="342"/>
      <c r="C206" s="342"/>
      <c r="D206" s="342"/>
      <c r="E206" s="342"/>
      <c r="F206" s="364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</row>
    <row r="207" spans="1:17">
      <c r="A207" s="362" t="s">
        <v>712</v>
      </c>
      <c r="B207" s="342" t="s">
        <v>644</v>
      </c>
      <c r="C207" s="332" t="s">
        <v>715</v>
      </c>
      <c r="D207" s="342"/>
      <c r="E207" s="342"/>
      <c r="F207" s="364" t="s">
        <v>716</v>
      </c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</row>
    <row r="208" spans="1:17">
      <c r="A208" s="362"/>
      <c r="B208" s="342"/>
      <c r="C208" s="365"/>
      <c r="D208" s="342"/>
      <c r="E208" s="342"/>
      <c r="F208" s="364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</row>
    <row r="209" spans="1:17" ht="15">
      <c r="A209" s="362" t="s">
        <v>717</v>
      </c>
      <c r="B209" s="366" t="s">
        <v>644</v>
      </c>
      <c r="C209" s="343" t="s">
        <v>718</v>
      </c>
      <c r="D209" s="365"/>
      <c r="E209" s="365"/>
      <c r="F209" s="367" t="s">
        <v>716</v>
      </c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</row>
    <row r="210" spans="1:17">
      <c r="A210" s="362"/>
      <c r="B210" s="342"/>
      <c r="C210" s="365"/>
      <c r="D210" s="342"/>
      <c r="E210" s="342"/>
      <c r="F210" s="364"/>
      <c r="G210" s="310"/>
      <c r="H210" s="310"/>
      <c r="I210" s="310"/>
      <c r="J210" s="310"/>
      <c r="K210" s="310"/>
      <c r="L210" s="310"/>
      <c r="M210" s="310"/>
      <c r="N210" s="310"/>
      <c r="O210" s="310"/>
      <c r="P210" s="310"/>
      <c r="Q210" s="310"/>
    </row>
    <row r="211" spans="1:17" ht="15">
      <c r="A211" s="362" t="s">
        <v>712</v>
      </c>
      <c r="B211" s="342" t="s">
        <v>643</v>
      </c>
      <c r="C211" s="325">
        <v>12345</v>
      </c>
      <c r="D211" s="342"/>
      <c r="E211" s="342"/>
      <c r="F211" s="364" t="s">
        <v>716</v>
      </c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0"/>
    </row>
    <row r="212" spans="1:17">
      <c r="A212" s="362"/>
      <c r="B212" s="342"/>
      <c r="C212" s="342"/>
      <c r="D212" s="342"/>
      <c r="E212" s="342"/>
      <c r="F212" s="364"/>
      <c r="G212" s="310"/>
      <c r="H212" s="310"/>
      <c r="I212" s="310"/>
      <c r="J212" s="310"/>
      <c r="K212" s="310"/>
      <c r="L212" s="310"/>
      <c r="M212" s="310"/>
      <c r="N212" s="310"/>
      <c r="O212" s="310"/>
      <c r="P212" s="310"/>
      <c r="Q212" s="310"/>
    </row>
    <row r="213" spans="1:17">
      <c r="A213" s="362"/>
      <c r="B213" s="362"/>
      <c r="C213" s="362"/>
      <c r="D213" s="362"/>
      <c r="E213" s="362"/>
      <c r="F213" s="362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</row>
    <row r="214" spans="1:17">
      <c r="A214" s="362" t="s">
        <v>719</v>
      </c>
      <c r="B214" s="342"/>
      <c r="C214" s="368"/>
      <c r="D214" s="342" t="s">
        <v>720</v>
      </c>
      <c r="E214" s="342"/>
      <c r="F214" s="364" t="s">
        <v>721</v>
      </c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</row>
    <row r="216" spans="1:17">
      <c r="A216" s="362" t="s">
        <v>712</v>
      </c>
      <c r="B216" s="342" t="s">
        <v>643</v>
      </c>
      <c r="C216" s="348">
        <v>12345</v>
      </c>
      <c r="D216" s="342"/>
      <c r="E216" s="342"/>
      <c r="F216" s="364" t="s">
        <v>721</v>
      </c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0"/>
    </row>
    <row r="218" spans="1:17">
      <c r="A218" s="362" t="s">
        <v>717</v>
      </c>
      <c r="B218" s="342" t="s">
        <v>643</v>
      </c>
      <c r="C218" s="334">
        <v>12345</v>
      </c>
      <c r="D218" s="342"/>
      <c r="E218" s="342"/>
      <c r="F218" s="364" t="s">
        <v>721</v>
      </c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10"/>
    </row>
    <row r="219" spans="1:17">
      <c r="A219" s="362" t="s">
        <v>722</v>
      </c>
      <c r="B219" s="342" t="s">
        <v>643</v>
      </c>
      <c r="C219" s="369">
        <v>12345</v>
      </c>
      <c r="D219" s="342"/>
      <c r="E219" s="342"/>
      <c r="F219" s="364" t="s">
        <v>721</v>
      </c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</row>
    <row r="220" spans="1:17">
      <c r="A220" s="311" t="s">
        <v>723</v>
      </c>
      <c r="B220" s="366" t="s">
        <v>644</v>
      </c>
      <c r="C220" s="370" t="s">
        <v>718</v>
      </c>
      <c r="D220" s="311" t="s">
        <v>724</v>
      </c>
      <c r="F220" s="311" t="s">
        <v>716</v>
      </c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</row>
    <row r="221" spans="1:17">
      <c r="A221" s="311" t="s">
        <v>725</v>
      </c>
      <c r="B221" s="366" t="s">
        <v>644</v>
      </c>
      <c r="C221" s="371" t="s">
        <v>718</v>
      </c>
      <c r="D221" s="311" t="s">
        <v>724</v>
      </c>
      <c r="F221" s="311" t="s">
        <v>716</v>
      </c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</row>
    <row r="222" spans="1:17">
      <c r="A222" s="311" t="s">
        <v>726</v>
      </c>
      <c r="B222" s="366" t="s">
        <v>644</v>
      </c>
      <c r="C222" s="372" t="s">
        <v>718</v>
      </c>
      <c r="D222" s="311" t="s">
        <v>724</v>
      </c>
      <c r="F222" s="311" t="s">
        <v>716</v>
      </c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</row>
    <row r="223" spans="1:17">
      <c r="A223" s="311" t="s">
        <v>727</v>
      </c>
      <c r="B223" s="366" t="s">
        <v>644</v>
      </c>
      <c r="C223" s="373" t="s">
        <v>718</v>
      </c>
      <c r="D223" s="311" t="s">
        <v>724</v>
      </c>
      <c r="F223" s="311" t="s">
        <v>716</v>
      </c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</row>
    <row r="224" spans="1:17">
      <c r="A224" s="311" t="s">
        <v>728</v>
      </c>
      <c r="B224" s="366" t="s">
        <v>644</v>
      </c>
      <c r="C224" s="374" t="s">
        <v>718</v>
      </c>
      <c r="D224" s="311" t="s">
        <v>724</v>
      </c>
      <c r="F224" s="311" t="s">
        <v>716</v>
      </c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</row>
    <row r="225" spans="1:17">
      <c r="A225" s="311" t="s">
        <v>729</v>
      </c>
      <c r="B225" s="366" t="s">
        <v>644</v>
      </c>
      <c r="C225" s="375" t="s">
        <v>718</v>
      </c>
      <c r="D225" s="311" t="s">
        <v>724</v>
      </c>
      <c r="F225" s="311" t="s">
        <v>716</v>
      </c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</row>
    <row r="226" spans="1:17">
      <c r="A226" s="311" t="s">
        <v>717</v>
      </c>
      <c r="B226" s="366" t="s">
        <v>644</v>
      </c>
      <c r="C226" s="341">
        <v>12345</v>
      </c>
      <c r="D226" s="365"/>
      <c r="E226" s="365"/>
      <c r="F226" s="367" t="s">
        <v>721</v>
      </c>
      <c r="G226" s="310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</row>
    <row r="227" spans="1:17">
      <c r="A227" s="311" t="s">
        <v>730</v>
      </c>
      <c r="B227" s="366" t="s">
        <v>644</v>
      </c>
      <c r="C227" s="344">
        <v>12345</v>
      </c>
      <c r="D227" s="365"/>
      <c r="E227" s="365"/>
      <c r="F227" s="367" t="s">
        <v>721</v>
      </c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</row>
    <row r="228" spans="1:17">
      <c r="A228" s="311" t="s">
        <v>717</v>
      </c>
      <c r="B228" s="366" t="s">
        <v>644</v>
      </c>
      <c r="C228" s="332" t="s">
        <v>718</v>
      </c>
      <c r="D228" s="365"/>
      <c r="E228" s="365"/>
      <c r="F228" s="367" t="s">
        <v>716</v>
      </c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</row>
    <row r="229" spans="1:17" ht="15">
      <c r="A229" s="311" t="s">
        <v>730</v>
      </c>
      <c r="B229" s="366" t="s">
        <v>644</v>
      </c>
      <c r="C229" s="343" t="s">
        <v>718</v>
      </c>
      <c r="D229" s="365"/>
      <c r="E229" s="365"/>
      <c r="F229" s="367" t="s">
        <v>716</v>
      </c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</row>
    <row r="230" spans="1:17">
      <c r="A230" s="311" t="s">
        <v>731</v>
      </c>
      <c r="C230" s="376">
        <v>12345</v>
      </c>
      <c r="D230" s="311" t="s">
        <v>732</v>
      </c>
      <c r="F230" s="311" t="s">
        <v>721</v>
      </c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</row>
    <row r="231" spans="1:17" ht="15">
      <c r="A231" s="311" t="s">
        <v>733</v>
      </c>
      <c r="B231" s="311" t="s">
        <v>644</v>
      </c>
      <c r="C231" s="305" t="s">
        <v>734</v>
      </c>
      <c r="D231" s="311" t="s">
        <v>735</v>
      </c>
      <c r="F231" s="311" t="s">
        <v>716</v>
      </c>
      <c r="G231" s="310"/>
      <c r="H231" s="310"/>
      <c r="I231" s="310"/>
      <c r="J231" s="310"/>
      <c r="K231" s="310"/>
      <c r="L231" s="310"/>
      <c r="M231" s="310"/>
      <c r="N231" s="310"/>
      <c r="O231" s="310"/>
      <c r="P231" s="310"/>
      <c r="Q231" s="310"/>
    </row>
    <row r="233" spans="1:17" ht="15">
      <c r="A233" s="311" t="s">
        <v>736</v>
      </c>
      <c r="B233" s="311" t="s">
        <v>643</v>
      </c>
      <c r="C233" s="340"/>
      <c r="F233" s="311" t="s">
        <v>721</v>
      </c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</row>
    <row r="234" spans="1:17" ht="15">
      <c r="A234" s="311" t="s">
        <v>737</v>
      </c>
      <c r="B234" s="311" t="s">
        <v>643</v>
      </c>
      <c r="C234" s="340"/>
      <c r="F234" s="311" t="s">
        <v>721</v>
      </c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</row>
    <row r="235" spans="1:17" ht="15">
      <c r="A235" s="311" t="s">
        <v>738</v>
      </c>
      <c r="B235" s="311" t="s">
        <v>643</v>
      </c>
      <c r="C235" s="340"/>
      <c r="F235" s="311" t="s">
        <v>721</v>
      </c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</row>
    <row r="236" spans="1:17" ht="15">
      <c r="A236" s="311" t="s">
        <v>739</v>
      </c>
      <c r="B236" s="311" t="s">
        <v>643</v>
      </c>
      <c r="C236" s="340"/>
      <c r="F236" s="311" t="s">
        <v>721</v>
      </c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</row>
    <row r="237" spans="1:17" ht="15">
      <c r="A237" s="311" t="s">
        <v>740</v>
      </c>
      <c r="B237" s="311" t="s">
        <v>643</v>
      </c>
      <c r="C237" s="340"/>
      <c r="F237" s="311" t="s">
        <v>721</v>
      </c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</row>
    <row r="238" spans="1:17" ht="15">
      <c r="A238" s="311" t="s">
        <v>741</v>
      </c>
      <c r="B238" s="311" t="s">
        <v>643</v>
      </c>
      <c r="C238" s="340"/>
      <c r="F238" s="311" t="s">
        <v>721</v>
      </c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</row>
    <row r="239" spans="1:17" ht="15">
      <c r="A239" s="311" t="s">
        <v>742</v>
      </c>
      <c r="B239" s="311" t="s">
        <v>643</v>
      </c>
      <c r="C239" s="340"/>
      <c r="F239" s="311" t="s">
        <v>721</v>
      </c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</row>
    <row r="240" spans="1:17" ht="15">
      <c r="A240" s="311" t="s">
        <v>743</v>
      </c>
      <c r="B240" s="311" t="s">
        <v>643</v>
      </c>
      <c r="C240" s="340"/>
      <c r="F240" s="311" t="s">
        <v>721</v>
      </c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</row>
    <row r="241" spans="1:17" ht="15">
      <c r="A241" s="311" t="s">
        <v>744</v>
      </c>
      <c r="B241" s="311" t="s">
        <v>643</v>
      </c>
      <c r="C241" s="340"/>
      <c r="F241" s="311" t="s">
        <v>721</v>
      </c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</row>
    <row r="242" spans="1:17" ht="15">
      <c r="A242" s="311" t="s">
        <v>745</v>
      </c>
      <c r="B242" s="311" t="s">
        <v>643</v>
      </c>
      <c r="C242" s="340"/>
      <c r="F242" s="311" t="s">
        <v>721</v>
      </c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</row>
    <row r="243" spans="1:17" ht="15">
      <c r="A243" s="311" t="s">
        <v>746</v>
      </c>
      <c r="B243" s="311" t="s">
        <v>643</v>
      </c>
      <c r="C243" s="340"/>
      <c r="F243" s="311" t="s">
        <v>721</v>
      </c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</row>
    <row r="244" spans="1:17" ht="15">
      <c r="A244" s="311" t="s">
        <v>747</v>
      </c>
      <c r="B244" s="311" t="s">
        <v>643</v>
      </c>
      <c r="C244" s="340"/>
      <c r="F244" s="311" t="s">
        <v>721</v>
      </c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</row>
    <row r="245" spans="1:17" ht="15">
      <c r="A245" s="311" t="s">
        <v>748</v>
      </c>
      <c r="B245" s="311" t="s">
        <v>643</v>
      </c>
      <c r="C245" s="340"/>
      <c r="F245" s="311" t="s">
        <v>721</v>
      </c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</row>
    <row r="246" spans="1:17" ht="15">
      <c r="A246" s="311" t="s">
        <v>749</v>
      </c>
      <c r="B246" s="311" t="s">
        <v>643</v>
      </c>
      <c r="C246" s="340"/>
      <c r="F246" s="311" t="s">
        <v>721</v>
      </c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</row>
    <row r="247" spans="1:17" ht="15">
      <c r="A247" s="311" t="s">
        <v>750</v>
      </c>
      <c r="B247" s="311" t="s">
        <v>643</v>
      </c>
      <c r="C247" s="340"/>
      <c r="F247" s="311" t="s">
        <v>721</v>
      </c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</row>
    <row r="248" spans="1:17" ht="15">
      <c r="A248" s="311" t="s">
        <v>751</v>
      </c>
      <c r="B248" s="311" t="s">
        <v>643</v>
      </c>
      <c r="C248" s="340"/>
      <c r="F248" s="311" t="s">
        <v>721</v>
      </c>
      <c r="G248" s="310"/>
      <c r="H248" s="310"/>
      <c r="I248" s="310"/>
      <c r="J248" s="310"/>
      <c r="K248" s="310"/>
      <c r="L248" s="310"/>
      <c r="M248" s="310"/>
      <c r="N248" s="310"/>
      <c r="O248" s="310"/>
      <c r="P248" s="310"/>
      <c r="Q248" s="310"/>
    </row>
    <row r="249" spans="1:17" ht="15">
      <c r="A249" s="311" t="s">
        <v>752</v>
      </c>
      <c r="B249" s="311" t="s">
        <v>643</v>
      </c>
      <c r="C249" s="340"/>
      <c r="F249" s="311" t="s">
        <v>721</v>
      </c>
      <c r="G249" s="310"/>
      <c r="H249" s="310"/>
      <c r="I249" s="310"/>
      <c r="J249" s="310"/>
      <c r="K249" s="310"/>
      <c r="L249" s="310"/>
      <c r="M249" s="310"/>
      <c r="N249" s="310"/>
      <c r="O249" s="310"/>
      <c r="P249" s="310"/>
      <c r="Q249" s="310"/>
    </row>
    <row r="250" spans="1:17" ht="15">
      <c r="A250" s="311" t="s">
        <v>753</v>
      </c>
      <c r="B250" s="311" t="s">
        <v>643</v>
      </c>
      <c r="C250" s="340"/>
      <c r="F250" s="311" t="s">
        <v>721</v>
      </c>
      <c r="G250" s="310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</row>
    <row r="251" spans="1:17" ht="15">
      <c r="A251" s="311" t="s">
        <v>754</v>
      </c>
      <c r="B251" s="311" t="s">
        <v>643</v>
      </c>
      <c r="C251" s="340"/>
      <c r="F251" s="311" t="s">
        <v>721</v>
      </c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</row>
    <row r="252" spans="1:17" ht="15">
      <c r="A252" s="311" t="s">
        <v>755</v>
      </c>
      <c r="B252" s="311" t="s">
        <v>643</v>
      </c>
      <c r="C252" s="340"/>
      <c r="F252" s="311" t="s">
        <v>721</v>
      </c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</row>
    <row r="253" spans="1:17" ht="15">
      <c r="A253" s="311" t="s">
        <v>756</v>
      </c>
      <c r="B253" s="311" t="s">
        <v>643</v>
      </c>
      <c r="C253" s="340"/>
      <c r="F253" s="311" t="s">
        <v>721</v>
      </c>
      <c r="G253" s="310"/>
      <c r="H253" s="310"/>
      <c r="I253" s="310"/>
      <c r="J253" s="310"/>
      <c r="K253" s="310"/>
      <c r="L253" s="310"/>
      <c r="M253" s="310"/>
      <c r="N253" s="310"/>
      <c r="O253" s="310"/>
      <c r="P253" s="310"/>
      <c r="Q253" s="310"/>
    </row>
    <row r="254" spans="1:17" ht="15">
      <c r="A254" s="311" t="s">
        <v>757</v>
      </c>
      <c r="B254" s="311" t="s">
        <v>643</v>
      </c>
      <c r="C254" s="340"/>
      <c r="F254" s="311" t="s">
        <v>721</v>
      </c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</row>
    <row r="255" spans="1:17" ht="15">
      <c r="A255" s="311" t="s">
        <v>758</v>
      </c>
      <c r="B255" s="311" t="s">
        <v>643</v>
      </c>
      <c r="C255" s="340"/>
      <c r="F255" s="311" t="s">
        <v>721</v>
      </c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</row>
    <row r="256" spans="1:17" ht="15">
      <c r="A256" s="311" t="s">
        <v>759</v>
      </c>
      <c r="B256" s="311" t="s">
        <v>643</v>
      </c>
      <c r="C256" s="340"/>
      <c r="F256" s="311" t="s">
        <v>721</v>
      </c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</row>
    <row r="257" spans="1:17" ht="15">
      <c r="A257" s="311" t="s">
        <v>760</v>
      </c>
      <c r="B257" s="311" t="s">
        <v>643</v>
      </c>
      <c r="C257" s="340"/>
      <c r="F257" s="311" t="s">
        <v>721</v>
      </c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</row>
    <row r="258" spans="1:17" ht="15">
      <c r="A258" s="311" t="s">
        <v>761</v>
      </c>
      <c r="B258" s="311" t="s">
        <v>643</v>
      </c>
      <c r="C258" s="340"/>
      <c r="F258" s="311" t="s">
        <v>721</v>
      </c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</row>
    <row r="260" spans="1:17" ht="15">
      <c r="A260" s="311" t="s">
        <v>762</v>
      </c>
      <c r="B260" s="311" t="s">
        <v>643</v>
      </c>
      <c r="C260" s="340"/>
      <c r="F260" s="311" t="s">
        <v>721</v>
      </c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</row>
    <row r="261" spans="1:17" ht="15">
      <c r="A261" s="311" t="s">
        <v>763</v>
      </c>
      <c r="B261" s="311" t="s">
        <v>643</v>
      </c>
      <c r="C261" s="340"/>
      <c r="F261" s="311" t="s">
        <v>721</v>
      </c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</row>
    <row r="262" spans="1:17" ht="15">
      <c r="A262" s="311" t="s">
        <v>764</v>
      </c>
      <c r="B262" s="311" t="s">
        <v>643</v>
      </c>
      <c r="C262" s="340"/>
      <c r="F262" s="311" t="s">
        <v>721</v>
      </c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  <c r="Q262" s="310"/>
    </row>
    <row r="263" spans="1:17" ht="15">
      <c r="A263" s="311" t="s">
        <v>765</v>
      </c>
      <c r="B263" s="311" t="s">
        <v>643</v>
      </c>
      <c r="C263" s="340"/>
      <c r="F263" s="311" t="s">
        <v>721</v>
      </c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</row>
    <row r="264" spans="1:17" ht="15">
      <c r="A264" s="311" t="s">
        <v>766</v>
      </c>
      <c r="B264" s="311" t="s">
        <v>643</v>
      </c>
      <c r="C264" s="340"/>
      <c r="F264" s="311" t="s">
        <v>721</v>
      </c>
      <c r="G264" s="310"/>
      <c r="H264" s="310"/>
      <c r="I264" s="310"/>
      <c r="J264" s="310"/>
      <c r="K264" s="310"/>
      <c r="L264" s="310"/>
      <c r="M264" s="310"/>
      <c r="N264" s="310"/>
      <c r="O264" s="310"/>
      <c r="P264" s="310"/>
      <c r="Q264" s="310"/>
    </row>
    <row r="265" spans="1:17" ht="15">
      <c r="A265" s="311" t="s">
        <v>767</v>
      </c>
      <c r="B265" s="311" t="s">
        <v>643</v>
      </c>
      <c r="C265" s="340"/>
      <c r="F265" s="311" t="s">
        <v>721</v>
      </c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</row>
    <row r="266" spans="1:17" ht="15">
      <c r="A266" s="311" t="s">
        <v>768</v>
      </c>
      <c r="B266" s="311" t="s">
        <v>643</v>
      </c>
      <c r="C266" s="340"/>
      <c r="F266" s="311" t="s">
        <v>721</v>
      </c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</row>
    <row r="267" spans="1:17" ht="15">
      <c r="A267" s="311" t="s">
        <v>769</v>
      </c>
      <c r="B267" s="311" t="s">
        <v>643</v>
      </c>
      <c r="C267" s="340"/>
      <c r="F267" s="311" t="s">
        <v>721</v>
      </c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</row>
    <row r="268" spans="1:17" ht="15">
      <c r="A268" s="311" t="s">
        <v>770</v>
      </c>
      <c r="B268" s="311" t="s">
        <v>643</v>
      </c>
      <c r="C268" s="340"/>
      <c r="F268" s="311" t="s">
        <v>721</v>
      </c>
      <c r="G268" s="310"/>
      <c r="H268" s="310"/>
      <c r="I268" s="310"/>
      <c r="J268" s="310"/>
      <c r="K268" s="310"/>
      <c r="L268" s="310"/>
      <c r="M268" s="310"/>
      <c r="N268" s="310"/>
      <c r="O268" s="310"/>
      <c r="P268" s="310"/>
      <c r="Q268" s="310"/>
    </row>
    <row r="269" spans="1:17" ht="15">
      <c r="A269" s="311" t="s">
        <v>771</v>
      </c>
      <c r="B269" s="311" t="s">
        <v>643</v>
      </c>
      <c r="C269" s="340"/>
      <c r="F269" s="311" t="s">
        <v>721</v>
      </c>
      <c r="G269" s="310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</row>
    <row r="270" spans="1:17" ht="15">
      <c r="A270" s="311" t="s">
        <v>772</v>
      </c>
      <c r="B270" s="311" t="s">
        <v>643</v>
      </c>
      <c r="C270" s="340"/>
      <c r="F270" s="311" t="s">
        <v>721</v>
      </c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</row>
    <row r="271" spans="1:17" ht="15">
      <c r="A271" s="311" t="s">
        <v>773</v>
      </c>
      <c r="B271" s="311" t="s">
        <v>643</v>
      </c>
      <c r="C271" s="340"/>
      <c r="F271" s="311" t="s">
        <v>721</v>
      </c>
      <c r="G271" s="310"/>
      <c r="H271" s="310"/>
      <c r="I271" s="310"/>
      <c r="J271" s="310"/>
      <c r="K271" s="310"/>
      <c r="L271" s="310"/>
      <c r="M271" s="310"/>
      <c r="N271" s="310"/>
      <c r="O271" s="310"/>
      <c r="P271" s="310"/>
      <c r="Q271" s="310"/>
    </row>
    <row r="272" spans="1:17" ht="15">
      <c r="A272" s="311" t="s">
        <v>774</v>
      </c>
      <c r="B272" s="311" t="s">
        <v>643</v>
      </c>
      <c r="C272" s="340"/>
      <c r="F272" s="311" t="s">
        <v>721</v>
      </c>
      <c r="G272" s="310"/>
      <c r="H272" s="310"/>
      <c r="I272" s="310"/>
      <c r="J272" s="310"/>
      <c r="K272" s="310"/>
      <c r="L272" s="310"/>
      <c r="M272" s="310"/>
      <c r="N272" s="310"/>
      <c r="O272" s="310"/>
      <c r="P272" s="310"/>
      <c r="Q272" s="310"/>
    </row>
    <row r="273" spans="1:17" ht="15">
      <c r="A273" s="311" t="s">
        <v>775</v>
      </c>
      <c r="B273" s="311" t="s">
        <v>643</v>
      </c>
      <c r="C273" s="340"/>
      <c r="F273" s="311" t="s">
        <v>721</v>
      </c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</row>
    <row r="274" spans="1:17" ht="15">
      <c r="A274" s="311" t="s">
        <v>776</v>
      </c>
      <c r="B274" s="311" t="s">
        <v>643</v>
      </c>
      <c r="C274" s="340"/>
      <c r="F274" s="311" t="s">
        <v>721</v>
      </c>
      <c r="G274" s="310"/>
      <c r="H274" s="310"/>
      <c r="I274" s="310"/>
      <c r="J274" s="310"/>
      <c r="K274" s="310"/>
      <c r="L274" s="310"/>
      <c r="M274" s="310"/>
      <c r="N274" s="310"/>
      <c r="O274" s="310"/>
      <c r="P274" s="310"/>
      <c r="Q274" s="310"/>
    </row>
    <row r="275" spans="1:17" ht="15">
      <c r="A275" s="311" t="s">
        <v>777</v>
      </c>
      <c r="B275" s="311" t="s">
        <v>643</v>
      </c>
      <c r="C275" s="340"/>
      <c r="F275" s="311" t="s">
        <v>721</v>
      </c>
      <c r="G275" s="310"/>
      <c r="H275" s="310"/>
      <c r="I275" s="310"/>
      <c r="J275" s="310"/>
      <c r="K275" s="310"/>
      <c r="L275" s="310"/>
      <c r="M275" s="310"/>
      <c r="N275" s="310"/>
      <c r="O275" s="310"/>
      <c r="P275" s="310"/>
      <c r="Q275" s="310"/>
    </row>
    <row r="276" spans="1:17" ht="15">
      <c r="A276" s="311" t="s">
        <v>778</v>
      </c>
      <c r="B276" s="311" t="s">
        <v>643</v>
      </c>
      <c r="C276" s="340"/>
      <c r="F276" s="311" t="s">
        <v>721</v>
      </c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</row>
    <row r="277" spans="1:17" ht="15">
      <c r="A277" s="311" t="s">
        <v>779</v>
      </c>
      <c r="B277" s="311" t="s">
        <v>643</v>
      </c>
      <c r="C277" s="340"/>
      <c r="F277" s="311" t="s">
        <v>721</v>
      </c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</row>
    <row r="278" spans="1:17" ht="15">
      <c r="A278" s="311" t="s">
        <v>780</v>
      </c>
      <c r="B278" s="311" t="s">
        <v>643</v>
      </c>
      <c r="C278" s="340"/>
      <c r="F278" s="311" t="s">
        <v>721</v>
      </c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</row>
    <row r="279" spans="1:17" ht="15">
      <c r="A279" s="311" t="s">
        <v>781</v>
      </c>
      <c r="B279" s="311" t="s">
        <v>643</v>
      </c>
      <c r="C279" s="340"/>
      <c r="F279" s="311" t="s">
        <v>721</v>
      </c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</row>
    <row r="280" spans="1:17" ht="15">
      <c r="A280" s="311" t="s">
        <v>782</v>
      </c>
      <c r="B280" s="311" t="s">
        <v>643</v>
      </c>
      <c r="C280" s="340"/>
      <c r="F280" s="311" t="s">
        <v>721</v>
      </c>
      <c r="G280" s="310"/>
      <c r="H280" s="310"/>
      <c r="I280" s="310"/>
      <c r="J280" s="310"/>
      <c r="K280" s="310"/>
      <c r="L280" s="310"/>
      <c r="M280" s="310"/>
      <c r="N280" s="310"/>
      <c r="O280" s="310"/>
      <c r="P280" s="310"/>
      <c r="Q280" s="310"/>
    </row>
    <row r="281" spans="1:17" ht="15">
      <c r="A281" s="311" t="s">
        <v>783</v>
      </c>
      <c r="B281" s="311" t="s">
        <v>643</v>
      </c>
      <c r="C281" s="340"/>
      <c r="F281" s="311" t="s">
        <v>721</v>
      </c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</row>
    <row r="282" spans="1:17" ht="15">
      <c r="A282" s="311" t="s">
        <v>784</v>
      </c>
      <c r="B282" s="311" t="s">
        <v>643</v>
      </c>
      <c r="C282" s="340"/>
      <c r="F282" s="311" t="s">
        <v>721</v>
      </c>
      <c r="G282" s="310"/>
      <c r="H282" s="310"/>
      <c r="I282" s="310"/>
      <c r="J282" s="310"/>
      <c r="K282" s="310"/>
      <c r="L282" s="310"/>
      <c r="M282" s="310"/>
      <c r="N282" s="310"/>
      <c r="O282" s="310"/>
      <c r="P282" s="310"/>
      <c r="Q282" s="310"/>
    </row>
    <row r="283" spans="1:17" ht="15">
      <c r="A283" s="311" t="s">
        <v>785</v>
      </c>
      <c r="B283" s="311" t="s">
        <v>643</v>
      </c>
      <c r="C283" s="340"/>
      <c r="F283" s="311" t="s">
        <v>721</v>
      </c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</row>
    <row r="284" spans="1:17" ht="15">
      <c r="A284" s="311" t="s">
        <v>786</v>
      </c>
      <c r="B284" s="311" t="s">
        <v>643</v>
      </c>
      <c r="C284" s="340"/>
      <c r="F284" s="311" t="s">
        <v>721</v>
      </c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</row>
    <row r="285" spans="1:17" ht="15">
      <c r="A285" s="311" t="s">
        <v>787</v>
      </c>
      <c r="B285" s="311" t="s">
        <v>643</v>
      </c>
      <c r="C285" s="340"/>
      <c r="F285" s="311" t="s">
        <v>721</v>
      </c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0"/>
    </row>
  </sheetData>
  <mergeCells count="1">
    <mergeCell ref="S11:U11"/>
  </mergeCells>
  <dataValidations disablePrompts="1" count="2">
    <dataValidation type="list" allowBlank="1" sqref="B16:G16 B58:G58 B100:G100">
      <formula1>"C_ACCT,C_CATEGORY,C_DATATS,C_ENTITY,C_M003,C_M004,C_M005,FLOW,GROUPS,INTCO,MEASURES,RPTCURRENCY,TIME"</formula1>
    </dataValidation>
    <dataValidation type="list" allowBlank="1" sqref="A13 B17:G17 A55 B59:G59 A97 B101:G101">
      <formula1>"SELF,ALL,BAS,DEP,BASMEMBERS,MEMBERS,NOEXPAND,,"</formula1>
    </dataValidation>
  </dataValidations>
  <pageMargins left="0.7" right="0.7" top="0.75" bottom="0.75" header="0.3" footer="0.3"/>
  <customProperties>
    <customPr name="CofWorksheetType" r:id="rId1"/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ОПиУ</vt:lpstr>
      <vt:lpstr>ББ</vt:lpstr>
      <vt:lpstr>ОИК (2)</vt:lpstr>
      <vt:lpstr>ОИК</vt:lpstr>
      <vt:lpstr>ОДД (косвен.метод)</vt:lpstr>
      <vt:lpstr>МСФО</vt:lpstr>
      <vt:lpstr>ОДД (прямой метод)</vt:lpstr>
      <vt:lpstr>Лист1</vt:lpstr>
      <vt:lpstr>Ф1</vt:lpstr>
      <vt:lpstr>Ф2</vt:lpstr>
      <vt:lpstr>Ф3</vt:lpstr>
      <vt:lpstr>Ф4</vt:lpstr>
      <vt:lpstr>Лист5</vt:lpstr>
      <vt:lpstr>МСФО!_Toc288513769</vt:lpstr>
      <vt:lpstr>Ф1!curIntCo</vt:lpstr>
      <vt:lpstr>Ф2!curIntCo</vt:lpstr>
      <vt:lpstr>Ф3!curIntCo</vt:lpstr>
      <vt:lpstr>Ф4!currentRequest</vt:lpstr>
      <vt:lpstr>Лист5!currentStatus</vt:lpstr>
      <vt:lpstr>Ф1!currentStatus</vt:lpstr>
      <vt:lpstr>Ф2!currentStatus</vt:lpstr>
      <vt:lpstr>Ф3!currentStatus</vt:lpstr>
      <vt:lpstr>Ф4!currentStatus</vt:lpstr>
      <vt:lpstr>Ф4!FormF4_ColRangeTable1</vt:lpstr>
      <vt:lpstr>Лист1!OLE_LINK53</vt:lpstr>
      <vt:lpstr>Ф2!PreviousPeriod</vt:lpstr>
      <vt:lpstr>Ф3!PreviousPeriod</vt:lpstr>
      <vt:lpstr>Ф4!Заголовки_для_печати</vt:lpstr>
      <vt:lpstr>'ОДД (косвен.метод)'!Область_печати</vt:lpstr>
      <vt:lpstr>'ОДД (прямой метод)'!Область_печати</vt:lpstr>
      <vt:lpstr>ОИК!Область_печати</vt:lpstr>
      <vt:lpstr>'ОИК (2)'!Область_печати</vt:lpstr>
      <vt:lpstr>Ф4!Область_печати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Абикова Жанар</cp:lastModifiedBy>
  <cp:lastPrinted>2018-06-08T08:43:51Z</cp:lastPrinted>
  <dcterms:created xsi:type="dcterms:W3CDTF">2011-01-17T09:16:16Z</dcterms:created>
  <dcterms:modified xsi:type="dcterms:W3CDTF">2018-10-29T11:31:10Z</dcterms:modified>
</cp:coreProperties>
</file>