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МФО КапиталИнвест\Отчеты на Касе\2024\3 кв.2024\"/>
    </mc:Choice>
  </mc:AlternateContent>
  <bookViews>
    <workbookView xWindow="0" yWindow="0" windowWidth="19200" windowHeight="6470"/>
  </bookViews>
  <sheets>
    <sheet name="Ф1" sheetId="1" r:id="rId1"/>
    <sheet name="Ф2" sheetId="2" r:id="rId2"/>
    <sheet name="Ф3" sheetId="3" r:id="rId3"/>
    <sheet name="Ф4" sheetId="4" r:id="rId4"/>
    <sheet name="ОСВ 3 кв" sheetId="5" state="hidden" r:id="rId5"/>
    <sheet name="Расшифровки" sheetId="6" state="hidden" r:id="rId6"/>
  </sheets>
  <definedNames>
    <definedName name="_xlnm.Print_Area" localSheetId="3">Ф4!$A$1:$I$96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7" i="6" l="1"/>
  <c r="C122" i="6"/>
  <c r="C127" i="6"/>
  <c r="C128" i="6"/>
  <c r="C129" i="6"/>
  <c r="C130" i="6"/>
  <c r="C131" i="6"/>
  <c r="C132" i="6"/>
  <c r="C123" i="6"/>
  <c r="C124" i="6"/>
  <c r="C125" i="6"/>
  <c r="C126" i="6"/>
  <c r="C117" i="6"/>
  <c r="C118" i="6"/>
  <c r="C119" i="6"/>
  <c r="C120" i="6"/>
  <c r="C121" i="6"/>
  <c r="C116" i="6"/>
  <c r="B95" i="6"/>
  <c r="E13" i="2"/>
  <c r="F11" i="2"/>
  <c r="E11" i="2"/>
  <c r="B48" i="6" l="1"/>
  <c r="B31" i="6"/>
  <c r="B32" i="6"/>
  <c r="B33" i="6"/>
  <c r="B34" i="6"/>
  <c r="B35" i="6"/>
  <c r="B30" i="6"/>
  <c r="C36" i="6"/>
  <c r="C29" i="6" s="1"/>
  <c r="D36" i="6"/>
  <c r="E36" i="6"/>
  <c r="B37" i="6"/>
  <c r="C37" i="6"/>
  <c r="C12" i="6"/>
  <c r="B36" i="6" l="1"/>
  <c r="B29" i="6" s="1"/>
  <c r="B12" i="6"/>
  <c r="C27" i="1" l="1"/>
  <c r="C11" i="1" l="1"/>
  <c r="C24" i="1"/>
  <c r="C23" i="1"/>
  <c r="C22" i="1"/>
  <c r="C19" i="1"/>
  <c r="C12" i="1"/>
  <c r="D21" i="3" l="1"/>
  <c r="D18" i="3"/>
  <c r="K53" i="3"/>
  <c r="K31" i="3"/>
  <c r="D19" i="3" s="1"/>
  <c r="K49" i="3"/>
  <c r="D20" i="3"/>
  <c r="D15" i="3"/>
  <c r="D76" i="3"/>
  <c r="D71" i="3"/>
  <c r="D65" i="3"/>
  <c r="D73" i="3"/>
  <c r="D72" i="3"/>
  <c r="D68" i="3"/>
  <c r="D23" i="3"/>
  <c r="D14" i="3"/>
  <c r="K15" i="3"/>
  <c r="K21" i="3"/>
  <c r="D24" i="3"/>
  <c r="P54" i="3"/>
  <c r="D10" i="3"/>
  <c r="Q12" i="3"/>
  <c r="O33" i="3"/>
  <c r="D12" i="3"/>
  <c r="E24" i="3"/>
  <c r="E19" i="3"/>
  <c r="E18" i="3"/>
  <c r="E14" i="3"/>
  <c r="E10" i="3"/>
  <c r="I26" i="4"/>
  <c r="B26" i="4"/>
  <c r="B46" i="4"/>
  <c r="I33" i="4"/>
  <c r="E14" i="2" l="1"/>
  <c r="E15" i="2"/>
  <c r="C14" i="1"/>
  <c r="E5" i="3" l="1"/>
  <c r="D5" i="3"/>
  <c r="C48" i="6" l="1"/>
  <c r="C49" i="6"/>
  <c r="B129" i="6" l="1"/>
  <c r="B112" i="6"/>
  <c r="C112" i="6"/>
  <c r="B113" i="6"/>
  <c r="C113" i="6"/>
  <c r="B114" i="6"/>
  <c r="C114" i="6"/>
  <c r="B115" i="6"/>
  <c r="C115" i="6"/>
  <c r="B116" i="6"/>
  <c r="B117" i="6"/>
  <c r="B118" i="6"/>
  <c r="B119" i="6"/>
  <c r="B120" i="6"/>
  <c r="B121" i="6"/>
  <c r="B122" i="6"/>
  <c r="B123" i="6"/>
  <c r="B124" i="6"/>
  <c r="B125" i="6"/>
  <c r="B126" i="6"/>
  <c r="B128" i="6"/>
  <c r="B130" i="6"/>
  <c r="B131" i="6"/>
  <c r="B132" i="6"/>
  <c r="B111" i="6"/>
  <c r="C111" i="6"/>
  <c r="C134" i="6"/>
  <c r="B91" i="6"/>
  <c r="C91" i="6"/>
  <c r="B92" i="6"/>
  <c r="C92" i="6"/>
  <c r="B93" i="6"/>
  <c r="C93" i="6"/>
  <c r="B94" i="6"/>
  <c r="C94" i="6"/>
  <c r="C95" i="6"/>
  <c r="B96" i="6"/>
  <c r="C96" i="6"/>
  <c r="B97" i="6"/>
  <c r="C97" i="6"/>
  <c r="B98" i="6"/>
  <c r="C98" i="6"/>
  <c r="B99" i="6"/>
  <c r="C99" i="6"/>
  <c r="B100" i="6"/>
  <c r="C100" i="6"/>
  <c r="B101" i="6"/>
  <c r="C101" i="6"/>
  <c r="B102" i="6"/>
  <c r="C102" i="6"/>
  <c r="B103" i="6"/>
  <c r="C103" i="6"/>
  <c r="B104" i="6"/>
  <c r="C104" i="6"/>
  <c r="B105" i="6"/>
  <c r="C105" i="6"/>
  <c r="B90" i="6"/>
  <c r="C90" i="6"/>
  <c r="C107" i="6"/>
  <c r="B84" i="6"/>
  <c r="C85" i="6"/>
  <c r="C84" i="6"/>
  <c r="C78" i="6"/>
  <c r="B77" i="6"/>
  <c r="C77" i="6"/>
  <c r="C61" i="6"/>
  <c r="C60" i="6"/>
  <c r="B53" i="6"/>
  <c r="C53" i="6"/>
  <c r="C54" i="6"/>
  <c r="B42" i="6"/>
  <c r="C42" i="6"/>
  <c r="C43" i="6"/>
  <c r="B23" i="6"/>
  <c r="C24" i="6"/>
  <c r="C23" i="6"/>
  <c r="G16" i="6"/>
  <c r="G12" i="6"/>
  <c r="G15" i="6" s="1"/>
  <c r="E15" i="6"/>
  <c r="F15" i="6"/>
  <c r="C15" i="6"/>
  <c r="D13" i="6"/>
  <c r="D14" i="6"/>
  <c r="D12" i="6"/>
  <c r="B15" i="6"/>
  <c r="C7" i="6"/>
  <c r="C6" i="6"/>
  <c r="B134" i="6"/>
  <c r="B78" i="6"/>
  <c r="B85" i="6"/>
  <c r="P55" i="3"/>
  <c r="K28" i="3"/>
  <c r="K45" i="3"/>
  <c r="K37" i="3"/>
  <c r="F25" i="3" s="1"/>
  <c r="F10" i="2"/>
  <c r="F12" i="2" l="1"/>
  <c r="F16" i="2" s="1"/>
  <c r="F18" i="2" s="1"/>
  <c r="F20" i="2" s="1"/>
  <c r="F41" i="2" s="1"/>
  <c r="C133" i="6"/>
  <c r="B133" i="6"/>
  <c r="B106" i="6"/>
  <c r="C106" i="6"/>
  <c r="C108" i="6" s="1"/>
  <c r="D15" i="6"/>
  <c r="B107" i="6" l="1"/>
  <c r="D39" i="1"/>
  <c r="B49" i="6"/>
  <c r="B54" i="6"/>
  <c r="B43" i="6"/>
  <c r="D20" i="1"/>
  <c r="D17" i="1" l="1"/>
  <c r="C29" i="1"/>
  <c r="B24" i="6"/>
  <c r="H31" i="5"/>
  <c r="C16" i="1"/>
  <c r="D16" i="6"/>
  <c r="C9" i="1"/>
  <c r="B4" i="6" s="1"/>
  <c r="C10" i="1"/>
  <c r="B5" i="6" s="1"/>
  <c r="C8" i="1"/>
  <c r="B3" i="6" s="1"/>
  <c r="A3" i="3"/>
  <c r="A1" i="4"/>
  <c r="A1" i="3"/>
  <c r="A1" i="2"/>
  <c r="B6" i="6" l="1"/>
  <c r="C7" i="1"/>
  <c r="C32" i="1"/>
  <c r="C35" i="1" l="1"/>
  <c r="B59" i="6"/>
  <c r="B60" i="6" s="1"/>
  <c r="B7" i="6"/>
  <c r="C20" i="1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E10" i="2"/>
  <c r="C36" i="1" l="1"/>
  <c r="C39" i="1" s="1"/>
  <c r="B61" i="6"/>
  <c r="E12" i="2"/>
  <c r="E16" i="2" s="1"/>
  <c r="D34" i="1" l="1"/>
  <c r="D32" i="1" s="1"/>
  <c r="D27" i="1"/>
  <c r="D25" i="1"/>
  <c r="D23" i="1"/>
  <c r="D7" i="1"/>
  <c r="D82" i="3" s="1"/>
  <c r="D29" i="1" l="1"/>
  <c r="C50" i="4"/>
  <c r="D50" i="4"/>
  <c r="E50" i="4"/>
  <c r="B83" i="4"/>
  <c r="E81" i="3"/>
  <c r="E8" i="3"/>
  <c r="E69" i="3"/>
  <c r="E62" i="3"/>
  <c r="E28" i="3"/>
  <c r="E42" i="3"/>
  <c r="D35" i="1"/>
  <c r="J48" i="4" s="1"/>
  <c r="D83" i="3" l="1"/>
  <c r="D81" i="3" s="1"/>
  <c r="D84" i="3"/>
  <c r="F48" i="4"/>
  <c r="B50" i="4"/>
  <c r="E60" i="3"/>
  <c r="D8" i="3"/>
  <c r="E78" i="3"/>
  <c r="D36" i="1"/>
  <c r="E26" i="3" l="1"/>
  <c r="E16" i="3" s="1"/>
  <c r="E25" i="3" s="1"/>
  <c r="I48" i="4"/>
  <c r="F50" i="4"/>
  <c r="I50" i="4" s="1"/>
  <c r="J83" i="4" l="1"/>
  <c r="F12" i="4" l="1"/>
  <c r="B12" i="4"/>
  <c r="D69" i="3" l="1"/>
  <c r="D28" i="3"/>
  <c r="D42" i="3"/>
  <c r="E18" i="2" l="1"/>
  <c r="E20" i="2" s="1"/>
  <c r="E41" i="2" s="1"/>
  <c r="F14" i="4"/>
  <c r="I12" i="4"/>
  <c r="D62" i="3"/>
  <c r="D78" i="3" s="1"/>
  <c r="D60" i="3"/>
  <c r="I10" i="4"/>
  <c r="I14" i="4" l="1"/>
  <c r="F13" i="4"/>
  <c r="F46" i="4" s="1"/>
  <c r="I46" i="4" s="1"/>
  <c r="F52" i="4"/>
  <c r="F51" i="4" s="1"/>
  <c r="I51" i="4" s="1"/>
  <c r="D26" i="3"/>
  <c r="D16" i="3" s="1"/>
  <c r="D25" i="3" s="1"/>
  <c r="F83" i="4" l="1"/>
  <c r="I83" i="4" s="1"/>
  <c r="I52" i="4"/>
  <c r="I13" i="4"/>
</calcChain>
</file>

<file path=xl/comments1.xml><?xml version="1.0" encoding="utf-8"?>
<comments xmlns="http://schemas.openxmlformats.org/spreadsheetml/2006/main">
  <authors>
    <author>User</author>
    <author>Irina</author>
  </authors>
  <commentList>
    <comment ref="D17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 45 со сч. 3212 красное
</t>
        </r>
      </text>
    </comment>
    <comment ref="D27" authorId="1" shapeId="0">
      <text>
        <r>
          <rPr>
            <b/>
            <sz val="9"/>
            <color indexed="81"/>
            <rFont val="Tahoma"/>
            <family val="2"/>
            <charset val="204"/>
          </rPr>
          <t>Irina:</t>
        </r>
        <r>
          <rPr>
            <sz val="9"/>
            <color indexed="81"/>
            <rFont val="Tahoma"/>
            <family val="2"/>
            <charset val="204"/>
          </rPr>
          <t xml:space="preserve">
(3510 сч.) 5830 + (3200 сч.) 19 + 45 внутри красное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A1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счеиа 1110 и 2010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1270.23
из анализа счета 3510 берем 1270.29  1280,09 и 1270.25 и  2100</t>
        </r>
      </text>
    </comment>
    <comment ref="A1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счета: 1110.21    
1281
3393
2010.21
1610
3200</t>
        </r>
      </text>
    </comment>
    <comment ref="A2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3350 по Кт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3380 по Кт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3100-</t>
        </r>
      </text>
    </comment>
    <comment ref="A4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счет 2410 по дт</t>
        </r>
      </text>
    </comment>
    <comment ref="A6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счет 3300</t>
        </r>
      </text>
    </comment>
  </commentList>
</comments>
</file>

<file path=xl/sharedStrings.xml><?xml version="1.0" encoding="utf-8"?>
<sst xmlns="http://schemas.openxmlformats.org/spreadsheetml/2006/main" count="1378" uniqueCount="466">
  <si>
    <t>в тысячах тенге</t>
  </si>
  <si>
    <t>Активы</t>
  </si>
  <si>
    <t>1</t>
  </si>
  <si>
    <t>2</t>
  </si>
  <si>
    <t>3</t>
  </si>
  <si>
    <t>4</t>
  </si>
  <si>
    <t>-</t>
  </si>
  <si>
    <t>Запасы</t>
  </si>
  <si>
    <t>Основные средства</t>
  </si>
  <si>
    <t>Нематериальные активы</t>
  </si>
  <si>
    <t>Отложенные налоговые активы</t>
  </si>
  <si>
    <t>Отложенные налоговые обязательства</t>
  </si>
  <si>
    <t>Уставный (акционерный) капитал</t>
  </si>
  <si>
    <t>Эмиссионный доход</t>
  </si>
  <si>
    <t>Компоненты прочего совокупного дохода</t>
  </si>
  <si>
    <t>Прочий капитал</t>
  </si>
  <si>
    <t>Руководитель</t>
  </si>
  <si>
    <t>Машанло С. Г.</t>
  </si>
  <si>
    <t>(фамилия, имя, отчество (при его наличии))</t>
  </si>
  <si>
    <t>(подпись)</t>
  </si>
  <si>
    <t>Главный бухгалтер</t>
  </si>
  <si>
    <t>Место печати</t>
  </si>
  <si>
    <t>(при наличии)</t>
  </si>
  <si>
    <t>Наименование показателей</t>
  </si>
  <si>
    <t>За отчетный период</t>
  </si>
  <si>
    <t xml:space="preserve">Административные расходы </t>
  </si>
  <si>
    <t xml:space="preserve"> </t>
  </si>
  <si>
    <t>Прочие доходы</t>
  </si>
  <si>
    <t xml:space="preserve">Прибыль (убыток) после налогообложения от прекращенной деятельности </t>
  </si>
  <si>
    <t xml:space="preserve">         собственников материнской организации</t>
  </si>
  <si>
    <t xml:space="preserve">         долю неконтролирующих собственников</t>
  </si>
  <si>
    <t>Прочий совокупный доход, всего (сумма 420 и 440):</t>
  </si>
  <si>
    <t>в том числе:</t>
  </si>
  <si>
    <t>переоценка долговых финансовых инструментов, оцениваемых по справедливой стоимости через прочий совокупный доход</t>
  </si>
  <si>
    <t>доля в прочем совокупном доходе (убытке) ассоциированных организаций и совместной деятельности, учитываемых по методу долевого участия</t>
  </si>
  <si>
    <t xml:space="preserve">эффект изменения в ставке подоходного налога на отсроченный налог 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</si>
  <si>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</si>
  <si>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</si>
  <si>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</si>
  <si>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прочего совокупного дохода</t>
  </si>
  <si>
    <t>корректировка при реклассификации в составе прибыли (убытка)</t>
  </si>
  <si>
    <t>налоговый эффект компонентов прочего совокупного дохода</t>
  </si>
  <si>
    <t>Итого прочий совокупный доход, подлежащий реклассификации в доходы или расходы в последующие периоды (за вычетом налога на прибыль) (сумма строк с 410 по 418)</t>
  </si>
  <si>
    <t>переоценка основных средств и нематериальных активов</t>
  </si>
  <si>
    <t>актуарные прибыли (убытки) по пенсионным обязательствам</t>
  </si>
  <si>
    <t>переоценка долевых финансовых инструментов, оцениваемых по справедливой стоимости через прочий совокупный доход</t>
  </si>
  <si>
    <t>Итого прочий совокупный доход не подлежащий реклассификации в доходы или расходы в последующие периоды (за вычетом налога на прибыль) (сумма строк с 431 по 435)</t>
  </si>
  <si>
    <t>Общий совокупный доход (строка 300 + строка 400)</t>
  </si>
  <si>
    <t>I. Движение денежных средств от операционной деятельности</t>
  </si>
  <si>
    <t xml:space="preserve">            прочая выручка</t>
  </si>
  <si>
    <t xml:space="preserve">            авансы, полученные от покупателей, заказчиков</t>
  </si>
  <si>
    <t xml:space="preserve">            поступления по договорам страхования</t>
  </si>
  <si>
    <t xml:space="preserve">            полученные вознаграждения</t>
  </si>
  <si>
    <t xml:space="preserve">            прочие поступления</t>
  </si>
  <si>
    <t xml:space="preserve">            платежи поставщикам за товары и услуги</t>
  </si>
  <si>
    <t xml:space="preserve">            выплаты по оплате труда</t>
  </si>
  <si>
    <t xml:space="preserve">            выплата вознаграждения</t>
  </si>
  <si>
    <t xml:space="preserve">            выплаты по договорам страхования</t>
  </si>
  <si>
    <t xml:space="preserve">            подоходный налог и другие платежи в бюджет</t>
  </si>
  <si>
    <t xml:space="preserve">            прочие выплаты</t>
  </si>
  <si>
    <t>II. Движение денежных средств от инвестиционной деятельности</t>
  </si>
  <si>
    <t xml:space="preserve">            реализация основных средств</t>
  </si>
  <si>
    <t xml:space="preserve">            реализация нематериальных активов</t>
  </si>
  <si>
    <t xml:space="preserve">            реализация других долгосрочных активов</t>
  </si>
  <si>
    <t xml:space="preserve">            реализация долевых инструментов других организаций (кроме дочерних) и долей участия в совместном предпринимательстве</t>
  </si>
  <si>
    <t xml:space="preserve">            реализация долговых инструментов других организаций</t>
  </si>
  <si>
    <t xml:space="preserve">            возмещение при потере контроля над дочерними организациями</t>
  </si>
  <si>
    <t xml:space="preserve">            изъятие денежных вкладов</t>
  </si>
  <si>
    <t xml:space="preserve">            реализация прочих финансовых активов</t>
  </si>
  <si>
    <t xml:space="preserve">            фьючерсные и форвардные контракты, опционы и свопы</t>
  </si>
  <si>
    <t xml:space="preserve">            полученные дивиденды</t>
  </si>
  <si>
    <t xml:space="preserve">            приобретение основных средств</t>
  </si>
  <si>
    <t xml:space="preserve">            приобретение нематериальных активов</t>
  </si>
  <si>
    <t xml:space="preserve">            приобретение других долгосрочных активов</t>
  </si>
  <si>
    <t xml:space="preserve">            приобретение долевых инструментов других организаций (кроме дочерних) и долей участия в совместном предпринимательстве</t>
  </si>
  <si>
    <t xml:space="preserve">            приобретение долговых инструментов других организаций</t>
  </si>
  <si>
    <t xml:space="preserve">            приобретение контроля над дочерними организациями</t>
  </si>
  <si>
    <t xml:space="preserve">            размещение денежных вкладов</t>
  </si>
  <si>
    <t>ТОО "МФО "Капиталинвест""</t>
  </si>
  <si>
    <t>Выводимые данные:</t>
  </si>
  <si>
    <t>БУ (данные бухгалтерского учета)</t>
  </si>
  <si>
    <t>Счет</t>
  </si>
  <si>
    <t>Кор. Счет</t>
  </si>
  <si>
    <t>Дебет</t>
  </si>
  <si>
    <t>Кредит</t>
  </si>
  <si>
    <t>1000</t>
  </si>
  <si>
    <t>Начальное сальдо</t>
  </si>
  <si>
    <t>1030</t>
  </si>
  <si>
    <t>1050</t>
  </si>
  <si>
    <t>1110 21</t>
  </si>
  <si>
    <t>1270.23</t>
  </si>
  <si>
    <t>1284</t>
  </si>
  <si>
    <t>1430</t>
  </si>
  <si>
    <t>1610</t>
  </si>
  <si>
    <t>2010 21</t>
  </si>
  <si>
    <t>3120</t>
  </si>
  <si>
    <t>3150</t>
  </si>
  <si>
    <t>3211</t>
  </si>
  <si>
    <t>3212</t>
  </si>
  <si>
    <t>3213</t>
  </si>
  <si>
    <t>3220</t>
  </si>
  <si>
    <t>3310</t>
  </si>
  <si>
    <t>3350</t>
  </si>
  <si>
    <t>3380</t>
  </si>
  <si>
    <t>3510</t>
  </si>
  <si>
    <t>Оборот</t>
  </si>
  <si>
    <t>Конечное сальдо</t>
  </si>
  <si>
    <t xml:space="preserve">            приобретение прочих финансовых активов</t>
  </si>
  <si>
    <t xml:space="preserve">            предоставление займов</t>
  </si>
  <si>
    <t xml:space="preserve">            инвестиции в ассоциированные и дочерние организации</t>
  </si>
  <si>
    <t>3. Чистая сумма денежных средств от инвестиционной деятельности (строка 040 – строка 060)</t>
  </si>
  <si>
    <t>III. Движение денежных средств от финансовой деятельности</t>
  </si>
  <si>
    <t xml:space="preserve">            эмиссия акций и других финансовых инструментов</t>
  </si>
  <si>
    <t xml:space="preserve">            получение займов</t>
  </si>
  <si>
    <t xml:space="preserve">            полученные вознаграждения </t>
  </si>
  <si>
    <t xml:space="preserve">            погашение займов</t>
  </si>
  <si>
    <t xml:space="preserve">            выплата дивидендов</t>
  </si>
  <si>
    <t xml:space="preserve">            выплаты собственникам по акциям организации</t>
  </si>
  <si>
    <t xml:space="preserve">            прочие выбытия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</si>
  <si>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</si>
  <si>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</si>
  <si>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</si>
  <si>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</si>
  <si>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Наименование компонентов</t>
  </si>
  <si>
    <t>Капитал, относимый на собственников</t>
  </si>
  <si>
    <t>Доля неконтроли- рующих собственников</t>
  </si>
  <si>
    <t>Итого капитал</t>
  </si>
  <si>
    <t xml:space="preserve">Выкупленные собственные долевые инструменты </t>
  </si>
  <si>
    <t>Нераспределен- ная прибыль</t>
  </si>
  <si>
    <t>5</t>
  </si>
  <si>
    <t>6</t>
  </si>
  <si>
    <t>7</t>
  </si>
  <si>
    <t>8</t>
  </si>
  <si>
    <t>9</t>
  </si>
  <si>
    <t>10</t>
  </si>
  <si>
    <t>Изменение в учетной политике</t>
  </si>
  <si>
    <t>переоценка долговых финансовых инструментов, оцениваемых по справедливой стоимости через прочий совокупный доход (за минусом налогового эффекта)</t>
  </si>
  <si>
    <t>переоценка долевых финансовых инструментов, оцениваемых по справедливой стоимости через прочий совокупный доход (за минусом налогового эффекта)</t>
  </si>
  <si>
    <t>переоценка основных средств и нематериальных активов (за минусом налогового эффекта)</t>
  </si>
  <si>
    <t>эффект изменения в ставке подоходного налога на отсроченный налог</t>
  </si>
  <si>
    <t>хеджирование денежных потоков (за минусом налогового эффекта)</t>
  </si>
  <si>
    <t>курсовая разница по инвестициям в зарубежные 
организации</t>
  </si>
  <si>
    <t>Вознаграждения работников акциями: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</si>
  <si>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</si>
  <si>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</si>
  <si>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</si>
  <si>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</si>
  <si>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Выпуск собственных долевых инструментов (акций)</t>
  </si>
  <si>
    <t>Выпуск долевых инструментов связанный с объединением бизнеса</t>
  </si>
  <si>
    <t>Долевой компонент конвертируемых инструментов (за минусом налогового эффекта)</t>
  </si>
  <si>
    <t>Выплата дивидендов</t>
  </si>
  <si>
    <t>Прочие распределения в пользу собственников</t>
  </si>
  <si>
    <t xml:space="preserve">Прочие операции с собственниками </t>
  </si>
  <si>
    <t>Изменения в доле участия в дочерних организациях, не приводящей к потере контроля</t>
  </si>
  <si>
    <t>Прочие операции</t>
  </si>
  <si>
    <t xml:space="preserve">хеджирование чистых инвестиций в зарубежные операции </t>
  </si>
  <si>
    <t>Вознаграждения работников акциями</t>
  </si>
  <si>
    <t>Общий совокупный доход, всего</t>
  </si>
  <si>
    <t>Прочий совокупный доход, всего</t>
  </si>
  <si>
    <t>Операции с собственниками, всего</t>
  </si>
  <si>
    <t>Операции с собственниками всего</t>
  </si>
  <si>
    <t xml:space="preserve">            погашение представленных займов</t>
  </si>
  <si>
    <t xml:space="preserve">            поступление погашенных займов</t>
  </si>
  <si>
    <t>6. Увеличение +/- уменьшение денежных средств</t>
  </si>
  <si>
    <t>3. Чистая сумма денежных средств от финансовой деятельности</t>
  </si>
  <si>
    <t>2. Выбытие денежных средств, всего</t>
  </si>
  <si>
    <t>1. Поступление денежных средств, всего</t>
  </si>
  <si>
    <t>3. Чистая сумма денежных средств от операционной деятельности</t>
  </si>
  <si>
    <t>Примечание</t>
  </si>
  <si>
    <t>Промежуточный сокращенный Отчет о финансовом положении</t>
  </si>
  <si>
    <t>Промежуточный сокращенный Отчет о прибыли или убытке и прочем совокупном доходе</t>
  </si>
  <si>
    <t>Промежуточный сокращенный Отчет о движении денежных средств</t>
  </si>
  <si>
    <t>Промежуточный сокращенный Отчет об изменениях в собственном капитале</t>
  </si>
  <si>
    <t>Наименование статьи</t>
  </si>
  <si>
    <t>Прим.</t>
  </si>
  <si>
    <t>Денежные средства на текущих банковских счетах</t>
  </si>
  <si>
    <t>Вклады размещенные</t>
  </si>
  <si>
    <t>Кредиты клиентам</t>
  </si>
  <si>
    <t>Дебиторская задолженность по вознаграждениям по размещенным вкладам</t>
  </si>
  <si>
    <t>Текущие налоговые активы</t>
  </si>
  <si>
    <t>Прочие активы</t>
  </si>
  <si>
    <t xml:space="preserve">Итого активов </t>
  </si>
  <si>
    <t>Обязательства</t>
  </si>
  <si>
    <t>Займы</t>
  </si>
  <si>
    <t>Выпущенные долговые ценные бумаги</t>
  </si>
  <si>
    <t>Краткосрочные оценочные обязательства по вознаграждениям работников</t>
  </si>
  <si>
    <t>Обязательства по налогам и другим обязательным платежам в бюджет</t>
  </si>
  <si>
    <t>Прочие обязательства</t>
  </si>
  <si>
    <t xml:space="preserve">Итого обязательств </t>
  </si>
  <si>
    <t>Капитал</t>
  </si>
  <si>
    <t>Нераспределенная прибыль (непокрытый убыток), в том числе:</t>
  </si>
  <si>
    <t>предыдущих лет</t>
  </si>
  <si>
    <t>отчетного периода</t>
  </si>
  <si>
    <t>Всего обязательства и капитал</t>
  </si>
  <si>
    <t>1100</t>
  </si>
  <si>
    <t>1110</t>
  </si>
  <si>
    <t>1200</t>
  </si>
  <si>
    <t>1270</t>
  </si>
  <si>
    <t>1280</t>
  </si>
  <si>
    <t>1400</t>
  </si>
  <si>
    <t>1600</t>
  </si>
  <si>
    <t>2000</t>
  </si>
  <si>
    <t>2010</t>
  </si>
  <si>
    <t>3000</t>
  </si>
  <si>
    <t>3100</t>
  </si>
  <si>
    <t>3200</t>
  </si>
  <si>
    <t>3210</t>
  </si>
  <si>
    <t>3300</t>
  </si>
  <si>
    <t>3500</t>
  </si>
  <si>
    <t>4000</t>
  </si>
  <si>
    <t>4030</t>
  </si>
  <si>
    <t>4100</t>
  </si>
  <si>
    <t>4160</t>
  </si>
  <si>
    <t xml:space="preserve">            представление кредитов клиентам</t>
  </si>
  <si>
    <t xml:space="preserve">            выдача авансов поставщикам</t>
  </si>
  <si>
    <t xml:space="preserve">            проценты полученные по кредитам клиентов и прочие вознаграждения</t>
  </si>
  <si>
    <t xml:space="preserve">            поступления от выпуска долговых ценных бумаг</t>
  </si>
  <si>
    <t>Сальдо на 1 января 2023 года</t>
  </si>
  <si>
    <t>31 декабря 2023                     (аудировано)</t>
  </si>
  <si>
    <t>Эквиваленты денежных средств</t>
  </si>
  <si>
    <t>Сальдо на 1 января 2024 года</t>
  </si>
  <si>
    <t xml:space="preserve">            поступления от погашения кредитов (займов) предоставленых клиентам</t>
  </si>
  <si>
    <t xml:space="preserve">           выкуп облигаций</t>
  </si>
  <si>
    <t xml:space="preserve">Пересчитанное сальдо </t>
  </si>
  <si>
    <t>Процентные доходы, рассчитанные с использованием эффективной ставки</t>
  </si>
  <si>
    <t>Процентные расходы, рассчитанные с использованием эффективной ставки</t>
  </si>
  <si>
    <t>Чистый процентный доход</t>
  </si>
  <si>
    <t>Чистый доход/расход от восстановления /создания резервов на возможные потери по финансовым активам</t>
  </si>
  <si>
    <t>Чистый процентный доход после расходов по кредитным убыткам</t>
  </si>
  <si>
    <t>Расходы по реализации продукции и оказанию услуг</t>
  </si>
  <si>
    <t>Прибыль (убыток) до налогообложения</t>
  </si>
  <si>
    <t>Расходы по корпоративному подоходному налогу</t>
  </si>
  <si>
    <t>Прибыль (убыток) за год</t>
  </si>
  <si>
    <t>Прибыль за год относимая на:</t>
  </si>
  <si>
    <t>Денежные средства и их эквиваленты</t>
  </si>
  <si>
    <t>Прочая краткосрочная дебиторская задолженность</t>
  </si>
  <si>
    <t>Краткосрочная кредиторская задолженность</t>
  </si>
  <si>
    <t xml:space="preserve">            выплата вознаграждения (купона)</t>
  </si>
  <si>
    <t>за период, закончившийся 30 июня 2024 года</t>
  </si>
  <si>
    <t>Счет, Наименование</t>
  </si>
  <si>
    <t>Сальдо на начало периода</t>
  </si>
  <si>
    <t>Обороты за период</t>
  </si>
  <si>
    <t>Сальдо на конец периода</t>
  </si>
  <si>
    <t>1000, Денежные средства</t>
  </si>
  <si>
    <t>1030, Денежные средства на текущих банковских счетах</t>
  </si>
  <si>
    <t>1050, Денежные средства на сберегательных счетах</t>
  </si>
  <si>
    <t>1060, Прочие денежные средства</t>
  </si>
  <si>
    <t>1100, Краткосрочные финансовые инвестиции</t>
  </si>
  <si>
    <t>1110, Краткосрочные предоставленные займы</t>
  </si>
  <si>
    <t>1110 22, Просроченная задолжность клиентов по предоставленным займам</t>
  </si>
  <si>
    <t>1110 21, Краткосрочные займы, предоставленные клиентам</t>
  </si>
  <si>
    <t>1200, Краткосрочная дебиторская задолженность</t>
  </si>
  <si>
    <t>1270, Краткосрочные вознаграждения к получению</t>
  </si>
  <si>
    <t>1270 29, Просроченные доходы в виде вознаграждения</t>
  </si>
  <si>
    <t>1270 25, Начисленные доходы в виде вознаграждения по займам, предоставленным клиентам</t>
  </si>
  <si>
    <t>1270.23, Начисленные доходы в виде вознаграждения по срочным вкладам</t>
  </si>
  <si>
    <t>1280, Прочая краткосрочная дебиторская задолженность</t>
  </si>
  <si>
    <t>1280 09, Начисленная неустойка (штраф, пеня)</t>
  </si>
  <si>
    <t>1282, Задолженность по претензиям</t>
  </si>
  <si>
    <t>1284, Прочая краткосрочная дебиторская задолженность</t>
  </si>
  <si>
    <t>1290, Резерв по сомнительным требованиям</t>
  </si>
  <si>
    <t>1290 21, Резервы (провизии) на покрытие убытков по займам, предоставленным клиентам</t>
  </si>
  <si>
    <t>1300, Запасы</t>
  </si>
  <si>
    <t>1310, Сырье и материалы</t>
  </si>
  <si>
    <t>1400, Текущие налоговые активы</t>
  </si>
  <si>
    <t>1410, Корпоративный подоходный налог</t>
  </si>
  <si>
    <t>1430, Прочие налоги и другие обязательные платежи в бюджет</t>
  </si>
  <si>
    <t>1600, Прочие краткосрочные активы</t>
  </si>
  <si>
    <t>1610, Краткосрочные авансы выданные</t>
  </si>
  <si>
    <t>1620, Краткосрочные расходы будущих периодов</t>
  </si>
  <si>
    <t>1640, 2019 Оценочный резерв под убытки от обесценения краткосрочных активов по договорам</t>
  </si>
  <si>
    <t>2000, Долгосрочные финансовые инвестиции</t>
  </si>
  <si>
    <t>2010, Долгосрочные предоставленные займы</t>
  </si>
  <si>
    <t>2010 21, Долгосрочные займы, предоставленные клиентам</t>
  </si>
  <si>
    <t>2100, Долгосрочная дебиторская задолженность</t>
  </si>
  <si>
    <t>2170, Долгосрочные вознаграждения к получению</t>
  </si>
  <si>
    <t>2170 25, Долгосрочные вознаграждения к получению</t>
  </si>
  <si>
    <t>2400, Основные средства</t>
  </si>
  <si>
    <t>2410, Основные средства</t>
  </si>
  <si>
    <t>2420, Амортизация основных средств</t>
  </si>
  <si>
    <t>2700, Нематериальные активы</t>
  </si>
  <si>
    <t>2730, Прочие нематериальные активы</t>
  </si>
  <si>
    <t>2740, Амортизация прочих нематериальных активов</t>
  </si>
  <si>
    <t>2800, Отложенные налоговые активы</t>
  </si>
  <si>
    <t>2810, Отложенные налоговые активы по корпоративному подоходному налогу</t>
  </si>
  <si>
    <t>3000, Краткосрочные финансовые обязательства</t>
  </si>
  <si>
    <t>3030, Краткосрочная кредиторская задолженность по дивидендам и доходам участников 3040</t>
  </si>
  <si>
    <t>3100, Обязательства по налогам</t>
  </si>
  <si>
    <t>3110, Корпоративный подоходный налог подлежащий уплате</t>
  </si>
  <si>
    <t>3120, Индивидуальный подоходный налог</t>
  </si>
  <si>
    <t>3150, Социальный налог</t>
  </si>
  <si>
    <t>3200, Обязательства по другим обязательным и добровольным платежам</t>
  </si>
  <si>
    <t>3210, Обязательства по социальному страхованию</t>
  </si>
  <si>
    <t>3211, Обязательства по социальным отчислениям</t>
  </si>
  <si>
    <t>3212, Обязательства по взносам на социальное медицинское страхование</t>
  </si>
  <si>
    <t>3213, Обязательства по отчислениям на социальное медицинское страхование</t>
  </si>
  <si>
    <t>3220, Обязательства по пенсионным отчислениям</t>
  </si>
  <si>
    <t>3300, Краткосрочная кредиторская задолженность</t>
  </si>
  <si>
    <t>3310, Краткосрочная задолженность поставщикам и подрядчикам</t>
  </si>
  <si>
    <t>3350, Краткосрочная задолженность по оплате труда</t>
  </si>
  <si>
    <t>3380, Краткосрочные вознаграждения к выплате 3050</t>
  </si>
  <si>
    <t>3390, Прочая краткосрочная кредиторская задолженность</t>
  </si>
  <si>
    <t>3393, Задолженность по ошибочно зачисленным суммам на счетах в банках</t>
  </si>
  <si>
    <t>3397, Прочая краткосрочная кредиторская задолженность</t>
  </si>
  <si>
    <t>3400, Краткосрочные оценочные обязательства</t>
  </si>
  <si>
    <t>3430, Краткосрочные оценочные обязательства по вознаграждениям работникам</t>
  </si>
  <si>
    <t>3500, Прочие краткосрочные обязательства</t>
  </si>
  <si>
    <t>3510, Краткосрочные авансы полученные</t>
  </si>
  <si>
    <t>4000, Долгосрочные финансовые обязательства</t>
  </si>
  <si>
    <t>4010, Долгосрочные финансовые обязательства, оцениваемые по амортизированной стоимости</t>
  </si>
  <si>
    <t>4030, Прочие долгосрочные финансовые обязательства 4060</t>
  </si>
  <si>
    <t>4100, Долгосрочная кредиторская задолженность</t>
  </si>
  <si>
    <t>4160, Долгосрочные вознаграждения к выплате 4050</t>
  </si>
  <si>
    <t>5000, Уставный капитал</t>
  </si>
  <si>
    <t>5030, Вклады и паи</t>
  </si>
  <si>
    <t>5500, Нераспределенная прибыль непокрытый убыток</t>
  </si>
  <si>
    <t>5510, Нераспределенная прибыль непокрытый убыток отчетного года</t>
  </si>
  <si>
    <t>5520, Нераспределенная прибыль непокрытый убыток предыдущих лет</t>
  </si>
  <si>
    <t>5600, Итоговая прибыль итоговый убыток</t>
  </si>
  <si>
    <t>5610, Итоговая прибыль итоговый убыток</t>
  </si>
  <si>
    <t>6100, Доходы от финансирования</t>
  </si>
  <si>
    <t>6110, Доходы по вознаграждениям</t>
  </si>
  <si>
    <t>6110 32, Доходы, связанные с получением вознаграждения по займам</t>
  </si>
  <si>
    <t>6112, Доходы по вознаграждениям от размещенных депозитов</t>
  </si>
  <si>
    <t>6160, Прочие доходы от финансирования</t>
  </si>
  <si>
    <t>6200, Прочие доходы</t>
  </si>
  <si>
    <t>6240, Доходы от восстановления убытка от обесценения по нефинансовым активам</t>
  </si>
  <si>
    <t>6280, Прочие доходы</t>
  </si>
  <si>
    <t>6280 08, Неустойка (штраф, пеня)</t>
  </si>
  <si>
    <t>7100, Расходы по реализации продукции и оказанию услуг</t>
  </si>
  <si>
    <t>7110, Расходы по реализации продукции и оказанию услуг</t>
  </si>
  <si>
    <t>7200, Административные расходы</t>
  </si>
  <si>
    <t>7210, Административные расходы</t>
  </si>
  <si>
    <t>7220, Административные расходы невычитаемые</t>
  </si>
  <si>
    <t>7300, Расходы на финансирование</t>
  </si>
  <si>
    <t>7310, Расходы по вознаграждениям</t>
  </si>
  <si>
    <t>7400, Прочие расходы</t>
  </si>
  <si>
    <t>7440, Расходы по обесценению дебиторской задолженности</t>
  </si>
  <si>
    <t>7440 21, Расходы по формированию резервов (провизий) по предоставленным займам</t>
  </si>
  <si>
    <t>Итого</t>
  </si>
  <si>
    <t>1060</t>
  </si>
  <si>
    <t>1410</t>
  </si>
  <si>
    <t>3030</t>
  </si>
  <si>
    <t>3110</t>
  </si>
  <si>
    <t>3390</t>
  </si>
  <si>
    <t>3393</t>
  </si>
  <si>
    <t>4010</t>
  </si>
  <si>
    <t>6100</t>
  </si>
  <si>
    <t>6160</t>
  </si>
  <si>
    <t>2100</t>
  </si>
  <si>
    <t>2170</t>
  </si>
  <si>
    <t>Аванс</t>
  </si>
  <si>
    <t>Анализ счета 1610  за 1 полугодие 2024 г.</t>
  </si>
  <si>
    <t>3397</t>
  </si>
  <si>
    <t>Поставщики</t>
  </si>
  <si>
    <t>Первоначальная стоимость</t>
  </si>
  <si>
    <t>Амортизация</t>
  </si>
  <si>
    <t>Балансовая стоимость</t>
  </si>
  <si>
    <t>Компьютерное оборудование</t>
  </si>
  <si>
    <t>Офисная мебель и инвентари</t>
  </si>
  <si>
    <t>Прочие</t>
  </si>
  <si>
    <t>31 декабря 2023 года (аудировано)</t>
  </si>
  <si>
    <t xml:space="preserve">31 декабря 2023 года (аудировано) </t>
  </si>
  <si>
    <t>Авансы выданные</t>
  </si>
  <si>
    <t>Расходы будущих периодов</t>
  </si>
  <si>
    <t>Переплата по обязательным социальным платежам</t>
  </si>
  <si>
    <t>Оценочный резерв под убытки от обесценения краткосрочных активов по договорам</t>
  </si>
  <si>
    <t xml:space="preserve">Итого </t>
  </si>
  <si>
    <t>31 декабря 2023 года (не аудировано)</t>
  </si>
  <si>
    <t>Долгосрочные кредиты</t>
  </si>
  <si>
    <t>Долгосрочные займы банка АО "Банк ЦентрКредит"</t>
  </si>
  <si>
    <t>Выпущенные купонные облигации</t>
  </si>
  <si>
    <t>Начисленные купонные вознаграждения</t>
  </si>
  <si>
    <t>Краткосрочная задолженность поставщикам и подрядчикам</t>
  </si>
  <si>
    <t>Прочая кредиторская задолженность</t>
  </si>
  <si>
    <t>Уставный капитал</t>
  </si>
  <si>
    <t>Нераспределенная прибыль</t>
  </si>
  <si>
    <t>Всего капитал</t>
  </si>
  <si>
    <t>Доля %</t>
  </si>
  <si>
    <t>Колесниченко Иван Геннадьевич</t>
  </si>
  <si>
    <t>Машанло Рахим Исхарович</t>
  </si>
  <si>
    <t>Машанло Сергей Геннадьевич</t>
  </si>
  <si>
    <t>Процентные доходы, в том числе:</t>
  </si>
  <si>
    <t>связанные с получением вознаграждения по предоставленным займам</t>
  </si>
  <si>
    <t>связанные с получением вознаграждения по размещенным депозитам</t>
  </si>
  <si>
    <t>прочие доходы связанные с финансированием</t>
  </si>
  <si>
    <t>Доходы от восстановления убытка от обесценения по нефинансовым активам</t>
  </si>
  <si>
    <t>Расходы по признанию резерва под кредитные убытки</t>
  </si>
  <si>
    <t>Чистый расход от создания резерва под ожидаемые кредитные убытки</t>
  </si>
  <si>
    <r>
      <t>1.</t>
    </r>
    <r>
      <rPr>
        <b/>
        <sz val="7"/>
        <color rgb="FF000000"/>
        <rFont val="Times New Roman"/>
        <family val="1"/>
        <charset val="204"/>
      </rPr>
      <t xml:space="preserve">              </t>
    </r>
    <r>
      <rPr>
        <b/>
        <sz val="11"/>
        <color rgb="FF000000"/>
        <rFont val="Times New Roman"/>
        <family val="1"/>
        <charset val="204"/>
      </rPr>
      <t>Расходы по реализации</t>
    </r>
  </si>
  <si>
    <t>Аренда</t>
  </si>
  <si>
    <t>Материальные расходы</t>
  </si>
  <si>
    <t>Расходы по настройке/обслуживанию программного обеспечения</t>
  </si>
  <si>
    <t>Расходы по оплате труда</t>
  </si>
  <si>
    <t>Расходы связи (интернет)</t>
  </si>
  <si>
    <t>Социальные отчисления</t>
  </si>
  <si>
    <t>Социальный налог</t>
  </si>
  <si>
    <t>Страхование залогового имущества</t>
  </si>
  <si>
    <t>Услуги Депозитария</t>
  </si>
  <si>
    <t>Услуги кредитного бюро</t>
  </si>
  <si>
    <r>
      <t>1.</t>
    </r>
    <r>
      <rPr>
        <b/>
        <sz val="7"/>
        <color rgb="FF000000"/>
        <rFont val="Times New Roman"/>
        <family val="1"/>
        <charset val="204"/>
      </rPr>
      <t xml:space="preserve">              </t>
    </r>
    <r>
      <rPr>
        <b/>
        <sz val="11"/>
        <color rgb="FF000000"/>
        <rFont val="Times New Roman"/>
        <family val="1"/>
        <charset val="204"/>
      </rPr>
      <t>Общехозяйственные и административные расходы</t>
    </r>
  </si>
  <si>
    <t>Амортизация ФА</t>
  </si>
  <si>
    <t>Аудит</t>
  </si>
  <si>
    <t>Обучение</t>
  </si>
  <si>
    <t>Обязательные пенсионные взносы работодателя</t>
  </si>
  <si>
    <t>Отчисления ОСМС</t>
  </si>
  <si>
    <t>Поиск вакансий</t>
  </si>
  <si>
    <t>Списание материалов</t>
  </si>
  <si>
    <t>услуги банка</t>
  </si>
  <si>
    <t>членский взнос</t>
  </si>
  <si>
    <t>Штрафы, пени по хоз. договорам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</si>
  <si>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         </t>
    </r>
    <r>
      <rPr>
        <b/>
        <sz val="11"/>
        <color rgb="FF000000"/>
        <rFont val="Times New Roman"/>
        <family val="1"/>
        <charset val="204"/>
      </rPr>
      <t>Выручка</t>
    </r>
  </si>
  <si>
    <r>
      <t>1.</t>
    </r>
    <r>
      <rPr>
        <b/>
        <sz val="7"/>
        <color theme="1"/>
        <rFont val="Times New Roman"/>
        <family val="1"/>
        <charset val="204"/>
      </rPr>
      <t xml:space="preserve">              </t>
    </r>
    <r>
      <rPr>
        <b/>
        <sz val="11"/>
        <color rgb="FF000000"/>
        <rFont val="Times New Roman"/>
        <family val="1"/>
        <charset val="204"/>
      </rPr>
      <t>Чистая сумма созданного резерва под ожидаемые кредитные убытки</t>
    </r>
  </si>
  <si>
    <t>неустойка (штраф, пеня)</t>
  </si>
  <si>
    <t>Охрана и сигнадизация</t>
  </si>
  <si>
    <t>Услуги оценки</t>
  </si>
  <si>
    <t>услуги перевода</t>
  </si>
  <si>
    <t>услуги рекламы</t>
  </si>
  <si>
    <t>Расходы на выпуск ценных бумаг</t>
  </si>
  <si>
    <t>Расходы на содержание ценных бумаг</t>
  </si>
  <si>
    <t>Страхование работников</t>
  </si>
  <si>
    <t>Сборы и пошлины в бюджет</t>
  </si>
  <si>
    <t>Пени по отчислениям и налогам</t>
  </si>
  <si>
    <t>Корпоративный подоходный налог подлежащий уплате</t>
  </si>
  <si>
    <t>Прочие налоги</t>
  </si>
  <si>
    <t>по состоянию на 30 сентября 2024 года</t>
  </si>
  <si>
    <t>30 сентября 2024                    (не аудировано)</t>
  </si>
  <si>
    <t>за девять месяцев, закончившихся 30 сентября 2024 года</t>
  </si>
  <si>
    <t>За девять месяцев, закончившихся 30 сентября 2024 года</t>
  </si>
  <si>
    <t>За девять месяцев, закончившихся 30 сентября 2023 года</t>
  </si>
  <si>
    <t>Оборотно-сальдовая ведомость  за 9 месяцев 2024 г.</t>
  </si>
  <si>
    <t>1281, Задолженность по возвратам ТМЗ поставщикам</t>
  </si>
  <si>
    <t>2180, Прочая долгосрочная дебиторская задолженность</t>
  </si>
  <si>
    <t>2184, Прочая долгосрочная дебиторская задолженность</t>
  </si>
  <si>
    <t>3050, Прочие краткосрочные финансовые обязательства 3080</t>
  </si>
  <si>
    <t>Сальдо на 30 сентября 2023 года</t>
  </si>
  <si>
    <t>Прибыль (убыток) за 9 месяцев 2024</t>
  </si>
  <si>
    <t>Прибыль (убыток) за 9 месяцев 2023</t>
  </si>
  <si>
    <t>Сальдо на 30 сентября 2024 года</t>
  </si>
  <si>
    <t>ТОО "Микрофинансовая организация "Капиталинвест"" 
Промежуточная финансовая отчетность за период с 01.01.2024 г. по 30.09.2024 г.
в тыс. тенге</t>
  </si>
  <si>
    <t>Анализ счета 1000  за 9 месяцев 2024 г.</t>
  </si>
  <si>
    <t>2180</t>
  </si>
  <si>
    <t>2184</t>
  </si>
  <si>
    <t>3050</t>
  </si>
  <si>
    <t>Анализ счета 3510  за 9 месяцев 2024 г.</t>
  </si>
  <si>
    <t>1110 22</t>
  </si>
  <si>
    <t>1270 29</t>
  </si>
  <si>
    <t>1270 25</t>
  </si>
  <si>
    <t>1280 09</t>
  </si>
  <si>
    <t>2170 25</t>
  </si>
  <si>
    <t>30 сентября 2024 года (не аудировано)</t>
  </si>
  <si>
    <t>30 сентября 2024                                      (не аудировано)</t>
  </si>
  <si>
    <t xml:space="preserve">Договор № AQ5/2023/U/S/213534/0012L от 16.09.2024 </t>
  </si>
  <si>
    <t>Договор № AQ5/2023/U/S/229770/0011L от 16.08.2024</t>
  </si>
  <si>
    <t>Договор № AQ5/2023/U/S/229770/0012L от 19.08.2024</t>
  </si>
  <si>
    <t xml:space="preserve">Договор № AQ5/2023/U/S/229770/0015L от 28.08.2024 </t>
  </si>
  <si>
    <t xml:space="preserve">Договор № AQ5/2023/U/S/229770/0016L от 11.09.2024 </t>
  </si>
  <si>
    <t xml:space="preserve">Договор № AQ5/2023/U/S/229770/0018L от 30.09.2024 </t>
  </si>
  <si>
    <t>ОД</t>
  </si>
  <si>
    <t>%%</t>
  </si>
  <si>
    <t>За девять месяцев, закончившихся 30 сентября 2024 года (не аудировано)</t>
  </si>
  <si>
    <t>За девять месяцев, закончившихся 30 сентября 2023 года (не аудировано)</t>
  </si>
  <si>
    <t>Пошлины по суду</t>
  </si>
  <si>
    <t>Пеня по налогам и платежам</t>
  </si>
  <si>
    <t>Сборы и пошлины в бюджет, в суд</t>
  </si>
  <si>
    <t>Сборы и пошлины в бюджет, суд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</si>
</sst>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,"/>
    <numFmt numFmtId="165" formatCode="#,##0.00;[Red]\-#,##0.00"/>
  </numFmts>
  <fonts count="3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7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</font>
    <font>
      <sz val="8"/>
      <color rgb="FFFF0000"/>
      <name val="Arial"/>
      <family val="2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color indexed="2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indexed="1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65">
    <xf numFmtId="0" fontId="0" fillId="0" borderId="0" xfId="0"/>
    <xf numFmtId="0" fontId="1" fillId="0" borderId="1" xfId="1" applyFont="1" applyFill="1" applyBorder="1"/>
    <xf numFmtId="0" fontId="5" fillId="0" borderId="0" xfId="1" applyNumberFormat="1" applyFont="1" applyFill="1" applyAlignment="1">
      <alignment horizontal="center" vertical="top"/>
    </xf>
    <xf numFmtId="0" fontId="1" fillId="0" borderId="1" xfId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vertical="top" wrapText="1"/>
    </xf>
    <xf numFmtId="0" fontId="2" fillId="0" borderId="0" xfId="1" applyNumberFormat="1" applyFont="1" applyFill="1" applyAlignment="1"/>
    <xf numFmtId="0" fontId="3" fillId="0" borderId="0" xfId="1" applyNumberFormat="1" applyFont="1" applyFill="1" applyAlignment="1"/>
    <xf numFmtId="0" fontId="4" fillId="0" borderId="0" xfId="1" applyFont="1" applyFill="1"/>
    <xf numFmtId="0" fontId="4" fillId="0" borderId="1" xfId="1" applyNumberFormat="1" applyFont="1" applyFill="1" applyBorder="1" applyAlignment="1"/>
    <xf numFmtId="0" fontId="4" fillId="0" borderId="1" xfId="1" applyNumberFormat="1" applyFont="1" applyFill="1" applyBorder="1" applyAlignment="1">
      <alignment wrapText="1"/>
    </xf>
    <xf numFmtId="0" fontId="5" fillId="0" borderId="0" xfId="1" applyNumberFormat="1" applyFont="1" applyFill="1" applyAlignment="1">
      <alignment vertical="top"/>
    </xf>
    <xf numFmtId="0" fontId="4" fillId="0" borderId="0" xfId="1" applyNumberFormat="1" applyFont="1" applyFill="1" applyAlignment="1">
      <alignment horizontal="left"/>
    </xf>
    <xf numFmtId="0" fontId="1" fillId="0" borderId="0" xfId="1" applyFont="1" applyFill="1"/>
    <xf numFmtId="0" fontId="8" fillId="0" borderId="0" xfId="0" applyFont="1" applyFill="1"/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right" vertical="center" wrapText="1"/>
    </xf>
    <xf numFmtId="3" fontId="11" fillId="0" borderId="2" xfId="0" applyNumberFormat="1" applyFont="1" applyFill="1" applyBorder="1" applyAlignment="1">
      <alignment horizontal="right" vertical="center" wrapText="1"/>
    </xf>
    <xf numFmtId="3" fontId="10" fillId="0" borderId="2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/>
    <xf numFmtId="3" fontId="9" fillId="0" borderId="2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0" fillId="0" borderId="0" xfId="4" applyFont="1" applyAlignment="1">
      <alignment vertical="top" wrapText="1"/>
    </xf>
    <xf numFmtId="0" fontId="10" fillId="0" borderId="0" xfId="1" applyNumberFormat="1" applyFont="1" applyAlignment="1"/>
    <xf numFmtId="0" fontId="10" fillId="0" borderId="0" xfId="1" applyNumberFormat="1" applyFont="1" applyAlignment="1">
      <alignment horizontal="center"/>
    </xf>
    <xf numFmtId="0" fontId="9" fillId="0" borderId="2" xfId="4" applyNumberFormat="1" applyFont="1" applyBorder="1" applyAlignment="1">
      <alignment horizontal="center" vertical="top" wrapText="1"/>
    </xf>
    <xf numFmtId="0" fontId="10" fillId="0" borderId="2" xfId="4" applyNumberFormat="1" applyFont="1" applyBorder="1" applyAlignment="1">
      <alignment horizontal="center" vertical="top" wrapText="1"/>
    </xf>
    <xf numFmtId="0" fontId="9" fillId="0" borderId="2" xfId="4" applyNumberFormat="1" applyFont="1" applyBorder="1" applyAlignment="1">
      <alignment horizontal="left" vertical="top" wrapText="1"/>
    </xf>
    <xf numFmtId="3" fontId="9" fillId="2" borderId="2" xfId="4" applyNumberFormat="1" applyFont="1" applyFill="1" applyBorder="1" applyAlignment="1">
      <alignment horizontal="right" vertical="top" wrapText="1"/>
    </xf>
    <xf numFmtId="3" fontId="9" fillId="2" borderId="2" xfId="4" applyNumberFormat="1" applyFont="1" applyFill="1" applyBorder="1" applyAlignment="1">
      <alignment vertical="top" wrapText="1"/>
    </xf>
    <xf numFmtId="3" fontId="9" fillId="0" borderId="2" xfId="4" applyNumberFormat="1" applyFont="1" applyBorder="1" applyAlignment="1">
      <alignment horizontal="right" vertical="top" wrapText="1"/>
    </xf>
    <xf numFmtId="0" fontId="10" fillId="0" borderId="2" xfId="4" applyNumberFormat="1" applyFont="1" applyBorder="1" applyAlignment="1">
      <alignment horizontal="left" vertical="top" wrapText="1"/>
    </xf>
    <xf numFmtId="3" fontId="10" fillId="2" borderId="2" xfId="4" applyNumberFormat="1" applyFont="1" applyFill="1" applyBorder="1" applyAlignment="1">
      <alignment horizontal="right" vertical="top" wrapText="1"/>
    </xf>
    <xf numFmtId="3" fontId="10" fillId="2" borderId="2" xfId="4" applyNumberFormat="1" applyFont="1" applyFill="1" applyBorder="1" applyAlignment="1">
      <alignment vertical="top" wrapText="1"/>
    </xf>
    <xf numFmtId="3" fontId="9" fillId="0" borderId="2" xfId="4" applyNumberFormat="1" applyFont="1" applyBorder="1" applyAlignment="1">
      <alignment vertical="top" wrapText="1"/>
    </xf>
    <xf numFmtId="3" fontId="10" fillId="0" borderId="2" xfId="4" applyNumberFormat="1" applyFont="1" applyBorder="1" applyAlignment="1">
      <alignment horizontal="right" vertical="top" wrapText="1"/>
    </xf>
    <xf numFmtId="0" fontId="10" fillId="0" borderId="2" xfId="4" applyNumberFormat="1" applyFont="1" applyBorder="1" applyAlignment="1">
      <alignment horizontal="left" vertical="center" wrapText="1"/>
    </xf>
    <xf numFmtId="3" fontId="10" fillId="2" borderId="2" xfId="4" applyNumberFormat="1" applyFont="1" applyFill="1" applyBorder="1" applyAlignment="1">
      <alignment horizontal="right" vertical="center" wrapText="1"/>
    </xf>
    <xf numFmtId="3" fontId="10" fillId="2" borderId="2" xfId="4" applyNumberFormat="1" applyFont="1" applyFill="1" applyBorder="1" applyAlignment="1">
      <alignment vertical="center" wrapText="1"/>
    </xf>
    <xf numFmtId="3" fontId="9" fillId="0" borderId="2" xfId="4" applyNumberFormat="1" applyFont="1" applyBorder="1" applyAlignment="1">
      <alignment vertical="center" wrapText="1"/>
    </xf>
    <xf numFmtId="0" fontId="10" fillId="0" borderId="0" xfId="4" applyFont="1"/>
    <xf numFmtId="3" fontId="10" fillId="2" borderId="2" xfId="4" applyNumberFormat="1" applyFont="1" applyFill="1" applyBorder="1" applyAlignment="1">
      <alignment horizontal="right" vertical="center"/>
    </xf>
    <xf numFmtId="3" fontId="10" fillId="2" borderId="2" xfId="4" applyNumberFormat="1" applyFont="1" applyFill="1" applyBorder="1" applyAlignment="1">
      <alignment vertical="center"/>
    </xf>
    <xf numFmtId="3" fontId="9" fillId="0" borderId="2" xfId="4" applyNumberFormat="1" applyFont="1" applyBorder="1" applyAlignment="1">
      <alignment vertical="center"/>
    </xf>
    <xf numFmtId="3" fontId="9" fillId="0" borderId="2" xfId="4" applyNumberFormat="1" applyFont="1" applyBorder="1" applyAlignment="1">
      <alignment horizontal="right" vertical="center"/>
    </xf>
    <xf numFmtId="0" fontId="10" fillId="0" borderId="0" xfId="4" applyFont="1" applyBorder="1"/>
    <xf numFmtId="3" fontId="10" fillId="0" borderId="2" xfId="4" applyNumberFormat="1" applyFont="1" applyBorder="1" applyAlignment="1">
      <alignment horizontal="center" vertical="center" wrapText="1"/>
    </xf>
    <xf numFmtId="0" fontId="10" fillId="0" borderId="2" xfId="4" applyNumberFormat="1" applyFont="1" applyBorder="1" applyAlignment="1">
      <alignment horizontal="center" vertical="center"/>
    </xf>
    <xf numFmtId="3" fontId="10" fillId="0" borderId="2" xfId="4" applyNumberFormat="1" applyFont="1" applyBorder="1" applyAlignment="1">
      <alignment horizontal="center" vertical="center"/>
    </xf>
    <xf numFmtId="3" fontId="10" fillId="0" borderId="2" xfId="4" applyNumberFormat="1" applyFont="1" applyBorder="1" applyAlignment="1">
      <alignment horizontal="center"/>
    </xf>
    <xf numFmtId="0" fontId="9" fillId="0" borderId="2" xfId="4" applyNumberFormat="1" applyFont="1" applyBorder="1" applyAlignment="1">
      <alignment horizontal="left" vertical="center" wrapText="1"/>
    </xf>
    <xf numFmtId="3" fontId="9" fillId="0" borderId="2" xfId="4" applyNumberFormat="1" applyFont="1" applyBorder="1" applyAlignment="1">
      <alignment horizontal="right" vertical="center" wrapText="1"/>
    </xf>
    <xf numFmtId="3" fontId="10" fillId="0" borderId="0" xfId="4" applyNumberFormat="1" applyFont="1"/>
    <xf numFmtId="3" fontId="9" fillId="2" borderId="2" xfId="4" applyNumberFormat="1" applyFont="1" applyFill="1" applyBorder="1" applyAlignment="1">
      <alignment vertical="center"/>
    </xf>
    <xf numFmtId="0" fontId="9" fillId="0" borderId="0" xfId="4" applyFont="1"/>
    <xf numFmtId="0" fontId="9" fillId="2" borderId="1" xfId="4" applyNumberFormat="1" applyFont="1" applyFill="1" applyBorder="1" applyAlignment="1"/>
    <xf numFmtId="0" fontId="10" fillId="0" borderId="1" xfId="4" applyFont="1" applyBorder="1"/>
    <xf numFmtId="0" fontId="10" fillId="0" borderId="0" xfId="4" applyNumberFormat="1" applyFont="1" applyAlignment="1">
      <alignment vertical="top"/>
    </xf>
    <xf numFmtId="0" fontId="10" fillId="0" borderId="0" xfId="4" applyNumberFormat="1" applyFont="1" applyAlignment="1">
      <alignment horizontal="center" vertical="top"/>
    </xf>
    <xf numFmtId="0" fontId="9" fillId="0" borderId="0" xfId="4" applyNumberFormat="1" applyFont="1" applyAlignment="1">
      <alignment horizontal="left"/>
    </xf>
    <xf numFmtId="0" fontId="9" fillId="2" borderId="1" xfId="4" applyNumberFormat="1" applyFont="1" applyFill="1" applyBorder="1" applyAlignment="1">
      <alignment wrapText="1"/>
    </xf>
    <xf numFmtId="0" fontId="10" fillId="0" borderId="0" xfId="1" applyFont="1" applyFill="1"/>
    <xf numFmtId="0" fontId="10" fillId="0" borderId="0" xfId="1" applyNumberFormat="1" applyFont="1" applyFill="1" applyAlignment="1">
      <alignment horizontal="right" indent="5"/>
    </xf>
    <xf numFmtId="14" fontId="9" fillId="0" borderId="2" xfId="1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0" fillId="3" borderId="0" xfId="0" applyFill="1" applyAlignment="1"/>
    <xf numFmtId="0" fontId="0" fillId="0" borderId="0" xfId="0" applyAlignment="1">
      <alignment wrapText="1"/>
    </xf>
    <xf numFmtId="0" fontId="14" fillId="0" borderId="0" xfId="0" applyFont="1" applyFill="1"/>
    <xf numFmtId="0" fontId="0" fillId="6" borderId="0" xfId="0" applyFill="1" applyAlignment="1"/>
    <xf numFmtId="0" fontId="0" fillId="7" borderId="0" xfId="0" applyFill="1" applyAlignment="1"/>
    <xf numFmtId="4" fontId="0" fillId="0" borderId="0" xfId="0" applyNumberFormat="1" applyAlignment="1"/>
    <xf numFmtId="4" fontId="0" fillId="6" borderId="0" xfId="0" applyNumberFormat="1" applyFill="1" applyAlignment="1"/>
    <xf numFmtId="3" fontId="10" fillId="8" borderId="2" xfId="0" applyNumberFormat="1" applyFont="1" applyFill="1" applyBorder="1" applyAlignment="1">
      <alignment horizontal="right" vertical="center" wrapText="1"/>
    </xf>
    <xf numFmtId="3" fontId="19" fillId="0" borderId="0" xfId="1" applyNumberFormat="1" applyFont="1" applyFill="1"/>
    <xf numFmtId="0" fontId="19" fillId="0" borderId="0" xfId="1" applyFont="1" applyFill="1"/>
    <xf numFmtId="0" fontId="18" fillId="0" borderId="12" xfId="5" applyNumberFormat="1" applyFont="1" applyBorder="1" applyAlignment="1">
      <alignment vertical="top" wrapText="1"/>
    </xf>
    <xf numFmtId="0" fontId="18" fillId="0" borderId="12" xfId="5" applyNumberFormat="1" applyFont="1" applyBorder="1" applyAlignment="1">
      <alignment horizontal="right" vertical="top" wrapText="1"/>
    </xf>
    <xf numFmtId="4" fontId="18" fillId="0" borderId="12" xfId="5" applyNumberFormat="1" applyFont="1" applyBorder="1" applyAlignment="1">
      <alignment horizontal="right" vertical="top" wrapText="1"/>
    </xf>
    <xf numFmtId="0" fontId="3" fillId="0" borderId="12" xfId="5" applyNumberFormat="1" applyFont="1" applyBorder="1" applyAlignment="1">
      <alignment vertical="top" wrapText="1" indent="2"/>
    </xf>
    <xf numFmtId="0" fontId="3" fillId="0" borderId="12" xfId="5" applyNumberFormat="1" applyFont="1" applyBorder="1" applyAlignment="1">
      <alignment horizontal="right" vertical="top" wrapText="1"/>
    </xf>
    <xf numFmtId="4" fontId="3" fillId="0" borderId="12" xfId="5" applyNumberFormat="1" applyFont="1" applyBorder="1" applyAlignment="1">
      <alignment horizontal="right" vertical="top" wrapText="1"/>
    </xf>
    <xf numFmtId="0" fontId="21" fillId="0" borderId="0" xfId="2" applyFont="1" applyAlignment="1">
      <alignment vertical="top"/>
    </xf>
    <xf numFmtId="0" fontId="22" fillId="0" borderId="0" xfId="0" applyFont="1" applyAlignment="1">
      <alignment vertical="top"/>
    </xf>
    <xf numFmtId="0" fontId="22" fillId="0" borderId="0" xfId="0" applyFont="1" applyAlignment="1">
      <alignment horizontal="left" vertical="top" wrapText="1"/>
    </xf>
    <xf numFmtId="0" fontId="21" fillId="0" borderId="0" xfId="2" applyFont="1" applyAlignment="1">
      <alignment horizontal="left" vertical="top" wrapText="1"/>
    </xf>
    <xf numFmtId="0" fontId="21" fillId="0" borderId="0" xfId="2" applyNumberFormat="1" applyFont="1" applyAlignment="1">
      <alignment horizontal="left" vertical="top" wrapText="1"/>
    </xf>
    <xf numFmtId="0" fontId="23" fillId="0" borderId="2" xfId="2" applyNumberFormat="1" applyFont="1" applyBorder="1" applyAlignment="1">
      <alignment horizontal="centerContinuous" vertical="top" wrapText="1"/>
    </xf>
    <xf numFmtId="0" fontId="23" fillId="0" borderId="2" xfId="2" applyNumberFormat="1" applyFont="1" applyBorder="1" applyAlignment="1">
      <alignment horizontal="center" vertical="top" wrapText="1"/>
    </xf>
    <xf numFmtId="0" fontId="21" fillId="0" borderId="2" xfId="2" applyNumberFormat="1" applyFont="1" applyBorder="1" applyAlignment="1">
      <alignment horizontal="center" vertical="top" wrapText="1"/>
    </xf>
    <xf numFmtId="3" fontId="21" fillId="2" borderId="2" xfId="2" applyNumberFormat="1" applyFont="1" applyFill="1" applyBorder="1" applyAlignment="1">
      <alignment horizontal="left" vertical="top" wrapText="1"/>
    </xf>
    <xf numFmtId="0" fontId="22" fillId="0" borderId="2" xfId="0" applyFont="1" applyBorder="1" applyAlignment="1">
      <alignment vertical="top"/>
    </xf>
    <xf numFmtId="3" fontId="20" fillId="0" borderId="2" xfId="0" applyNumberFormat="1" applyFont="1" applyBorder="1" applyAlignment="1">
      <alignment horizontal="left" vertical="top"/>
    </xf>
    <xf numFmtId="3" fontId="21" fillId="0" borderId="2" xfId="2" applyNumberFormat="1" applyFont="1" applyFill="1" applyBorder="1" applyAlignment="1">
      <alignment horizontal="left" vertical="top" wrapText="1"/>
    </xf>
    <xf numFmtId="3" fontId="23" fillId="0" borderId="2" xfId="2" applyNumberFormat="1" applyFont="1" applyBorder="1" applyAlignment="1">
      <alignment horizontal="left" vertical="top" wrapText="1"/>
    </xf>
    <xf numFmtId="3" fontId="21" fillId="0" borderId="2" xfId="2" applyNumberFormat="1" applyFont="1" applyBorder="1" applyAlignment="1">
      <alignment horizontal="left" vertical="top" wrapText="1"/>
    </xf>
    <xf numFmtId="0" fontId="23" fillId="0" borderId="0" xfId="2" applyNumberFormat="1" applyFont="1" applyBorder="1" applyAlignment="1">
      <alignment horizontal="left" vertical="top" wrapText="1"/>
    </xf>
    <xf numFmtId="0" fontId="23" fillId="0" borderId="0" xfId="2" applyNumberFormat="1" applyFont="1" applyBorder="1" applyAlignment="1">
      <alignment horizontal="center" vertical="top" wrapText="1"/>
    </xf>
    <xf numFmtId="164" fontId="23" fillId="0" borderId="0" xfId="2" applyNumberFormat="1" applyFont="1" applyBorder="1" applyAlignment="1">
      <alignment horizontal="left" vertical="top" wrapText="1"/>
    </xf>
    <xf numFmtId="0" fontId="23" fillId="0" borderId="0" xfId="3" applyFont="1"/>
    <xf numFmtId="0" fontId="21" fillId="0" borderId="0" xfId="3" applyFont="1"/>
    <xf numFmtId="0" fontId="23" fillId="2" borderId="0" xfId="3" applyNumberFormat="1" applyFont="1" applyFill="1" applyBorder="1" applyAlignment="1">
      <alignment wrapText="1"/>
    </xf>
    <xf numFmtId="0" fontId="21" fillId="0" borderId="1" xfId="3" applyFont="1" applyBorder="1"/>
    <xf numFmtId="0" fontId="21" fillId="0" borderId="0" xfId="3" applyNumberFormat="1" applyFont="1" applyBorder="1" applyAlignment="1">
      <alignment vertical="top"/>
    </xf>
    <xf numFmtId="0" fontId="21" fillId="0" borderId="0" xfId="3" applyNumberFormat="1" applyFont="1" applyAlignment="1">
      <alignment horizontal="center" vertical="top"/>
    </xf>
    <xf numFmtId="0" fontId="21" fillId="0" borderId="0" xfId="3" applyFont="1" applyBorder="1"/>
    <xf numFmtId="0" fontId="23" fillId="0" borderId="0" xfId="3" applyNumberFormat="1" applyFont="1" applyAlignment="1">
      <alignment horizontal="left"/>
    </xf>
    <xf numFmtId="0" fontId="21" fillId="0" borderId="0" xfId="3" applyNumberFormat="1" applyFont="1" applyBorder="1" applyAlignment="1">
      <alignment horizontal="center" vertical="top"/>
    </xf>
    <xf numFmtId="0" fontId="23" fillId="0" borderId="8" xfId="2" applyNumberFormat="1" applyFont="1" applyBorder="1" applyAlignment="1">
      <alignment horizontal="center" vertical="top" wrapText="1"/>
    </xf>
    <xf numFmtId="0" fontId="23" fillId="2" borderId="0" xfId="3" applyNumberFormat="1" applyFont="1" applyFill="1" applyBorder="1" applyAlignment="1">
      <alignment vertical="top" wrapText="1"/>
    </xf>
    <xf numFmtId="0" fontId="21" fillId="0" borderId="0" xfId="3" applyFont="1" applyAlignment="1">
      <alignment vertical="top"/>
    </xf>
    <xf numFmtId="0" fontId="23" fillId="0" borderId="0" xfId="3" applyNumberFormat="1" applyFont="1" applyAlignment="1">
      <alignment vertical="top"/>
    </xf>
    <xf numFmtId="0" fontId="21" fillId="0" borderId="0" xfId="3" applyFont="1" applyAlignment="1">
      <alignment vertical="top" wrapText="1"/>
    </xf>
    <xf numFmtId="0" fontId="21" fillId="0" borderId="0" xfId="3" applyFont="1" applyFill="1" applyAlignment="1">
      <alignment vertical="top"/>
    </xf>
    <xf numFmtId="0" fontId="21" fillId="0" borderId="0" xfId="3" applyNumberFormat="1" applyFont="1" applyFill="1" applyAlignment="1">
      <alignment horizontal="left" vertical="top"/>
    </xf>
    <xf numFmtId="0" fontId="21" fillId="0" borderId="2" xfId="3" applyNumberFormat="1" applyFont="1" applyFill="1" applyBorder="1" applyAlignment="1">
      <alignment horizontal="center" vertical="top"/>
    </xf>
    <xf numFmtId="3" fontId="23" fillId="0" borderId="2" xfId="3" applyNumberFormat="1" applyFont="1" applyFill="1" applyBorder="1" applyAlignment="1">
      <alignment horizontal="right" vertical="top"/>
    </xf>
    <xf numFmtId="0" fontId="23" fillId="0" borderId="0" xfId="3" applyFont="1" applyAlignment="1">
      <alignment vertical="top"/>
    </xf>
    <xf numFmtId="0" fontId="20" fillId="0" borderId="0" xfId="0" applyFont="1" applyAlignment="1">
      <alignment vertical="top"/>
    </xf>
    <xf numFmtId="3" fontId="21" fillId="0" borderId="2" xfId="3" applyNumberFormat="1" applyFont="1" applyFill="1" applyBorder="1" applyAlignment="1">
      <alignment horizontal="right" vertical="top"/>
    </xf>
    <xf numFmtId="4" fontId="22" fillId="0" borderId="0" xfId="0" applyNumberFormat="1" applyFont="1" applyAlignment="1">
      <alignment vertical="top"/>
    </xf>
    <xf numFmtId="164" fontId="21" fillId="0" borderId="0" xfId="3" applyNumberFormat="1" applyFont="1" applyAlignment="1">
      <alignment vertical="top"/>
    </xf>
    <xf numFmtId="4" fontId="22" fillId="5" borderId="0" xfId="0" applyNumberFormat="1" applyFont="1" applyFill="1" applyAlignment="1">
      <alignment vertical="top"/>
    </xf>
    <xf numFmtId="3" fontId="23" fillId="0" borderId="5" xfId="3" applyNumberFormat="1" applyFont="1" applyFill="1" applyBorder="1" applyAlignment="1">
      <alignment horizontal="right" vertical="top"/>
    </xf>
    <xf numFmtId="4" fontId="20" fillId="0" borderId="0" xfId="0" applyNumberFormat="1" applyFont="1" applyAlignment="1">
      <alignment vertical="top"/>
    </xf>
    <xf numFmtId="3" fontId="21" fillId="0" borderId="5" xfId="3" applyNumberFormat="1" applyFont="1" applyFill="1" applyBorder="1" applyAlignment="1">
      <alignment horizontal="right" vertical="top"/>
    </xf>
    <xf numFmtId="4" fontId="22" fillId="4" borderId="0" xfId="0" applyNumberFormat="1" applyFont="1" applyFill="1" applyAlignment="1">
      <alignment vertical="top"/>
    </xf>
    <xf numFmtId="3" fontId="22" fillId="0" borderId="0" xfId="0" applyNumberFormat="1" applyFont="1" applyAlignment="1">
      <alignment vertical="top"/>
    </xf>
    <xf numFmtId="3" fontId="21" fillId="0" borderId="6" xfId="3" applyNumberFormat="1" applyFont="1" applyFill="1" applyBorder="1" applyAlignment="1">
      <alignment horizontal="right" vertical="top"/>
    </xf>
    <xf numFmtId="3" fontId="22" fillId="0" borderId="5" xfId="0" applyNumberFormat="1" applyFont="1" applyFill="1" applyBorder="1" applyAlignment="1">
      <alignment vertical="top"/>
    </xf>
    <xf numFmtId="3" fontId="21" fillId="0" borderId="0" xfId="3" applyNumberFormat="1" applyFont="1" applyFill="1" applyAlignment="1">
      <alignment vertical="top"/>
    </xf>
    <xf numFmtId="3" fontId="21" fillId="0" borderId="2" xfId="3" applyNumberFormat="1" applyFont="1" applyFill="1" applyBorder="1" applyAlignment="1">
      <alignment horizontal="center" vertical="top" wrapText="1"/>
    </xf>
    <xf numFmtId="3" fontId="21" fillId="0" borderId="2" xfId="3" applyNumberFormat="1" applyFont="1" applyFill="1" applyBorder="1" applyAlignment="1">
      <alignment horizontal="center" vertical="top"/>
    </xf>
    <xf numFmtId="3" fontId="21" fillId="0" borderId="3" xfId="3" applyNumberFormat="1" applyFont="1" applyFill="1" applyBorder="1" applyAlignment="1">
      <alignment horizontal="right" vertical="top"/>
    </xf>
    <xf numFmtId="0" fontId="21" fillId="0" borderId="1" xfId="3" applyFont="1" applyBorder="1" applyAlignment="1">
      <alignment vertical="top"/>
    </xf>
    <xf numFmtId="0" fontId="23" fillId="0" borderId="0" xfId="3" applyNumberFormat="1" applyFont="1" applyAlignment="1">
      <alignment horizontal="left" vertical="top"/>
    </xf>
    <xf numFmtId="0" fontId="22" fillId="0" borderId="0" xfId="0" applyFont="1" applyAlignment="1">
      <alignment vertical="top" wrapText="1"/>
    </xf>
    <xf numFmtId="0" fontId="22" fillId="0" borderId="0" xfId="0" applyFont="1" applyFill="1" applyAlignment="1">
      <alignment vertical="top"/>
    </xf>
    <xf numFmtId="0" fontId="15" fillId="0" borderId="0" xfId="3" applyNumberFormat="1" applyFont="1" applyAlignment="1">
      <alignment wrapText="1"/>
    </xf>
    <xf numFmtId="0" fontId="1" fillId="0" borderId="0" xfId="3"/>
    <xf numFmtId="0" fontId="25" fillId="2" borderId="11" xfId="3" applyNumberFormat="1" applyFont="1" applyFill="1" applyBorder="1" applyAlignment="1">
      <alignment vertical="top" wrapText="1"/>
    </xf>
    <xf numFmtId="0" fontId="25" fillId="2" borderId="12" xfId="3" applyNumberFormat="1" applyFont="1" applyFill="1" applyBorder="1" applyAlignment="1">
      <alignment vertical="top"/>
    </xf>
    <xf numFmtId="0" fontId="25" fillId="2" borderId="12" xfId="3" applyNumberFormat="1" applyFont="1" applyFill="1" applyBorder="1" applyAlignment="1">
      <alignment vertical="top" wrapText="1"/>
    </xf>
    <xf numFmtId="4" fontId="25" fillId="2" borderId="12" xfId="3" applyNumberFormat="1" applyFont="1" applyFill="1" applyBorder="1" applyAlignment="1">
      <alignment horizontal="right" vertical="top" wrapText="1"/>
    </xf>
    <xf numFmtId="0" fontId="25" fillId="2" borderId="12" xfId="3" applyNumberFormat="1" applyFont="1" applyFill="1" applyBorder="1" applyAlignment="1">
      <alignment horizontal="right" vertical="top" wrapText="1"/>
    </xf>
    <xf numFmtId="0" fontId="3" fillId="0" borderId="12" xfId="3" applyNumberFormat="1" applyFont="1" applyBorder="1" applyAlignment="1">
      <alignment vertical="top" indent="2"/>
    </xf>
    <xf numFmtId="0" fontId="3" fillId="0" borderId="12" xfId="3" applyNumberFormat="1" applyFont="1" applyBorder="1" applyAlignment="1">
      <alignment vertical="top"/>
    </xf>
    <xf numFmtId="4" fontId="3" fillId="0" borderId="12" xfId="3" applyNumberFormat="1" applyFont="1" applyBorder="1" applyAlignment="1">
      <alignment horizontal="right" vertical="top" wrapText="1"/>
    </xf>
    <xf numFmtId="0" fontId="3" fillId="0" borderId="12" xfId="3" applyNumberFormat="1" applyFont="1" applyBorder="1" applyAlignment="1">
      <alignment vertical="top" indent="4"/>
    </xf>
    <xf numFmtId="0" fontId="3" fillId="0" borderId="12" xfId="3" applyNumberFormat="1" applyFont="1" applyBorder="1" applyAlignment="1">
      <alignment vertical="top" indent="6"/>
    </xf>
    <xf numFmtId="0" fontId="3" fillId="0" borderId="12" xfId="3" applyNumberFormat="1" applyFont="1" applyBorder="1" applyAlignment="1">
      <alignment horizontal="right" vertical="top" wrapText="1"/>
    </xf>
    <xf numFmtId="2" fontId="3" fillId="0" borderId="12" xfId="3" applyNumberFormat="1" applyFont="1" applyBorder="1" applyAlignment="1">
      <alignment horizontal="right" vertical="top" wrapText="1"/>
    </xf>
    <xf numFmtId="0" fontId="16" fillId="0" borderId="0" xfId="3" applyNumberFormat="1" applyFont="1" applyAlignment="1"/>
    <xf numFmtId="0" fontId="1" fillId="0" borderId="0" xfId="3" applyAlignment="1"/>
    <xf numFmtId="0" fontId="17" fillId="0" borderId="0" xfId="3" applyNumberFormat="1" applyFont="1" applyAlignment="1">
      <alignment vertical="top"/>
    </xf>
    <xf numFmtId="0" fontId="25" fillId="2" borderId="12" xfId="3" applyNumberFormat="1" applyFont="1" applyFill="1" applyBorder="1" applyAlignment="1">
      <alignment vertical="top" wrapText="1" indent="2"/>
    </xf>
    <xf numFmtId="0" fontId="1" fillId="0" borderId="0" xfId="3" applyAlignment="1">
      <alignment horizontal="left"/>
    </xf>
    <xf numFmtId="0" fontId="15" fillId="0" borderId="0" xfId="3" applyNumberFormat="1" applyFont="1" applyAlignment="1">
      <alignment horizontal="left"/>
    </xf>
    <xf numFmtId="0" fontId="16" fillId="0" borderId="0" xfId="3" applyNumberFormat="1" applyFont="1" applyAlignment="1">
      <alignment horizontal="left"/>
    </xf>
    <xf numFmtId="0" fontId="17" fillId="0" borderId="0" xfId="3" applyNumberFormat="1" applyFont="1" applyAlignment="1">
      <alignment horizontal="left" vertical="top"/>
    </xf>
    <xf numFmtId="3" fontId="22" fillId="4" borderId="0" xfId="0" applyNumberFormat="1" applyFont="1" applyFill="1" applyAlignment="1">
      <alignment vertical="top"/>
    </xf>
    <xf numFmtId="3" fontId="20" fillId="0" borderId="0" xfId="0" applyNumberFormat="1" applyFont="1" applyAlignment="1">
      <alignment vertical="top"/>
    </xf>
    <xf numFmtId="0" fontId="22" fillId="4" borderId="0" xfId="0" applyFont="1" applyFill="1" applyAlignment="1">
      <alignment vertical="top"/>
    </xf>
    <xf numFmtId="3" fontId="21" fillId="0" borderId="0" xfId="3" applyNumberFormat="1" applyFont="1" applyAlignment="1">
      <alignment vertical="top"/>
    </xf>
    <xf numFmtId="0" fontId="30" fillId="0" borderId="0" xfId="0" applyFont="1" applyAlignment="1">
      <alignment vertical="center" wrapText="1"/>
    </xf>
    <xf numFmtId="4" fontId="3" fillId="0" borderId="12" xfId="6" applyNumberFormat="1" applyFont="1" applyBorder="1" applyAlignment="1">
      <alignment horizontal="right" vertical="top" wrapText="1"/>
    </xf>
    <xf numFmtId="3" fontId="10" fillId="0" borderId="0" xfId="6" applyNumberFormat="1" applyFont="1" applyFill="1" applyBorder="1" applyAlignment="1">
      <alignment horizontal="center" vertical="top" wrapText="1"/>
    </xf>
    <xf numFmtId="4" fontId="3" fillId="0" borderId="0" xfId="6" applyNumberFormat="1" applyFont="1" applyFill="1" applyBorder="1" applyAlignment="1">
      <alignment horizontal="right" vertical="top" wrapText="1"/>
    </xf>
    <xf numFmtId="0" fontId="12" fillId="0" borderId="17" xfId="0" applyFont="1" applyBorder="1" applyAlignment="1">
      <alignment horizontal="right" vertical="center" wrapText="1"/>
    </xf>
    <xf numFmtId="3" fontId="30" fillId="0" borderId="0" xfId="0" applyNumberFormat="1" applyFont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0" fontId="30" fillId="0" borderId="0" xfId="0" applyFont="1" applyAlignment="1">
      <alignment horizontal="right" vertical="center" wrapText="1"/>
    </xf>
    <xf numFmtId="3" fontId="28" fillId="0" borderId="18" xfId="0" applyNumberFormat="1" applyFont="1" applyBorder="1" applyAlignment="1">
      <alignment horizontal="right" vertical="center" wrapText="1"/>
    </xf>
    <xf numFmtId="3" fontId="28" fillId="9" borderId="18" xfId="0" applyNumberFormat="1" applyFont="1" applyFill="1" applyBorder="1" applyAlignment="1">
      <alignment horizontal="right" vertical="center" wrapText="1"/>
    </xf>
    <xf numFmtId="0" fontId="12" fillId="0" borderId="17" xfId="0" applyFont="1" applyBorder="1" applyAlignment="1">
      <alignment horizontal="right" vertical="center" wrapText="1"/>
    </xf>
    <xf numFmtId="14" fontId="9" fillId="0" borderId="1" xfId="1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30" fillId="9" borderId="0" xfId="0" applyFont="1" applyFill="1" applyAlignment="1">
      <alignment horizontal="right" vertical="center" wrapText="1"/>
    </xf>
    <xf numFmtId="0" fontId="28" fillId="9" borderId="18" xfId="0" applyFont="1" applyFill="1" applyBorder="1" applyAlignment="1">
      <alignment horizontal="right" vertical="center" wrapText="1"/>
    </xf>
    <xf numFmtId="4" fontId="25" fillId="2" borderId="11" xfId="6" applyNumberFormat="1" applyFont="1" applyFill="1" applyBorder="1" applyAlignment="1">
      <alignment horizontal="right" vertical="top" wrapText="1"/>
    </xf>
    <xf numFmtId="0" fontId="3" fillId="0" borderId="12" xfId="6" applyNumberFormat="1" applyFont="1" applyBorder="1" applyAlignment="1">
      <alignment vertical="top" wrapText="1"/>
    </xf>
    <xf numFmtId="0" fontId="28" fillId="0" borderId="0" xfId="0" applyFont="1" applyAlignment="1">
      <alignment vertical="center" wrapText="1"/>
    </xf>
    <xf numFmtId="0" fontId="9" fillId="0" borderId="2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10" fillId="0" borderId="2" xfId="0" applyFont="1" applyFill="1" applyBorder="1" applyAlignment="1">
      <alignment vertical="top" wrapText="1"/>
    </xf>
    <xf numFmtId="3" fontId="10" fillId="0" borderId="2" xfId="0" applyNumberFormat="1" applyFont="1" applyFill="1" applyBorder="1" applyAlignment="1">
      <alignment horizontal="right" vertical="top" wrapText="1"/>
    </xf>
    <xf numFmtId="3" fontId="0" fillId="0" borderId="0" xfId="0" applyNumberFormat="1" applyAlignment="1">
      <alignment vertical="top"/>
    </xf>
    <xf numFmtId="0" fontId="30" fillId="9" borderId="0" xfId="0" applyFont="1" applyFill="1" applyAlignment="1">
      <alignment vertical="top" wrapText="1"/>
    </xf>
    <xf numFmtId="0" fontId="28" fillId="9" borderId="1" xfId="0" applyFont="1" applyFill="1" applyBorder="1" applyAlignment="1">
      <alignment vertical="top" wrapText="1"/>
    </xf>
    <xf numFmtId="0" fontId="30" fillId="0" borderId="0" xfId="0" applyFont="1" applyFill="1" applyBorder="1" applyAlignment="1">
      <alignment vertical="top" wrapText="1"/>
    </xf>
    <xf numFmtId="3" fontId="30" fillId="0" borderId="0" xfId="0" applyNumberFormat="1" applyFont="1" applyFill="1" applyBorder="1" applyAlignment="1">
      <alignment horizontal="center" vertical="top" wrapText="1"/>
    </xf>
    <xf numFmtId="4" fontId="13" fillId="0" borderId="0" xfId="0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vertical="top"/>
    </xf>
    <xf numFmtId="3" fontId="28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top"/>
    </xf>
    <xf numFmtId="3" fontId="0" fillId="0" borderId="0" xfId="0" applyNumberFormat="1" applyFill="1" applyBorder="1" applyAlignment="1">
      <alignment vertical="top"/>
    </xf>
    <xf numFmtId="0" fontId="12" fillId="0" borderId="1" xfId="0" applyFont="1" applyBorder="1" applyAlignment="1">
      <alignment vertical="top" wrapText="1"/>
    </xf>
    <xf numFmtId="0" fontId="30" fillId="0" borderId="0" xfId="0" applyFont="1" applyAlignment="1">
      <alignment vertical="top" wrapText="1"/>
    </xf>
    <xf numFmtId="3" fontId="30" fillId="0" borderId="0" xfId="0" applyNumberFormat="1" applyFont="1" applyBorder="1" applyAlignment="1">
      <alignment vertical="top" wrapText="1"/>
    </xf>
    <xf numFmtId="3" fontId="30" fillId="0" borderId="0" xfId="0" applyNumberFormat="1" applyFont="1" applyAlignment="1">
      <alignment horizontal="right" vertical="top" wrapText="1"/>
    </xf>
    <xf numFmtId="0" fontId="30" fillId="0" borderId="17" xfId="0" applyFont="1" applyBorder="1" applyAlignment="1">
      <alignment vertical="top" wrapText="1"/>
    </xf>
    <xf numFmtId="0" fontId="28" fillId="0" borderId="0" xfId="0" applyFont="1" applyAlignment="1">
      <alignment vertical="top" wrapText="1"/>
    </xf>
    <xf numFmtId="3" fontId="28" fillId="9" borderId="18" xfId="0" applyNumberFormat="1" applyFont="1" applyFill="1" applyBorder="1" applyAlignment="1">
      <alignment vertical="top" wrapText="1"/>
    </xf>
    <xf numFmtId="3" fontId="30" fillId="9" borderId="0" xfId="0" applyNumberFormat="1" applyFont="1" applyFill="1" applyAlignment="1">
      <alignment horizontal="right" vertical="center" wrapText="1"/>
    </xf>
    <xf numFmtId="0" fontId="27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3" fontId="30" fillId="0" borderId="0" xfId="0" applyNumberFormat="1" applyFont="1" applyFill="1" applyAlignment="1">
      <alignment horizontal="right" vertical="center" wrapText="1"/>
    </xf>
    <xf numFmtId="3" fontId="1" fillId="0" borderId="0" xfId="6" applyNumberFormat="1" applyAlignment="1">
      <alignment vertical="top"/>
    </xf>
    <xf numFmtId="3" fontId="3" fillId="0" borderId="12" xfId="6" applyNumberFormat="1" applyFont="1" applyBorder="1" applyAlignment="1">
      <alignment horizontal="right" vertical="top" wrapText="1"/>
    </xf>
    <xf numFmtId="3" fontId="24" fillId="0" borderId="12" xfId="6" applyNumberFormat="1" applyFont="1" applyBorder="1" applyAlignment="1">
      <alignment horizontal="right" vertical="top" wrapText="1"/>
    </xf>
    <xf numFmtId="0" fontId="31" fillId="9" borderId="0" xfId="0" applyFont="1" applyFill="1" applyAlignment="1">
      <alignment horizontal="right" vertical="center" wrapText="1"/>
    </xf>
    <xf numFmtId="0" fontId="12" fillId="0" borderId="17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3" fontId="13" fillId="0" borderId="0" xfId="0" applyNumberFormat="1" applyFont="1" applyAlignment="1">
      <alignment horizontal="right" vertical="center" wrapText="1"/>
    </xf>
    <xf numFmtId="10" fontId="13" fillId="0" borderId="0" xfId="0" applyNumberFormat="1" applyFont="1" applyAlignment="1">
      <alignment horizontal="right" vertical="center" wrapText="1"/>
    </xf>
    <xf numFmtId="3" fontId="13" fillId="0" borderId="17" xfId="0" applyNumberFormat="1" applyFont="1" applyBorder="1" applyAlignment="1">
      <alignment horizontal="right" vertical="center" wrapText="1"/>
    </xf>
    <xf numFmtId="10" fontId="13" fillId="0" borderId="17" xfId="0" applyNumberFormat="1" applyFont="1" applyBorder="1" applyAlignment="1">
      <alignment horizontal="right" vertical="center" wrapText="1"/>
    </xf>
    <xf numFmtId="3" fontId="12" fillId="0" borderId="0" xfId="0" applyNumberFormat="1" applyFont="1" applyAlignment="1">
      <alignment horizontal="right" vertical="center" wrapText="1"/>
    </xf>
    <xf numFmtId="9" fontId="12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30" fillId="0" borderId="0" xfId="0" applyFont="1" applyAlignment="1">
      <alignment vertical="center"/>
    </xf>
    <xf numFmtId="3" fontId="12" fillId="9" borderId="18" xfId="0" applyNumberFormat="1" applyFont="1" applyFill="1" applyBorder="1" applyAlignment="1">
      <alignment horizontal="right" vertical="center" wrapText="1"/>
    </xf>
    <xf numFmtId="0" fontId="29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9" borderId="19" xfId="0" applyFont="1" applyFill="1" applyBorder="1" applyAlignment="1">
      <alignment horizontal="right" vertical="center" wrapText="1"/>
    </xf>
    <xf numFmtId="3" fontId="35" fillId="0" borderId="0" xfId="0" applyNumberFormat="1" applyFont="1" applyAlignment="1">
      <alignment horizontal="right" vertical="center" wrapText="1"/>
    </xf>
    <xf numFmtId="4" fontId="13" fillId="0" borderId="0" xfId="0" applyNumberFormat="1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top" wrapText="1"/>
    </xf>
    <xf numFmtId="3" fontId="28" fillId="0" borderId="1" xfId="0" applyNumberFormat="1" applyFont="1" applyFill="1" applyBorder="1" applyAlignment="1">
      <alignment vertical="top" wrapText="1"/>
    </xf>
    <xf numFmtId="0" fontId="12" fillId="0" borderId="17" xfId="0" applyFont="1" applyBorder="1" applyAlignment="1">
      <alignment vertical="center" wrapText="1"/>
    </xf>
    <xf numFmtId="10" fontId="13" fillId="0" borderId="0" xfId="0" applyNumberFormat="1" applyFont="1" applyAlignment="1">
      <alignment vertical="center" wrapText="1"/>
    </xf>
    <xf numFmtId="10" fontId="13" fillId="0" borderId="17" xfId="0" applyNumberFormat="1" applyFont="1" applyBorder="1" applyAlignment="1">
      <alignment vertical="center" wrapText="1"/>
    </xf>
    <xf numFmtId="9" fontId="12" fillId="0" borderId="0" xfId="0" applyNumberFormat="1" applyFont="1" applyAlignment="1">
      <alignment vertical="center" wrapText="1"/>
    </xf>
    <xf numFmtId="3" fontId="30" fillId="0" borderId="0" xfId="0" applyNumberFormat="1" applyFont="1" applyFill="1" applyBorder="1" applyAlignment="1">
      <alignment vertical="top" wrapText="1"/>
    </xf>
    <xf numFmtId="2" fontId="3" fillId="0" borderId="12" xfId="6" applyNumberFormat="1" applyFont="1" applyBorder="1" applyAlignment="1">
      <alignment horizontal="right" vertical="top" wrapText="1"/>
    </xf>
    <xf numFmtId="0" fontId="3" fillId="0" borderId="0" xfId="6" applyNumberFormat="1" applyFont="1" applyBorder="1" applyAlignment="1">
      <alignment vertical="top" wrapText="1"/>
    </xf>
    <xf numFmtId="0" fontId="4" fillId="0" borderId="12" xfId="6" applyNumberFormat="1" applyFont="1" applyBorder="1" applyAlignment="1">
      <alignment vertical="top" wrapText="1"/>
    </xf>
    <xf numFmtId="4" fontId="4" fillId="0" borderId="12" xfId="6" applyNumberFormat="1" applyFont="1" applyBorder="1" applyAlignment="1">
      <alignment horizontal="right" vertical="top" wrapText="1"/>
    </xf>
    <xf numFmtId="0" fontId="36" fillId="0" borderId="0" xfId="0" applyFont="1" applyAlignment="1">
      <alignment vertical="top"/>
    </xf>
    <xf numFmtId="0" fontId="37" fillId="2" borderId="11" xfId="6" applyNumberFormat="1" applyFont="1" applyFill="1" applyBorder="1" applyAlignment="1">
      <alignment vertical="top"/>
    </xf>
    <xf numFmtId="4" fontId="37" fillId="2" borderId="11" xfId="6" applyNumberFormat="1" applyFont="1" applyFill="1" applyBorder="1" applyAlignment="1">
      <alignment horizontal="right" vertical="top" wrapText="1"/>
    </xf>
    <xf numFmtId="0" fontId="27" fillId="0" borderId="0" xfId="0" applyFont="1" applyAlignment="1">
      <alignment horizontal="right" vertical="center" wrapText="1"/>
    </xf>
    <xf numFmtId="0" fontId="13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0" fillId="0" borderId="12" xfId="6" applyNumberFormat="1" applyFont="1" applyBorder="1" applyAlignment="1">
      <alignment vertical="top" wrapText="1"/>
    </xf>
    <xf numFmtId="0" fontId="12" fillId="0" borderId="0" xfId="0" applyFont="1" applyBorder="1" applyAlignment="1">
      <alignment horizontal="right" vertical="center" wrapText="1"/>
    </xf>
    <xf numFmtId="3" fontId="30" fillId="9" borderId="0" xfId="0" applyNumberFormat="1" applyFont="1" applyFill="1" applyBorder="1" applyAlignment="1">
      <alignment horizontal="right" vertical="center" wrapText="1"/>
    </xf>
    <xf numFmtId="3" fontId="28" fillId="9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Border="1" applyAlignment="1">
      <alignment vertical="top"/>
    </xf>
    <xf numFmtId="0" fontId="0" fillId="0" borderId="0" xfId="0" applyBorder="1" applyAlignment="1">
      <alignment vertical="top"/>
    </xf>
    <xf numFmtId="0" fontId="29" fillId="9" borderId="0" xfId="0" applyFont="1" applyFill="1" applyBorder="1" applyAlignment="1">
      <alignment horizontal="right" vertical="center" wrapText="1"/>
    </xf>
    <xf numFmtId="3" fontId="30" fillId="9" borderId="1" xfId="0" applyNumberFormat="1" applyFont="1" applyFill="1" applyBorder="1" applyAlignment="1">
      <alignment horizontal="right" vertical="center" wrapText="1"/>
    </xf>
    <xf numFmtId="0" fontId="10" fillId="0" borderId="21" xfId="6" applyNumberFormat="1" applyFont="1" applyBorder="1" applyAlignment="1">
      <alignment vertical="top" wrapText="1"/>
    </xf>
    <xf numFmtId="0" fontId="10" fillId="0" borderId="20" xfId="6" applyNumberFormat="1" applyFont="1" applyBorder="1" applyAlignment="1">
      <alignment vertical="top" wrapText="1"/>
    </xf>
    <xf numFmtId="0" fontId="10" fillId="0" borderId="22" xfId="6" applyNumberFormat="1" applyFont="1" applyBorder="1" applyAlignment="1">
      <alignment vertical="top" wrapText="1"/>
    </xf>
    <xf numFmtId="0" fontId="12" fillId="0" borderId="1" xfId="0" applyFont="1" applyBorder="1" applyAlignment="1">
      <alignment vertical="top"/>
    </xf>
    <xf numFmtId="0" fontId="12" fillId="0" borderId="1" xfId="0" applyFont="1" applyBorder="1" applyAlignment="1">
      <alignment horizontal="right" vertical="top" wrapText="1"/>
    </xf>
    <xf numFmtId="3" fontId="30" fillId="0" borderId="0" xfId="0" applyNumberFormat="1" applyFont="1" applyBorder="1" applyAlignment="1">
      <alignment horizontal="right" vertical="top" wrapText="1"/>
    </xf>
    <xf numFmtId="3" fontId="30" fillId="0" borderId="1" xfId="0" applyNumberFormat="1" applyFont="1" applyBorder="1" applyAlignment="1">
      <alignment horizontal="right" vertical="top" wrapText="1"/>
    </xf>
    <xf numFmtId="0" fontId="12" fillId="0" borderId="0" xfId="0" applyFont="1" applyAlignment="1">
      <alignment vertical="top" wrapText="1"/>
    </xf>
    <xf numFmtId="3" fontId="28" fillId="0" borderId="0" xfId="0" applyNumberFormat="1" applyFont="1" applyAlignment="1">
      <alignment horizontal="right" vertical="top" wrapText="1"/>
    </xf>
    <xf numFmtId="0" fontId="12" fillId="0" borderId="0" xfId="0" applyFont="1" applyBorder="1" applyAlignment="1">
      <alignment vertical="top"/>
    </xf>
    <xf numFmtId="0" fontId="30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3" fontId="28" fillId="0" borderId="0" xfId="0" applyNumberFormat="1" applyFont="1" applyBorder="1" applyAlignment="1">
      <alignment horizontal="right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right" vertical="center" wrapText="1"/>
    </xf>
    <xf numFmtId="0" fontId="15" fillId="0" borderId="0" xfId="5" applyNumberFormat="1" applyFont="1" applyAlignment="1">
      <alignment wrapText="1"/>
    </xf>
    <xf numFmtId="0" fontId="1" fillId="0" borderId="0" xfId="5"/>
    <xf numFmtId="0" fontId="16" fillId="0" borderId="0" xfId="5" applyNumberFormat="1" applyFont="1" applyAlignment="1">
      <alignment wrapText="1"/>
    </xf>
    <xf numFmtId="0" fontId="17" fillId="0" borderId="0" xfId="5" applyNumberFormat="1" applyFont="1" applyAlignment="1">
      <alignment vertical="top" wrapText="1"/>
    </xf>
    <xf numFmtId="0" fontId="25" fillId="2" borderId="11" xfId="5" applyNumberFormat="1" applyFont="1" applyFill="1" applyBorder="1" applyAlignment="1">
      <alignment vertical="top" wrapText="1"/>
    </xf>
    <xf numFmtId="0" fontId="3" fillId="0" borderId="12" xfId="5" applyNumberFormat="1" applyFont="1" applyBorder="1" applyAlignment="1">
      <alignment vertical="top" wrapText="1" indent="4"/>
    </xf>
    <xf numFmtId="3" fontId="3" fillId="0" borderId="2" xfId="2" applyNumberFormat="1" applyFont="1" applyFill="1" applyBorder="1" applyAlignment="1">
      <alignment horizontal="left" vertical="top" wrapText="1"/>
    </xf>
    <xf numFmtId="3" fontId="3" fillId="0" borderId="2" xfId="3" applyNumberFormat="1" applyFont="1" applyFill="1" applyBorder="1" applyAlignment="1">
      <alignment horizontal="right" vertical="top"/>
    </xf>
    <xf numFmtId="3" fontId="3" fillId="0" borderId="5" xfId="3" applyNumberFormat="1" applyFont="1" applyFill="1" applyBorder="1" applyAlignment="1">
      <alignment horizontal="right" vertical="top"/>
    </xf>
    <xf numFmtId="3" fontId="3" fillId="0" borderId="2" xfId="3" applyNumberFormat="1" applyFont="1" applyFill="1" applyBorder="1" applyAlignment="1">
      <alignment horizontal="right" vertical="center"/>
    </xf>
    <xf numFmtId="4" fontId="3" fillId="10" borderId="12" xfId="3" applyNumberFormat="1" applyFont="1" applyFill="1" applyBorder="1" applyAlignment="1">
      <alignment horizontal="right" vertical="top" wrapText="1"/>
    </xf>
    <xf numFmtId="4" fontId="22" fillId="10" borderId="0" xfId="0" applyNumberFormat="1" applyFont="1" applyFill="1" applyAlignment="1">
      <alignment vertical="top"/>
    </xf>
    <xf numFmtId="3" fontId="22" fillId="10" borderId="0" xfId="0" applyNumberFormat="1" applyFont="1" applyFill="1" applyAlignment="1">
      <alignment vertical="top"/>
    </xf>
    <xf numFmtId="4" fontId="3" fillId="11" borderId="12" xfId="3" applyNumberFormat="1" applyFont="1" applyFill="1" applyBorder="1" applyAlignment="1">
      <alignment horizontal="right" vertical="top" wrapText="1"/>
    </xf>
    <xf numFmtId="3" fontId="21" fillId="11" borderId="2" xfId="3" applyNumberFormat="1" applyFont="1" applyFill="1" applyBorder="1" applyAlignment="1">
      <alignment horizontal="right" vertical="top"/>
    </xf>
    <xf numFmtId="3" fontId="21" fillId="11" borderId="5" xfId="3" applyNumberFormat="1" applyFont="1" applyFill="1" applyBorder="1" applyAlignment="1">
      <alignment horizontal="right" vertical="top"/>
    </xf>
    <xf numFmtId="0" fontId="3" fillId="0" borderId="12" xfId="7" applyNumberFormat="1" applyFont="1" applyBorder="1" applyAlignment="1">
      <alignment vertical="top" wrapText="1" indent="2"/>
    </xf>
    <xf numFmtId="0" fontId="3" fillId="0" borderId="12" xfId="7" applyNumberFormat="1" applyFont="1" applyBorder="1" applyAlignment="1">
      <alignment horizontal="right" vertical="top" wrapText="1"/>
    </xf>
    <xf numFmtId="4" fontId="3" fillId="0" borderId="12" xfId="7" applyNumberFormat="1" applyFont="1" applyBorder="1" applyAlignment="1">
      <alignment horizontal="right" vertical="top" wrapText="1"/>
    </xf>
    <xf numFmtId="0" fontId="3" fillId="0" borderId="12" xfId="7" applyNumberFormat="1" applyFont="1" applyBorder="1" applyAlignment="1">
      <alignment vertical="top" wrapText="1" indent="4"/>
    </xf>
    <xf numFmtId="0" fontId="18" fillId="0" borderId="12" xfId="7" applyNumberFormat="1" applyFont="1" applyBorder="1" applyAlignment="1">
      <alignment vertical="top" wrapText="1"/>
    </xf>
    <xf numFmtId="4" fontId="18" fillId="0" borderId="12" xfId="7" applyNumberFormat="1" applyFont="1" applyBorder="1" applyAlignment="1">
      <alignment horizontal="right" vertical="top" wrapText="1"/>
    </xf>
    <xf numFmtId="0" fontId="18" fillId="0" borderId="12" xfId="7" applyNumberFormat="1" applyFont="1" applyBorder="1" applyAlignment="1">
      <alignment horizontal="right" vertical="top" wrapText="1"/>
    </xf>
    <xf numFmtId="2" fontId="3" fillId="0" borderId="12" xfId="7" applyNumberFormat="1" applyFont="1" applyBorder="1" applyAlignment="1">
      <alignment horizontal="right" vertical="top" wrapText="1"/>
    </xf>
    <xf numFmtId="4" fontId="38" fillId="0" borderId="12" xfId="7" applyNumberFormat="1" applyFont="1" applyBorder="1" applyAlignment="1">
      <alignment horizontal="right" vertical="top" wrapText="1"/>
    </xf>
    <xf numFmtId="0" fontId="25" fillId="2" borderId="11" xfId="7" applyNumberFormat="1" applyFont="1" applyFill="1" applyBorder="1" applyAlignment="1">
      <alignment vertical="top"/>
    </xf>
    <xf numFmtId="165" fontId="25" fillId="2" borderId="11" xfId="7" applyNumberFormat="1" applyFont="1" applyFill="1" applyBorder="1" applyAlignment="1">
      <alignment horizontal="right" vertical="top" wrapText="1"/>
    </xf>
    <xf numFmtId="0" fontId="12" fillId="0" borderId="17" xfId="0" applyFont="1" applyBorder="1" applyAlignment="1">
      <alignment horizontal="right" vertical="center" wrapText="1"/>
    </xf>
    <xf numFmtId="3" fontId="10" fillId="0" borderId="23" xfId="0" applyNumberFormat="1" applyFont="1" applyBorder="1" applyAlignment="1">
      <alignment horizontal="right" vertical="center"/>
    </xf>
    <xf numFmtId="4" fontId="10" fillId="0" borderId="12" xfId="6" applyNumberFormat="1" applyFont="1" applyBorder="1" applyAlignment="1">
      <alignment horizontal="right" vertical="top" wrapText="1"/>
    </xf>
    <xf numFmtId="0" fontId="3" fillId="0" borderId="12" xfId="6" applyNumberFormat="1" applyFont="1" applyBorder="1" applyAlignment="1">
      <alignment vertical="top" wrapText="1" indent="2"/>
    </xf>
    <xf numFmtId="3" fontId="30" fillId="0" borderId="0" xfId="0" applyNumberFormat="1" applyFont="1" applyBorder="1" applyAlignment="1">
      <alignment horizontal="right" vertical="center" wrapText="1"/>
    </xf>
    <xf numFmtId="0" fontId="9" fillId="0" borderId="0" xfId="1" applyNumberFormat="1" applyFont="1" applyFill="1" applyAlignment="1">
      <alignment horizontal="center"/>
    </xf>
    <xf numFmtId="0" fontId="9" fillId="0" borderId="0" xfId="1" applyNumberFormat="1" applyFont="1" applyFill="1" applyBorder="1" applyAlignment="1">
      <alignment horizontal="left" vertical="top" wrapText="1"/>
    </xf>
    <xf numFmtId="0" fontId="10" fillId="0" borderId="0" xfId="1" applyNumberFormat="1" applyFont="1" applyFill="1" applyAlignment="1">
      <alignment horizontal="center"/>
    </xf>
    <xf numFmtId="0" fontId="21" fillId="0" borderId="2" xfId="2" applyNumberFormat="1" applyFont="1" applyBorder="1" applyAlignment="1">
      <alignment horizontal="left" vertical="top" wrapText="1"/>
    </xf>
    <xf numFmtId="0" fontId="23" fillId="0" borderId="0" xfId="2" applyNumberFormat="1" applyFont="1" applyAlignment="1">
      <alignment horizontal="center" vertical="top"/>
    </xf>
    <xf numFmtId="0" fontId="21" fillId="0" borderId="2" xfId="2" applyNumberFormat="1" applyFont="1" applyBorder="1" applyAlignment="1">
      <alignment horizontal="center" vertical="top" wrapText="1"/>
    </xf>
    <xf numFmtId="0" fontId="20" fillId="0" borderId="2" xfId="0" applyFont="1" applyBorder="1" applyAlignment="1">
      <alignment horizontal="left" vertical="top" wrapText="1"/>
    </xf>
    <xf numFmtId="0" fontId="21" fillId="0" borderId="0" xfId="2" applyNumberFormat="1" applyFont="1" applyAlignment="1">
      <alignment horizontal="center" vertical="top"/>
    </xf>
    <xf numFmtId="0" fontId="23" fillId="0" borderId="2" xfId="2" applyNumberFormat="1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3" fillId="2" borderId="1" xfId="3" applyNumberFormat="1" applyFont="1" applyFill="1" applyBorder="1" applyAlignment="1">
      <alignment horizontal="center" wrapText="1"/>
    </xf>
    <xf numFmtId="0" fontId="21" fillId="0" borderId="14" xfId="3" applyNumberFormat="1" applyFont="1" applyBorder="1" applyAlignment="1">
      <alignment horizontal="center" vertical="top"/>
    </xf>
    <xf numFmtId="0" fontId="21" fillId="0" borderId="4" xfId="3" applyNumberFormat="1" applyFont="1" applyBorder="1" applyAlignment="1">
      <alignment horizontal="left" vertical="top" wrapText="1"/>
    </xf>
    <xf numFmtId="0" fontId="21" fillId="0" borderId="0" xfId="3" applyNumberFormat="1" applyFont="1" applyAlignment="1">
      <alignment horizontal="center" vertical="top" wrapText="1"/>
    </xf>
    <xf numFmtId="0" fontId="21" fillId="0" borderId="9" xfId="3" applyNumberFormat="1" applyFont="1" applyBorder="1" applyAlignment="1">
      <alignment horizontal="center" vertical="top" wrapText="1"/>
    </xf>
    <xf numFmtId="0" fontId="23" fillId="0" borderId="2" xfId="3" applyNumberFormat="1" applyFont="1" applyBorder="1" applyAlignment="1">
      <alignment horizontal="left" vertical="top" wrapText="1"/>
    </xf>
    <xf numFmtId="0" fontId="21" fillId="0" borderId="0" xfId="3" applyNumberFormat="1" applyFont="1" applyAlignment="1">
      <alignment horizontal="center" vertical="top"/>
    </xf>
    <xf numFmtId="0" fontId="23" fillId="0" borderId="0" xfId="3" applyNumberFormat="1" applyFont="1" applyAlignment="1">
      <alignment horizontal="center" vertical="top"/>
    </xf>
    <xf numFmtId="0" fontId="23" fillId="0" borderId="7" xfId="3" applyNumberFormat="1" applyFont="1" applyBorder="1" applyAlignment="1">
      <alignment horizontal="center" vertical="top" wrapText="1"/>
    </xf>
    <xf numFmtId="0" fontId="21" fillId="0" borderId="7" xfId="3" applyNumberFormat="1" applyFont="1" applyBorder="1" applyAlignment="1">
      <alignment horizontal="center" vertical="top" wrapText="1"/>
    </xf>
    <xf numFmtId="0" fontId="23" fillId="0" borderId="3" xfId="3" applyNumberFormat="1" applyFont="1" applyBorder="1" applyAlignment="1">
      <alignment horizontal="left" vertical="top"/>
    </xf>
    <xf numFmtId="0" fontId="21" fillId="0" borderId="4" xfId="3" applyNumberFormat="1" applyFont="1" applyBorder="1" applyAlignment="1">
      <alignment horizontal="left" vertical="top"/>
    </xf>
    <xf numFmtId="0" fontId="21" fillId="0" borderId="9" xfId="3" applyNumberFormat="1" applyFont="1" applyBorder="1" applyAlignment="1">
      <alignment horizontal="center" vertical="top"/>
    </xf>
    <xf numFmtId="0" fontId="21" fillId="0" borderId="6" xfId="3" applyNumberFormat="1" applyFont="1" applyBorder="1" applyAlignment="1">
      <alignment horizontal="left" vertical="top" wrapText="1"/>
    </xf>
    <xf numFmtId="0" fontId="23" fillId="0" borderId="2" xfId="3" applyNumberFormat="1" applyFont="1" applyBorder="1" applyAlignment="1">
      <alignment horizontal="left" vertical="top"/>
    </xf>
    <xf numFmtId="0" fontId="21" fillId="0" borderId="3" xfId="3" applyNumberFormat="1" applyFont="1" applyBorder="1" applyAlignment="1">
      <alignment horizontal="left" vertical="top" wrapText="1"/>
    </xf>
    <xf numFmtId="0" fontId="21" fillId="0" borderId="4" xfId="3" applyFont="1" applyBorder="1" applyAlignment="1">
      <alignment vertical="top" wrapText="1"/>
    </xf>
    <xf numFmtId="0" fontId="21" fillId="0" borderId="4" xfId="3" applyNumberFormat="1" applyFont="1" applyBorder="1" applyAlignment="1">
      <alignment vertical="top" wrapText="1"/>
    </xf>
    <xf numFmtId="0" fontId="21" fillId="0" borderId="10" xfId="3" applyFont="1" applyBorder="1" applyAlignment="1">
      <alignment vertical="top" wrapText="1"/>
    </xf>
    <xf numFmtId="0" fontId="23" fillId="2" borderId="1" xfId="3" applyNumberFormat="1" applyFont="1" applyFill="1" applyBorder="1" applyAlignment="1">
      <alignment horizontal="left" vertical="top" wrapText="1"/>
    </xf>
    <xf numFmtId="0" fontId="21" fillId="0" borderId="6" xfId="3" applyNumberFormat="1" applyFont="1" applyBorder="1" applyAlignment="1">
      <alignment horizontal="left" vertical="top"/>
    </xf>
    <xf numFmtId="0" fontId="21" fillId="0" borderId="10" xfId="3" applyNumberFormat="1" applyFont="1" applyBorder="1" applyAlignment="1">
      <alignment horizontal="left" vertical="top" wrapText="1"/>
    </xf>
    <xf numFmtId="0" fontId="21" fillId="0" borderId="1" xfId="3" applyNumberFormat="1" applyFont="1" applyBorder="1" applyAlignment="1">
      <alignment horizontal="center" vertical="top" wrapText="1"/>
    </xf>
    <xf numFmtId="0" fontId="21" fillId="0" borderId="13" xfId="3" applyNumberFormat="1" applyFont="1" applyBorder="1" applyAlignment="1">
      <alignment horizontal="center" vertical="top" wrapText="1"/>
    </xf>
    <xf numFmtId="0" fontId="21" fillId="0" borderId="2" xfId="3" applyNumberFormat="1" applyFont="1" applyBorder="1" applyAlignment="1">
      <alignment horizontal="left" vertical="top" wrapText="1"/>
    </xf>
    <xf numFmtId="0" fontId="23" fillId="0" borderId="0" xfId="3" applyFont="1" applyAlignment="1">
      <alignment horizontal="left" vertical="top" wrapText="1"/>
    </xf>
    <xf numFmtId="0" fontId="21" fillId="0" borderId="7" xfId="3" applyNumberFormat="1" applyFont="1" applyBorder="1" applyAlignment="1">
      <alignment horizontal="center" vertical="top"/>
    </xf>
    <xf numFmtId="0" fontId="21" fillId="0" borderId="4" xfId="3" applyFont="1" applyBorder="1" applyAlignment="1">
      <alignment vertical="top"/>
    </xf>
    <xf numFmtId="0" fontId="21" fillId="0" borderId="5" xfId="3" applyNumberFormat="1" applyFont="1" applyBorder="1" applyAlignment="1">
      <alignment horizontal="left" vertical="top" wrapText="1"/>
    </xf>
    <xf numFmtId="0" fontId="23" fillId="0" borderId="6" xfId="3" applyNumberFormat="1" applyFont="1" applyBorder="1" applyAlignment="1">
      <alignment horizontal="left" vertical="top"/>
    </xf>
    <xf numFmtId="0" fontId="9" fillId="0" borderId="0" xfId="4" applyFont="1" applyAlignment="1">
      <alignment horizontal="left" vertical="top" wrapText="1"/>
    </xf>
    <xf numFmtId="3" fontId="10" fillId="0" borderId="2" xfId="4" applyNumberFormat="1" applyFont="1" applyBorder="1" applyAlignment="1">
      <alignment horizontal="center" vertical="center"/>
    </xf>
    <xf numFmtId="0" fontId="10" fillId="0" borderId="2" xfId="4" applyNumberFormat="1" applyFont="1" applyBorder="1" applyAlignment="1">
      <alignment horizontal="center" vertical="center"/>
    </xf>
    <xf numFmtId="3" fontId="10" fillId="0" borderId="2" xfId="4" applyNumberFormat="1" applyFont="1" applyBorder="1" applyAlignment="1">
      <alignment horizontal="center" vertical="top" wrapText="1"/>
    </xf>
    <xf numFmtId="3" fontId="10" fillId="0" borderId="2" xfId="4" applyNumberFormat="1" applyFont="1" applyBorder="1" applyAlignment="1">
      <alignment horizontal="center" vertical="center" wrapText="1"/>
    </xf>
    <xf numFmtId="0" fontId="10" fillId="0" borderId="1" xfId="4" applyNumberFormat="1" applyFont="1" applyBorder="1" applyAlignment="1">
      <alignment horizontal="center" vertical="top" wrapText="1"/>
    </xf>
    <xf numFmtId="0" fontId="9" fillId="0" borderId="0" xfId="4" applyNumberFormat="1" applyFont="1" applyAlignment="1">
      <alignment horizontal="center" vertical="top"/>
    </xf>
    <xf numFmtId="0" fontId="9" fillId="0" borderId="2" xfId="4" applyNumberFormat="1" applyFont="1" applyBorder="1" applyAlignment="1">
      <alignment horizontal="center" vertical="top" wrapText="1"/>
    </xf>
    <xf numFmtId="0" fontId="10" fillId="0" borderId="0" xfId="1" applyNumberFormat="1" applyFont="1" applyAlignment="1">
      <alignment horizontal="center"/>
    </xf>
    <xf numFmtId="0" fontId="25" fillId="2" borderId="15" xfId="5" applyNumberFormat="1" applyFont="1" applyFill="1" applyBorder="1" applyAlignment="1">
      <alignment vertical="top" wrapText="1"/>
    </xf>
    <xf numFmtId="0" fontId="25" fillId="2" borderId="16" xfId="5" applyNumberFormat="1" applyFont="1" applyFill="1" applyBorder="1" applyAlignment="1">
      <alignment vertical="top" wrapText="1"/>
    </xf>
    <xf numFmtId="0" fontId="25" fillId="2" borderId="11" xfId="5" applyNumberFormat="1" applyFont="1" applyFill="1" applyBorder="1" applyAlignment="1">
      <alignment vertical="top" wrapText="1"/>
    </xf>
    <xf numFmtId="0" fontId="28" fillId="9" borderId="0" xfId="0" applyFont="1" applyFill="1" applyAlignment="1">
      <alignment horizontal="center" vertical="top" wrapText="1"/>
    </xf>
    <xf numFmtId="0" fontId="3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2" fillId="0" borderId="17" xfId="0" applyFont="1" applyBorder="1" applyAlignment="1">
      <alignment horizontal="right" vertical="center" wrapText="1"/>
    </xf>
    <xf numFmtId="0" fontId="27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</cellXfs>
  <cellStyles count="8">
    <cellStyle name="Обычный" xfId="0" builtinId="0"/>
    <cellStyle name="Обычный_Лист1" xfId="1"/>
    <cellStyle name="Обычный_ОСВ 2 кв" xfId="5"/>
    <cellStyle name="Обычный_ОСВ 3 кв" xfId="7"/>
    <cellStyle name="Обычный_Расшифровки" xfId="6"/>
    <cellStyle name="Обычный_Ф2" xfId="2"/>
    <cellStyle name="Обычный_Ф3" xfId="3"/>
    <cellStyle name="Обычный_Ф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tabSelected="1" workbookViewId="0">
      <selection activeCell="C24" sqref="C24"/>
    </sheetView>
  </sheetViews>
  <sheetFormatPr defaultColWidth="8.7265625" defaultRowHeight="14.5" x14ac:dyDescent="0.35"/>
  <cols>
    <col min="1" max="1" width="41.453125" style="13" customWidth="1"/>
    <col min="2" max="2" width="8.7265625" style="13"/>
    <col min="3" max="4" width="18.26953125" style="13" customWidth="1"/>
    <col min="5" max="5" width="8.7265625" style="13" customWidth="1"/>
    <col min="6" max="6" width="11.81640625" style="13" customWidth="1"/>
    <col min="7" max="7" width="16.81640625" style="13" customWidth="1"/>
    <col min="8" max="8" width="8.7265625" style="13"/>
    <col min="9" max="9" width="27.1796875" style="13" customWidth="1"/>
    <col min="10" max="16384" width="8.7265625" style="13"/>
  </cols>
  <sheetData>
    <row r="1" spans="1:9" ht="43" customHeight="1" x14ac:dyDescent="0.35">
      <c r="A1" s="308" t="s">
        <v>439</v>
      </c>
      <c r="B1" s="308"/>
      <c r="C1" s="308"/>
      <c r="D1" s="308"/>
      <c r="E1" s="4"/>
      <c r="F1" s="4"/>
      <c r="G1" s="4"/>
      <c r="H1" s="12"/>
      <c r="I1" s="12"/>
    </row>
    <row r="2" spans="1:9" x14ac:dyDescent="0.35">
      <c r="A2" s="307" t="s">
        <v>169</v>
      </c>
      <c r="B2" s="307"/>
      <c r="C2" s="307"/>
      <c r="D2" s="307"/>
      <c r="E2" s="5"/>
      <c r="F2" s="5"/>
      <c r="G2" s="5"/>
      <c r="H2" s="12"/>
      <c r="I2" s="12"/>
    </row>
    <row r="3" spans="1:9" x14ac:dyDescent="0.35">
      <c r="A3" s="309" t="s">
        <v>425</v>
      </c>
      <c r="B3" s="309"/>
      <c r="C3" s="309"/>
      <c r="D3" s="309"/>
      <c r="E3" s="6"/>
      <c r="F3" s="6"/>
      <c r="G3" s="6"/>
      <c r="H3" s="12"/>
      <c r="I3" s="12"/>
    </row>
    <row r="4" spans="1:9" x14ac:dyDescent="0.35">
      <c r="A4" s="65"/>
      <c r="B4" s="65"/>
      <c r="C4" s="65"/>
      <c r="D4" s="66" t="s">
        <v>0</v>
      </c>
      <c r="E4" s="12"/>
      <c r="F4" s="12"/>
      <c r="H4" s="12"/>
      <c r="I4" s="12"/>
    </row>
    <row r="5" spans="1:9" ht="28" x14ac:dyDescent="0.35">
      <c r="A5" s="14" t="s">
        <v>173</v>
      </c>
      <c r="B5" s="15" t="s">
        <v>174</v>
      </c>
      <c r="C5" s="67" t="s">
        <v>426</v>
      </c>
      <c r="D5" s="67" t="s">
        <v>218</v>
      </c>
    </row>
    <row r="6" spans="1:9" x14ac:dyDescent="0.35">
      <c r="A6" s="14" t="s">
        <v>1</v>
      </c>
      <c r="B6" s="16"/>
      <c r="C6" s="17"/>
      <c r="D6" s="17"/>
    </row>
    <row r="7" spans="1:9" x14ac:dyDescent="0.35">
      <c r="A7" s="18" t="s">
        <v>234</v>
      </c>
      <c r="B7" s="16">
        <v>4</v>
      </c>
      <c r="C7" s="19">
        <f>SUM(C8:C10)</f>
        <v>14489</v>
      </c>
      <c r="D7" s="19">
        <f>SUM(D8:D10)</f>
        <v>201060</v>
      </c>
      <c r="E7" s="71"/>
    </row>
    <row r="8" spans="1:9" ht="28" x14ac:dyDescent="0.35">
      <c r="A8" s="18" t="s">
        <v>175</v>
      </c>
      <c r="B8" s="16"/>
      <c r="C8" s="20">
        <f>ROUND('ОСВ 3 кв'!F9/1000,0)</f>
        <v>1280</v>
      </c>
      <c r="D8" s="20">
        <v>5635</v>
      </c>
    </row>
    <row r="9" spans="1:9" x14ac:dyDescent="0.35">
      <c r="A9" s="18" t="s">
        <v>219</v>
      </c>
      <c r="B9" s="16"/>
      <c r="C9" s="20">
        <f>ROUND('ОСВ 3 кв'!F11/1000,0)</f>
        <v>8</v>
      </c>
      <c r="D9" s="20">
        <v>89548</v>
      </c>
    </row>
    <row r="10" spans="1:9" x14ac:dyDescent="0.35">
      <c r="A10" s="18" t="s">
        <v>176</v>
      </c>
      <c r="B10" s="16"/>
      <c r="C10" s="20">
        <f>ROUND('ОСВ 3 кв'!F10/1000,0)</f>
        <v>13201</v>
      </c>
      <c r="D10" s="20">
        <v>105877</v>
      </c>
    </row>
    <row r="11" spans="1:9" x14ac:dyDescent="0.35">
      <c r="A11" s="18" t="s">
        <v>177</v>
      </c>
      <c r="B11" s="16">
        <v>5</v>
      </c>
      <c r="C11" s="303">
        <f>1488014-29787</f>
        <v>1458227</v>
      </c>
      <c r="D11" s="21">
        <v>1017307</v>
      </c>
      <c r="E11" s="71"/>
    </row>
    <row r="12" spans="1:9" ht="28" x14ac:dyDescent="0.35">
      <c r="A12" s="18" t="s">
        <v>178</v>
      </c>
      <c r="B12" s="16"/>
      <c r="C12" s="21">
        <f>147+387511+28800</f>
        <v>416458</v>
      </c>
      <c r="D12" s="21">
        <v>431</v>
      </c>
      <c r="E12" s="71"/>
    </row>
    <row r="13" spans="1:9" ht="28" x14ac:dyDescent="0.35">
      <c r="A13" s="18" t="s">
        <v>235</v>
      </c>
      <c r="B13" s="16"/>
      <c r="C13" s="21"/>
      <c r="D13" s="21">
        <v>70342</v>
      </c>
      <c r="E13" s="71"/>
    </row>
    <row r="14" spans="1:9" x14ac:dyDescent="0.35">
      <c r="A14" s="18" t="s">
        <v>8</v>
      </c>
      <c r="B14" s="16">
        <v>6</v>
      </c>
      <c r="C14" s="21">
        <f>ROUND(('ОСВ 3 кв'!F46-'ОСВ 3 кв'!G47)/1000,0)</f>
        <v>6463</v>
      </c>
      <c r="D14" s="21">
        <v>4140</v>
      </c>
    </row>
    <row r="15" spans="1:9" x14ac:dyDescent="0.35">
      <c r="A15" s="18" t="s">
        <v>9</v>
      </c>
      <c r="B15" s="16"/>
      <c r="C15" s="21">
        <v>89</v>
      </c>
      <c r="D15" s="21">
        <v>122</v>
      </c>
    </row>
    <row r="16" spans="1:9" x14ac:dyDescent="0.35">
      <c r="A16" s="18" t="s">
        <v>7</v>
      </c>
      <c r="B16" s="16"/>
      <c r="C16" s="21">
        <f>ROUND(('ОСВ 3 кв'!F28)/1000,0)</f>
        <v>211</v>
      </c>
      <c r="D16" s="21">
        <v>205</v>
      </c>
    </row>
    <row r="17" spans="1:6" x14ac:dyDescent="0.35">
      <c r="A17" s="18" t="s">
        <v>179</v>
      </c>
      <c r="B17" s="16"/>
      <c r="C17" s="21">
        <v>1392</v>
      </c>
      <c r="D17" s="21">
        <f>1447+45</f>
        <v>1492</v>
      </c>
    </row>
    <row r="18" spans="1:6" x14ac:dyDescent="0.35">
      <c r="A18" s="18" t="s">
        <v>10</v>
      </c>
      <c r="B18" s="16"/>
      <c r="C18" s="17">
        <v>703</v>
      </c>
      <c r="D18" s="17">
        <v>703</v>
      </c>
    </row>
    <row r="19" spans="1:6" x14ac:dyDescent="0.35">
      <c r="A19" s="18" t="s">
        <v>180</v>
      </c>
      <c r="B19" s="16">
        <v>7</v>
      </c>
      <c r="C19" s="21">
        <f>34+2415-9</f>
        <v>2440</v>
      </c>
      <c r="D19" s="21">
        <v>1773</v>
      </c>
    </row>
    <row r="20" spans="1:6" x14ac:dyDescent="0.35">
      <c r="A20" s="14" t="s">
        <v>181</v>
      </c>
      <c r="B20" s="15"/>
      <c r="C20" s="19">
        <f>SUM(C11:C19)+C7</f>
        <v>1900472</v>
      </c>
      <c r="D20" s="19">
        <f>SUM(D11:D19)+D7</f>
        <v>1297575</v>
      </c>
      <c r="F20" s="22"/>
    </row>
    <row r="21" spans="1:6" x14ac:dyDescent="0.35">
      <c r="A21" s="14" t="s">
        <v>182</v>
      </c>
      <c r="B21" s="15"/>
      <c r="C21" s="17"/>
      <c r="D21" s="17"/>
    </row>
    <row r="22" spans="1:6" x14ac:dyDescent="0.35">
      <c r="A22" s="18" t="s">
        <v>183</v>
      </c>
      <c r="B22" s="16">
        <v>8</v>
      </c>
      <c r="C22" s="76">
        <f>ROUND(('ОСВ 3 кв'!G78+'ОСВ 3 кв'!G69)/1000,0)</f>
        <v>116166</v>
      </c>
      <c r="D22" s="21"/>
    </row>
    <row r="23" spans="1:6" x14ac:dyDescent="0.35">
      <c r="A23" s="18" t="s">
        <v>184</v>
      </c>
      <c r="B23" s="16">
        <v>9</v>
      </c>
      <c r="C23" s="76">
        <f>ROUND(('ОСВ 3 кв'!G79+'ОСВ 3 кв'!G81)/1000,0)</f>
        <v>1130237</v>
      </c>
      <c r="D23" s="21">
        <f>612669+33186</f>
        <v>645855</v>
      </c>
    </row>
    <row r="24" spans="1:6" x14ac:dyDescent="0.35">
      <c r="A24" s="18" t="s">
        <v>236</v>
      </c>
      <c r="B24" s="16">
        <v>11</v>
      </c>
      <c r="C24" s="76">
        <f>ROUND(('ОСВ 3 кв'!G67+'ОСВ 3 кв'!G70)/1000,0)</f>
        <v>945</v>
      </c>
      <c r="D24" s="17">
        <v>602</v>
      </c>
    </row>
    <row r="25" spans="1:6" ht="28" x14ac:dyDescent="0.35">
      <c r="A25" s="18" t="s">
        <v>186</v>
      </c>
      <c r="B25" s="16">
        <v>10</v>
      </c>
      <c r="C25" s="21">
        <v>561</v>
      </c>
      <c r="D25" s="21">
        <f>36250+10</f>
        <v>36260</v>
      </c>
    </row>
    <row r="26" spans="1:6" ht="28" x14ac:dyDescent="0.35">
      <c r="A26" s="18" t="s">
        <v>185</v>
      </c>
      <c r="B26" s="16"/>
      <c r="C26" s="21">
        <v>4606</v>
      </c>
      <c r="D26" s="21">
        <v>4606</v>
      </c>
    </row>
    <row r="27" spans="1:6" x14ac:dyDescent="0.35">
      <c r="A27" s="18" t="s">
        <v>187</v>
      </c>
      <c r="B27" s="16"/>
      <c r="C27" s="76">
        <f>ROUND(('ОСВ 3 кв'!G60+'ОСВ 3 кв'!G75)/1000,0)-1</f>
        <v>29210</v>
      </c>
      <c r="D27" s="21">
        <f>5830+19+45</f>
        <v>5894</v>
      </c>
    </row>
    <row r="28" spans="1:6" x14ac:dyDescent="0.35">
      <c r="A28" s="18" t="s">
        <v>11</v>
      </c>
      <c r="B28" s="16"/>
      <c r="C28" s="17"/>
      <c r="D28" s="17"/>
    </row>
    <row r="29" spans="1:6" x14ac:dyDescent="0.35">
      <c r="A29" s="14" t="s">
        <v>188</v>
      </c>
      <c r="B29" s="15"/>
      <c r="C29" s="19">
        <f>SUM(C22:C27)</f>
        <v>1281725</v>
      </c>
      <c r="D29" s="19">
        <f>SUM(D22:D27)</f>
        <v>693217</v>
      </c>
    </row>
    <row r="30" spans="1:6" x14ac:dyDescent="0.35">
      <c r="A30" s="14" t="s">
        <v>189</v>
      </c>
      <c r="B30" s="15"/>
      <c r="C30" s="17"/>
      <c r="D30" s="17"/>
    </row>
    <row r="31" spans="1:6" x14ac:dyDescent="0.35">
      <c r="A31" s="18" t="s">
        <v>12</v>
      </c>
      <c r="B31" s="16">
        <v>12</v>
      </c>
      <c r="C31" s="21">
        <v>200000</v>
      </c>
      <c r="D31" s="21">
        <v>200000</v>
      </c>
    </row>
    <row r="32" spans="1:6" ht="28" x14ac:dyDescent="0.35">
      <c r="A32" s="18" t="s">
        <v>190</v>
      </c>
      <c r="B32" s="16"/>
      <c r="C32" s="23">
        <f>SUM(C33:C34)</f>
        <v>418747</v>
      </c>
      <c r="D32" s="23">
        <f>SUM(D33:D34)</f>
        <v>404358</v>
      </c>
    </row>
    <row r="33" spans="1:9" x14ac:dyDescent="0.35">
      <c r="A33" s="18" t="s">
        <v>191</v>
      </c>
      <c r="B33" s="16"/>
      <c r="C33" s="20">
        <v>294358</v>
      </c>
      <c r="D33" s="20">
        <v>263242</v>
      </c>
    </row>
    <row r="34" spans="1:9" x14ac:dyDescent="0.35">
      <c r="A34" s="18" t="s">
        <v>192</v>
      </c>
      <c r="B34" s="16"/>
      <c r="C34" s="20">
        <v>124389</v>
      </c>
      <c r="D34" s="20">
        <f>141126-10</f>
        <v>141116</v>
      </c>
    </row>
    <row r="35" spans="1:9" x14ac:dyDescent="0.35">
      <c r="A35" s="14" t="s">
        <v>126</v>
      </c>
      <c r="B35" s="15"/>
      <c r="C35" s="19">
        <f>C31+C32</f>
        <v>618747</v>
      </c>
      <c r="D35" s="19">
        <f>D31+D32</f>
        <v>604358</v>
      </c>
    </row>
    <row r="36" spans="1:9" x14ac:dyDescent="0.35">
      <c r="A36" s="14" t="s">
        <v>193</v>
      </c>
      <c r="B36" s="15"/>
      <c r="C36" s="19">
        <f>C35+C29</f>
        <v>1900472</v>
      </c>
      <c r="D36" s="19">
        <f>D35+D29</f>
        <v>1297575</v>
      </c>
    </row>
    <row r="37" spans="1:9" x14ac:dyDescent="0.35">
      <c r="A37" s="272"/>
      <c r="B37" s="273"/>
      <c r="C37" s="274"/>
      <c r="D37" s="274"/>
    </row>
    <row r="38" spans="1:9" x14ac:dyDescent="0.35">
      <c r="A38" s="272"/>
      <c r="B38" s="273"/>
      <c r="C38" s="274"/>
      <c r="D38" s="274"/>
    </row>
    <row r="39" spans="1:9" hidden="1" x14ac:dyDescent="0.35">
      <c r="A39" s="12"/>
      <c r="B39" s="12"/>
      <c r="C39" s="77" t="b">
        <f>C20=C36</f>
        <v>1</v>
      </c>
      <c r="D39" s="78" t="b">
        <f>D20=D36</f>
        <v>1</v>
      </c>
      <c r="E39" s="12"/>
      <c r="F39" s="12"/>
      <c r="G39" s="12"/>
      <c r="H39" s="12"/>
      <c r="I39" s="12"/>
    </row>
    <row r="40" spans="1:9" x14ac:dyDescent="0.35">
      <c r="A40" s="7" t="s">
        <v>16</v>
      </c>
      <c r="B40" s="8" t="s">
        <v>17</v>
      </c>
      <c r="C40" s="9"/>
      <c r="D40" s="1"/>
      <c r="E40" s="12"/>
      <c r="F40" s="12"/>
    </row>
    <row r="41" spans="1:9" x14ac:dyDescent="0.35">
      <c r="A41" s="12"/>
      <c r="B41" s="10" t="s">
        <v>18</v>
      </c>
      <c r="D41" s="2" t="s">
        <v>19</v>
      </c>
      <c r="E41" s="12"/>
      <c r="F41" s="12"/>
    </row>
    <row r="42" spans="1:9" x14ac:dyDescent="0.35">
      <c r="A42" s="11" t="s">
        <v>20</v>
      </c>
      <c r="B42" s="9"/>
      <c r="C42" s="9"/>
      <c r="D42" s="3"/>
      <c r="E42" s="12"/>
      <c r="F42" s="12"/>
    </row>
    <row r="43" spans="1:9" x14ac:dyDescent="0.35">
      <c r="A43" s="12"/>
      <c r="B43" s="10" t="s">
        <v>18</v>
      </c>
      <c r="D43" s="2" t="s">
        <v>19</v>
      </c>
      <c r="E43" s="12"/>
      <c r="F43" s="12"/>
    </row>
    <row r="44" spans="1:9" x14ac:dyDescent="0.35">
      <c r="A44" s="12" t="s">
        <v>21</v>
      </c>
      <c r="B44" s="12"/>
      <c r="C44" s="12"/>
      <c r="D44" s="12"/>
      <c r="E44" s="12"/>
      <c r="F44" s="12"/>
      <c r="G44" s="12"/>
      <c r="H44" s="12"/>
      <c r="I44" s="12"/>
    </row>
    <row r="45" spans="1:9" x14ac:dyDescent="0.35">
      <c r="A45" s="12" t="s">
        <v>22</v>
      </c>
      <c r="B45" s="12"/>
      <c r="C45" s="12"/>
      <c r="D45" s="12"/>
      <c r="E45" s="12"/>
      <c r="F45" s="12"/>
      <c r="G45" s="12"/>
      <c r="H45" s="12"/>
      <c r="I45" s="12"/>
    </row>
    <row r="46" spans="1:9" x14ac:dyDescent="0.35">
      <c r="A46" s="12"/>
      <c r="B46" s="12"/>
      <c r="C46" s="12"/>
      <c r="D46" s="12"/>
      <c r="E46" s="12"/>
      <c r="F46" s="12"/>
      <c r="G46" s="12"/>
      <c r="H46" s="12"/>
      <c r="I46" s="12"/>
    </row>
    <row r="47" spans="1:9" x14ac:dyDescent="0.35">
      <c r="A47" s="12"/>
      <c r="B47" s="12"/>
      <c r="C47" s="12"/>
      <c r="D47" s="12"/>
      <c r="E47" s="12"/>
      <c r="F47" s="12"/>
      <c r="G47" s="12"/>
      <c r="H47" s="12"/>
      <c r="I47" s="12"/>
    </row>
    <row r="48" spans="1:9" x14ac:dyDescent="0.35">
      <c r="A48" s="12"/>
      <c r="B48" s="12"/>
      <c r="C48" s="12"/>
      <c r="D48" s="12"/>
      <c r="E48" s="12"/>
      <c r="F48" s="12"/>
      <c r="G48" s="12"/>
      <c r="H48" s="12"/>
      <c r="I48" s="12"/>
    </row>
    <row r="49" spans="1:9" x14ac:dyDescent="0.35">
      <c r="A49" s="12"/>
      <c r="B49" s="12"/>
      <c r="C49" s="12"/>
      <c r="D49" s="12"/>
      <c r="E49" s="12"/>
      <c r="F49" s="12"/>
      <c r="G49" s="12"/>
      <c r="H49" s="12"/>
      <c r="I49" s="12"/>
    </row>
    <row r="50" spans="1:9" x14ac:dyDescent="0.35">
      <c r="A50" s="12"/>
      <c r="B50" s="12"/>
      <c r="C50" s="12"/>
      <c r="D50" s="12"/>
      <c r="E50" s="12"/>
      <c r="F50" s="12"/>
      <c r="G50" s="12"/>
      <c r="H50" s="12"/>
      <c r="I50" s="12"/>
    </row>
    <row r="51" spans="1:9" x14ac:dyDescent="0.35">
      <c r="A51" s="12"/>
      <c r="B51" s="12"/>
      <c r="C51" s="12"/>
      <c r="D51" s="12"/>
      <c r="E51" s="12"/>
      <c r="F51" s="12"/>
      <c r="G51" s="12"/>
      <c r="H51" s="12"/>
      <c r="I51" s="12"/>
    </row>
    <row r="52" spans="1:9" x14ac:dyDescent="0.35">
      <c r="A52" s="12"/>
      <c r="B52" s="12"/>
      <c r="C52" s="12"/>
      <c r="D52" s="12"/>
      <c r="E52" s="12"/>
      <c r="F52" s="12"/>
      <c r="G52" s="12"/>
      <c r="H52" s="12"/>
      <c r="I52" s="12"/>
    </row>
    <row r="53" spans="1:9" x14ac:dyDescent="0.35">
      <c r="A53" s="12"/>
      <c r="B53" s="12"/>
      <c r="C53" s="12"/>
      <c r="D53" s="12"/>
      <c r="E53" s="12"/>
      <c r="F53" s="12"/>
      <c r="G53" s="12"/>
      <c r="H53" s="12"/>
      <c r="I53" s="12"/>
    </row>
    <row r="54" spans="1:9" x14ac:dyDescent="0.35">
      <c r="A54" s="12"/>
      <c r="B54" s="12"/>
      <c r="C54" s="12"/>
      <c r="D54" s="12"/>
      <c r="E54" s="12"/>
      <c r="F54" s="12"/>
      <c r="G54" s="12"/>
      <c r="H54" s="12"/>
      <c r="I54" s="12"/>
    </row>
    <row r="55" spans="1:9" x14ac:dyDescent="0.35">
      <c r="A55" s="12"/>
      <c r="B55" s="12"/>
      <c r="C55" s="12"/>
      <c r="D55" s="12"/>
      <c r="E55" s="12"/>
      <c r="F55" s="12"/>
      <c r="G55" s="12"/>
      <c r="H55" s="12"/>
      <c r="I55" s="12"/>
    </row>
    <row r="56" spans="1:9" x14ac:dyDescent="0.35">
      <c r="A56" s="12"/>
      <c r="B56" s="12"/>
      <c r="C56" s="12"/>
      <c r="D56" s="12"/>
      <c r="E56" s="12"/>
      <c r="F56" s="12"/>
      <c r="G56" s="12"/>
      <c r="H56" s="12"/>
      <c r="I56" s="12"/>
    </row>
    <row r="57" spans="1:9" x14ac:dyDescent="0.35">
      <c r="A57" s="12"/>
      <c r="B57" s="12"/>
      <c r="C57" s="12"/>
      <c r="D57" s="12"/>
      <c r="E57" s="12"/>
      <c r="F57" s="12"/>
      <c r="G57" s="12"/>
      <c r="H57" s="12"/>
      <c r="I57" s="12"/>
    </row>
    <row r="58" spans="1:9" x14ac:dyDescent="0.35">
      <c r="A58" s="12"/>
      <c r="B58" s="12"/>
      <c r="C58" s="12"/>
      <c r="D58" s="12"/>
      <c r="E58" s="12"/>
      <c r="F58" s="12"/>
      <c r="G58" s="12"/>
      <c r="H58" s="12"/>
      <c r="I58" s="12"/>
    </row>
    <row r="59" spans="1:9" x14ac:dyDescent="0.35">
      <c r="A59" s="12"/>
      <c r="B59" s="12"/>
      <c r="C59" s="12"/>
      <c r="D59" s="12"/>
      <c r="E59" s="12"/>
      <c r="F59" s="12"/>
      <c r="G59" s="12"/>
      <c r="H59" s="12"/>
      <c r="I59" s="12"/>
    </row>
    <row r="60" spans="1:9" x14ac:dyDescent="0.35">
      <c r="A60" s="12"/>
      <c r="B60" s="12"/>
      <c r="C60" s="12"/>
      <c r="D60" s="12"/>
      <c r="E60" s="12"/>
      <c r="F60" s="12"/>
      <c r="G60" s="12"/>
      <c r="H60" s="12"/>
      <c r="I60" s="12"/>
    </row>
    <row r="61" spans="1:9" x14ac:dyDescent="0.35">
      <c r="A61" s="12"/>
      <c r="B61" s="12"/>
      <c r="C61" s="12"/>
      <c r="D61" s="12"/>
      <c r="E61" s="12"/>
      <c r="F61" s="12"/>
      <c r="G61" s="12"/>
      <c r="H61" s="12"/>
      <c r="I61" s="12"/>
    </row>
    <row r="62" spans="1:9" x14ac:dyDescent="0.35">
      <c r="A62" s="12"/>
      <c r="B62" s="12"/>
      <c r="C62" s="12"/>
      <c r="D62" s="12"/>
      <c r="E62" s="12"/>
      <c r="F62" s="12"/>
      <c r="G62" s="12"/>
      <c r="H62" s="12"/>
      <c r="I62" s="12"/>
    </row>
    <row r="63" spans="1:9" x14ac:dyDescent="0.35">
      <c r="A63" s="12"/>
      <c r="B63" s="12"/>
      <c r="C63" s="12"/>
      <c r="D63" s="12"/>
      <c r="E63" s="12"/>
      <c r="F63" s="12"/>
      <c r="G63" s="12"/>
      <c r="H63" s="12"/>
      <c r="I63" s="12"/>
    </row>
    <row r="64" spans="1:9" x14ac:dyDescent="0.35">
      <c r="A64" s="12"/>
      <c r="B64" s="12"/>
      <c r="C64" s="12"/>
      <c r="D64" s="12"/>
      <c r="E64" s="12"/>
      <c r="F64" s="12"/>
      <c r="G64" s="12"/>
      <c r="H64" s="12"/>
      <c r="I64" s="12"/>
    </row>
    <row r="65" spans="1:9" x14ac:dyDescent="0.35">
      <c r="A65" s="12"/>
      <c r="B65" s="12"/>
      <c r="C65" s="12"/>
      <c r="D65" s="12"/>
      <c r="E65" s="12"/>
      <c r="F65" s="12"/>
      <c r="G65" s="12"/>
      <c r="H65" s="12"/>
      <c r="I65" s="12"/>
    </row>
    <row r="66" spans="1:9" x14ac:dyDescent="0.35">
      <c r="A66" s="12"/>
      <c r="B66" s="12"/>
      <c r="C66" s="12"/>
      <c r="D66" s="12"/>
      <c r="E66" s="12"/>
      <c r="F66" s="12"/>
      <c r="G66" s="12"/>
      <c r="H66" s="12"/>
      <c r="I66" s="12"/>
    </row>
    <row r="67" spans="1:9" x14ac:dyDescent="0.35">
      <c r="A67" s="12"/>
      <c r="B67" s="12"/>
      <c r="C67" s="12"/>
      <c r="D67" s="12"/>
      <c r="E67" s="12"/>
      <c r="F67" s="12"/>
      <c r="G67" s="12"/>
      <c r="H67" s="12"/>
      <c r="I67" s="12"/>
    </row>
    <row r="68" spans="1:9" x14ac:dyDescent="0.35">
      <c r="A68" s="12"/>
      <c r="B68" s="12"/>
      <c r="C68" s="12"/>
      <c r="D68" s="12"/>
      <c r="E68" s="12"/>
      <c r="F68" s="12"/>
      <c r="G68" s="12"/>
      <c r="H68" s="12"/>
      <c r="I68" s="12"/>
    </row>
    <row r="69" spans="1:9" x14ac:dyDescent="0.35">
      <c r="A69" s="12"/>
      <c r="B69" s="12"/>
      <c r="C69" s="12"/>
      <c r="D69" s="12"/>
      <c r="E69" s="12"/>
      <c r="F69" s="12"/>
      <c r="G69" s="12"/>
      <c r="H69" s="12"/>
      <c r="I69" s="12"/>
    </row>
    <row r="70" spans="1:9" x14ac:dyDescent="0.35">
      <c r="A70" s="12"/>
      <c r="B70" s="12"/>
      <c r="C70" s="12"/>
      <c r="D70" s="12"/>
      <c r="E70" s="12"/>
      <c r="F70" s="12"/>
      <c r="G70" s="12"/>
      <c r="I70" s="12"/>
    </row>
  </sheetData>
  <mergeCells count="3">
    <mergeCell ref="A2:D2"/>
    <mergeCell ref="A1:D1"/>
    <mergeCell ref="A3:D3"/>
  </mergeCells>
  <pageMargins left="0.70866141732283472" right="0.70866141732283472" top="0.86614173228346458" bottom="0.27559055118110237" header="0.19685039370078741" footer="0.19685039370078741"/>
  <pageSetup paperSize="9" scale="89" orientation="portrait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workbookViewId="0">
      <selection activeCell="E14" sqref="E14"/>
    </sheetView>
  </sheetViews>
  <sheetFormatPr defaultColWidth="8.7265625" defaultRowHeight="13" x14ac:dyDescent="0.35"/>
  <cols>
    <col min="1" max="1" width="11.1796875" style="86" customWidth="1"/>
    <col min="2" max="2" width="11.54296875" style="86" customWidth="1"/>
    <col min="3" max="3" width="35.1796875" style="86" customWidth="1"/>
    <col min="4" max="4" width="12.453125" style="86" customWidth="1"/>
    <col min="5" max="6" width="17.7265625" style="87" customWidth="1"/>
    <col min="7" max="16384" width="8.7265625" style="86"/>
  </cols>
  <sheetData>
    <row r="1" spans="1:7" ht="42" customHeight="1" x14ac:dyDescent="0.35">
      <c r="A1" s="316" t="str">
        <f>Ф1!A1</f>
        <v>ТОО "Микрофинансовая организация "Капиталинвест"" 
Промежуточная финансовая отчетность за период с 01.01.2024 г. по 30.09.2024 г.
в тыс. тенге</v>
      </c>
      <c r="B1" s="316"/>
      <c r="C1" s="316"/>
      <c r="D1" s="316"/>
      <c r="E1" s="316"/>
      <c r="F1" s="316"/>
      <c r="G1" s="85"/>
    </row>
    <row r="2" spans="1:7" x14ac:dyDescent="0.35">
      <c r="A2" s="311" t="s">
        <v>170</v>
      </c>
      <c r="B2" s="311"/>
      <c r="C2" s="311"/>
      <c r="D2" s="311"/>
      <c r="E2" s="311"/>
      <c r="F2" s="311"/>
      <c r="G2" s="85"/>
    </row>
    <row r="3" spans="1:7" x14ac:dyDescent="0.35">
      <c r="A3" s="314" t="s">
        <v>427</v>
      </c>
      <c r="B3" s="314"/>
      <c r="C3" s="314"/>
      <c r="D3" s="314"/>
      <c r="E3" s="314"/>
      <c r="F3" s="314"/>
      <c r="G3" s="85"/>
    </row>
    <row r="4" spans="1:7" x14ac:dyDescent="0.35">
      <c r="G4" s="85"/>
    </row>
    <row r="5" spans="1:7" ht="13.5" thickBot="1" x14ac:dyDescent="0.4">
      <c r="A5" s="85"/>
      <c r="B5" s="85"/>
      <c r="C5" s="85"/>
      <c r="D5" s="85"/>
      <c r="E5" s="88"/>
      <c r="F5" s="89" t="s">
        <v>0</v>
      </c>
      <c r="G5" s="85"/>
    </row>
    <row r="6" spans="1:7" ht="39" x14ac:dyDescent="0.35">
      <c r="A6" s="90" t="s">
        <v>23</v>
      </c>
      <c r="B6" s="90"/>
      <c r="C6" s="90"/>
      <c r="D6" s="91" t="s">
        <v>168</v>
      </c>
      <c r="E6" s="111" t="s">
        <v>428</v>
      </c>
      <c r="F6" s="111" t="s">
        <v>429</v>
      </c>
      <c r="G6" s="85"/>
    </row>
    <row r="7" spans="1:7" x14ac:dyDescent="0.35">
      <c r="A7" s="312" t="s">
        <v>2</v>
      </c>
      <c r="B7" s="312"/>
      <c r="C7" s="312"/>
      <c r="D7" s="92" t="s">
        <v>3</v>
      </c>
      <c r="E7" s="92" t="s">
        <v>4</v>
      </c>
      <c r="F7" s="92" t="s">
        <v>5</v>
      </c>
      <c r="G7" s="85"/>
    </row>
    <row r="8" spans="1:7" ht="26.5" customHeight="1" x14ac:dyDescent="0.35">
      <c r="A8" s="310" t="s">
        <v>224</v>
      </c>
      <c r="B8" s="310"/>
      <c r="C8" s="310"/>
      <c r="D8" s="92">
        <v>13</v>
      </c>
      <c r="E8" s="93">
        <v>407851</v>
      </c>
      <c r="F8" s="281">
        <v>216763</v>
      </c>
      <c r="G8" s="85"/>
    </row>
    <row r="9" spans="1:7" ht="25" customHeight="1" x14ac:dyDescent="0.35">
      <c r="A9" s="310" t="s">
        <v>225</v>
      </c>
      <c r="B9" s="310"/>
      <c r="C9" s="310"/>
      <c r="D9" s="92"/>
      <c r="E9" s="93">
        <v>-206107</v>
      </c>
      <c r="F9" s="281">
        <v>-42726</v>
      </c>
      <c r="G9" s="85"/>
    </row>
    <row r="10" spans="1:7" x14ac:dyDescent="0.35">
      <c r="A10" s="313" t="s">
        <v>226</v>
      </c>
      <c r="B10" s="313"/>
      <c r="C10" s="313"/>
      <c r="D10" s="94"/>
      <c r="E10" s="95">
        <f>SUM(E8:E9)</f>
        <v>201744</v>
      </c>
      <c r="F10" s="95">
        <f>SUM(F8:F9)</f>
        <v>174037</v>
      </c>
      <c r="G10" s="85"/>
    </row>
    <row r="11" spans="1:7" x14ac:dyDescent="0.35">
      <c r="A11" s="310" t="s">
        <v>227</v>
      </c>
      <c r="B11" s="310"/>
      <c r="C11" s="310"/>
      <c r="D11" s="92">
        <v>14</v>
      </c>
      <c r="E11" s="93">
        <f>ROUND(('ОСВ 3 кв'!D95-'ОСВ 3 кв'!D107)/1000,0)</f>
        <v>-14056</v>
      </c>
      <c r="F11" s="281">
        <f>13027-11785</f>
        <v>1242</v>
      </c>
      <c r="G11" s="85"/>
    </row>
    <row r="12" spans="1:7" x14ac:dyDescent="0.35">
      <c r="A12" s="313" t="s">
        <v>228</v>
      </c>
      <c r="B12" s="313"/>
      <c r="C12" s="313"/>
      <c r="D12" s="94"/>
      <c r="E12" s="95">
        <f>SUM(E10:E11)</f>
        <v>187688</v>
      </c>
      <c r="F12" s="95">
        <f>SUM(F10:F11)</f>
        <v>175279</v>
      </c>
      <c r="G12" s="85"/>
    </row>
    <row r="13" spans="1:7" x14ac:dyDescent="0.35">
      <c r="A13" s="310" t="s">
        <v>229</v>
      </c>
      <c r="B13" s="310"/>
      <c r="C13" s="310"/>
      <c r="D13" s="92">
        <v>15</v>
      </c>
      <c r="E13" s="93">
        <f>ROUND((-'ОСВ 3 кв'!D99)/1000,0)+1</f>
        <v>-15246</v>
      </c>
      <c r="F13" s="281">
        <v>-11496</v>
      </c>
      <c r="G13" s="85"/>
    </row>
    <row r="14" spans="1:7" x14ac:dyDescent="0.35">
      <c r="A14" s="310" t="s">
        <v>25</v>
      </c>
      <c r="B14" s="310"/>
      <c r="C14" s="310"/>
      <c r="D14" s="92">
        <v>16</v>
      </c>
      <c r="E14" s="93">
        <f>ROUND((-'ОСВ 3 кв'!D100)/1000,0)</f>
        <v>-50113</v>
      </c>
      <c r="F14" s="281">
        <v>-22894</v>
      </c>
      <c r="G14" s="85"/>
    </row>
    <row r="15" spans="1:7" x14ac:dyDescent="0.35">
      <c r="A15" s="310" t="s">
        <v>27</v>
      </c>
      <c r="B15" s="310"/>
      <c r="C15" s="310"/>
      <c r="D15" s="92"/>
      <c r="E15" s="96">
        <f>ROUND('ОСВ 3 кв'!D96/1000,0)</f>
        <v>2060</v>
      </c>
      <c r="F15" s="281">
        <v>2020</v>
      </c>
      <c r="G15" s="85"/>
    </row>
    <row r="16" spans="1:7" x14ac:dyDescent="0.35">
      <c r="A16" s="315" t="s">
        <v>230</v>
      </c>
      <c r="B16" s="315"/>
      <c r="C16" s="315"/>
      <c r="D16" s="91"/>
      <c r="E16" s="97">
        <f>SUM(E12:E15)</f>
        <v>124389</v>
      </c>
      <c r="F16" s="97">
        <f>SUM(F12:F15)</f>
        <v>142909</v>
      </c>
      <c r="G16" s="85"/>
    </row>
    <row r="17" spans="1:7" x14ac:dyDescent="0.35">
      <c r="A17" s="310" t="s">
        <v>231</v>
      </c>
      <c r="B17" s="310"/>
      <c r="C17" s="310"/>
      <c r="D17" s="92"/>
      <c r="E17" s="93" t="s">
        <v>6</v>
      </c>
      <c r="F17" s="93" t="s">
        <v>6</v>
      </c>
      <c r="G17" s="85"/>
    </row>
    <row r="18" spans="1:7" x14ac:dyDescent="0.35">
      <c r="A18" s="315" t="s">
        <v>232</v>
      </c>
      <c r="B18" s="315"/>
      <c r="C18" s="315"/>
      <c r="D18" s="91"/>
      <c r="E18" s="97">
        <f>E16</f>
        <v>124389</v>
      </c>
      <c r="F18" s="97">
        <f>F16</f>
        <v>142909</v>
      </c>
      <c r="G18" s="85"/>
    </row>
    <row r="19" spans="1:7" x14ac:dyDescent="0.35">
      <c r="A19" s="310" t="s">
        <v>28</v>
      </c>
      <c r="B19" s="310"/>
      <c r="C19" s="310"/>
      <c r="D19" s="92"/>
      <c r="E19" s="93" t="s">
        <v>6</v>
      </c>
      <c r="F19" s="93" t="s">
        <v>6</v>
      </c>
      <c r="G19" s="85"/>
    </row>
    <row r="20" spans="1:7" hidden="1" x14ac:dyDescent="0.35">
      <c r="A20" s="315" t="s">
        <v>233</v>
      </c>
      <c r="B20" s="315"/>
      <c r="C20" s="315"/>
      <c r="D20" s="91"/>
      <c r="E20" s="97">
        <f>E18</f>
        <v>124389</v>
      </c>
      <c r="F20" s="97">
        <f>F18</f>
        <v>142909</v>
      </c>
      <c r="G20" s="85"/>
    </row>
    <row r="21" spans="1:7" hidden="1" x14ac:dyDescent="0.35">
      <c r="A21" s="310" t="s">
        <v>29</v>
      </c>
      <c r="B21" s="310"/>
      <c r="C21" s="310"/>
      <c r="D21" s="92"/>
      <c r="E21" s="93" t="s">
        <v>6</v>
      </c>
      <c r="F21" s="93" t="s">
        <v>6</v>
      </c>
      <c r="G21" s="85"/>
    </row>
    <row r="22" spans="1:7" hidden="1" x14ac:dyDescent="0.35">
      <c r="A22" s="310" t="s">
        <v>30</v>
      </c>
      <c r="B22" s="310"/>
      <c r="C22" s="310"/>
      <c r="D22" s="92"/>
      <c r="E22" s="93" t="s">
        <v>6</v>
      </c>
      <c r="F22" s="93" t="s">
        <v>6</v>
      </c>
      <c r="G22" s="85"/>
    </row>
    <row r="23" spans="1:7" hidden="1" x14ac:dyDescent="0.35">
      <c r="A23" s="315" t="s">
        <v>31</v>
      </c>
      <c r="B23" s="315"/>
      <c r="C23" s="315"/>
      <c r="D23" s="91"/>
      <c r="E23" s="97" t="s">
        <v>6</v>
      </c>
      <c r="F23" s="97" t="s">
        <v>6</v>
      </c>
      <c r="G23" s="85"/>
    </row>
    <row r="24" spans="1:7" hidden="1" x14ac:dyDescent="0.35">
      <c r="A24" s="310" t="s">
        <v>32</v>
      </c>
      <c r="B24" s="310"/>
      <c r="C24" s="310"/>
      <c r="D24" s="92"/>
      <c r="E24" s="98" t="s">
        <v>6</v>
      </c>
      <c r="F24" s="98" t="s">
        <v>6</v>
      </c>
      <c r="G24" s="85"/>
    </row>
    <row r="25" spans="1:7" hidden="1" x14ac:dyDescent="0.35">
      <c r="A25" s="310" t="s">
        <v>33</v>
      </c>
      <c r="B25" s="310"/>
      <c r="C25" s="310"/>
      <c r="D25" s="92"/>
      <c r="E25" s="93" t="s">
        <v>6</v>
      </c>
      <c r="F25" s="93" t="s">
        <v>6</v>
      </c>
      <c r="G25" s="85"/>
    </row>
    <row r="26" spans="1:7" hidden="1" x14ac:dyDescent="0.35">
      <c r="A26" s="310" t="s">
        <v>34</v>
      </c>
      <c r="B26" s="310"/>
      <c r="C26" s="310"/>
      <c r="D26" s="92"/>
      <c r="E26" s="93" t="s">
        <v>6</v>
      </c>
      <c r="F26" s="93" t="s">
        <v>6</v>
      </c>
      <c r="G26" s="85"/>
    </row>
    <row r="27" spans="1:7" hidden="1" x14ac:dyDescent="0.35">
      <c r="A27" s="310" t="s">
        <v>35</v>
      </c>
      <c r="B27" s="310"/>
      <c r="C27" s="310"/>
      <c r="D27" s="92"/>
      <c r="E27" s="93" t="s">
        <v>6</v>
      </c>
      <c r="F27" s="93" t="s">
        <v>6</v>
      </c>
      <c r="G27" s="85"/>
    </row>
    <row r="28" spans="1:7" hidden="1" x14ac:dyDescent="0.35">
      <c r="A28" s="310" t="s">
        <v>36</v>
      </c>
      <c r="B28" s="310"/>
      <c r="C28" s="310"/>
      <c r="D28" s="92"/>
      <c r="E28" s="93" t="s">
        <v>6</v>
      </c>
      <c r="F28" s="93" t="s">
        <v>6</v>
      </c>
      <c r="G28" s="85"/>
    </row>
    <row r="29" spans="1:7" hidden="1" x14ac:dyDescent="0.35">
      <c r="A29" s="310" t="s">
        <v>37</v>
      </c>
      <c r="B29" s="310"/>
      <c r="C29" s="310"/>
      <c r="D29" s="92"/>
      <c r="E29" s="93" t="s">
        <v>6</v>
      </c>
      <c r="F29" s="93" t="s">
        <v>6</v>
      </c>
      <c r="G29" s="85"/>
    </row>
    <row r="30" spans="1:7" hidden="1" x14ac:dyDescent="0.35">
      <c r="A30" s="310" t="s">
        <v>38</v>
      </c>
      <c r="B30" s="310"/>
      <c r="C30" s="310"/>
      <c r="D30" s="92"/>
      <c r="E30" s="93" t="s">
        <v>6</v>
      </c>
      <c r="F30" s="93" t="s">
        <v>6</v>
      </c>
      <c r="G30" s="85"/>
    </row>
    <row r="31" spans="1:7" hidden="1" x14ac:dyDescent="0.35">
      <c r="A31" s="310" t="s">
        <v>39</v>
      </c>
      <c r="B31" s="310"/>
      <c r="C31" s="310"/>
      <c r="D31" s="92"/>
      <c r="E31" s="93" t="s">
        <v>6</v>
      </c>
      <c r="F31" s="93" t="s">
        <v>6</v>
      </c>
      <c r="G31" s="85"/>
    </row>
    <row r="32" spans="1:7" hidden="1" x14ac:dyDescent="0.35">
      <c r="A32" s="310" t="s">
        <v>40</v>
      </c>
      <c r="B32" s="310"/>
      <c r="C32" s="310"/>
      <c r="D32" s="92"/>
      <c r="E32" s="93" t="s">
        <v>6</v>
      </c>
      <c r="F32" s="93" t="s">
        <v>6</v>
      </c>
      <c r="G32" s="85"/>
    </row>
    <row r="33" spans="1:7" hidden="1" x14ac:dyDescent="0.35">
      <c r="A33" s="310" t="s">
        <v>41</v>
      </c>
      <c r="B33" s="310"/>
      <c r="C33" s="310"/>
      <c r="D33" s="92"/>
      <c r="E33" s="93" t="s">
        <v>6</v>
      </c>
      <c r="F33" s="93" t="s">
        <v>6</v>
      </c>
      <c r="G33" s="85"/>
    </row>
    <row r="34" spans="1:7" hidden="1" x14ac:dyDescent="0.35">
      <c r="A34" s="315" t="s">
        <v>42</v>
      </c>
      <c r="B34" s="315"/>
      <c r="C34" s="315"/>
      <c r="D34" s="91"/>
      <c r="E34" s="97" t="s">
        <v>6</v>
      </c>
      <c r="F34" s="97" t="s">
        <v>6</v>
      </c>
      <c r="G34" s="85"/>
    </row>
    <row r="35" spans="1:7" hidden="1" x14ac:dyDescent="0.35">
      <c r="A35" s="310" t="s">
        <v>43</v>
      </c>
      <c r="B35" s="310"/>
      <c r="C35" s="310"/>
      <c r="D35" s="92"/>
      <c r="E35" s="93" t="s">
        <v>6</v>
      </c>
      <c r="F35" s="93" t="s">
        <v>6</v>
      </c>
      <c r="G35" s="85"/>
    </row>
    <row r="36" spans="1:7" hidden="1" x14ac:dyDescent="0.35">
      <c r="A36" s="310" t="s">
        <v>34</v>
      </c>
      <c r="B36" s="310"/>
      <c r="C36" s="310"/>
      <c r="D36" s="92"/>
      <c r="E36" s="93" t="s">
        <v>6</v>
      </c>
      <c r="F36" s="93" t="s">
        <v>6</v>
      </c>
      <c r="G36" s="85"/>
    </row>
    <row r="37" spans="1:7" hidden="1" x14ac:dyDescent="0.35">
      <c r="A37" s="310" t="s">
        <v>44</v>
      </c>
      <c r="B37" s="310"/>
      <c r="C37" s="310"/>
      <c r="D37" s="92"/>
      <c r="E37" s="93" t="s">
        <v>6</v>
      </c>
      <c r="F37" s="93" t="s">
        <v>6</v>
      </c>
      <c r="G37" s="85"/>
    </row>
    <row r="38" spans="1:7" hidden="1" x14ac:dyDescent="0.35">
      <c r="A38" s="310" t="s">
        <v>41</v>
      </c>
      <c r="B38" s="310"/>
      <c r="C38" s="310"/>
      <c r="D38" s="92"/>
      <c r="E38" s="93" t="s">
        <v>6</v>
      </c>
      <c r="F38" s="93" t="s">
        <v>6</v>
      </c>
      <c r="G38" s="85"/>
    </row>
    <row r="39" spans="1:7" hidden="1" x14ac:dyDescent="0.35">
      <c r="A39" s="310" t="s">
        <v>45</v>
      </c>
      <c r="B39" s="310"/>
      <c r="C39" s="310"/>
      <c r="D39" s="92"/>
      <c r="E39" s="93" t="s">
        <v>6</v>
      </c>
      <c r="F39" s="93" t="s">
        <v>6</v>
      </c>
      <c r="G39" s="85"/>
    </row>
    <row r="40" spans="1:7" hidden="1" x14ac:dyDescent="0.35">
      <c r="A40" s="315" t="s">
        <v>46</v>
      </c>
      <c r="B40" s="315"/>
      <c r="C40" s="315"/>
      <c r="D40" s="91"/>
      <c r="E40" s="97" t="s">
        <v>6</v>
      </c>
      <c r="F40" s="97" t="s">
        <v>6</v>
      </c>
      <c r="G40" s="85"/>
    </row>
    <row r="41" spans="1:7" x14ac:dyDescent="0.35">
      <c r="A41" s="315" t="s">
        <v>47</v>
      </c>
      <c r="B41" s="315"/>
      <c r="C41" s="315"/>
      <c r="D41" s="91"/>
      <c r="E41" s="97">
        <f>E20</f>
        <v>124389</v>
      </c>
      <c r="F41" s="97">
        <f>F20</f>
        <v>142909</v>
      </c>
      <c r="G41" s="85"/>
    </row>
    <row r="42" spans="1:7" x14ac:dyDescent="0.35">
      <c r="A42" s="99"/>
      <c r="B42" s="99"/>
      <c r="C42" s="99"/>
      <c r="D42" s="100"/>
      <c r="E42" s="101"/>
      <c r="F42" s="101"/>
      <c r="G42" s="85"/>
    </row>
    <row r="43" spans="1:7" x14ac:dyDescent="0.35">
      <c r="A43" s="99"/>
      <c r="B43" s="99"/>
      <c r="C43" s="99"/>
      <c r="D43" s="100"/>
      <c r="E43" s="101"/>
      <c r="F43" s="101"/>
      <c r="G43" s="85"/>
    </row>
    <row r="44" spans="1:7" x14ac:dyDescent="0.35">
      <c r="A44" s="99"/>
      <c r="B44" s="99"/>
      <c r="C44" s="99"/>
      <c r="D44" s="100"/>
      <c r="E44" s="101"/>
      <c r="F44" s="101"/>
      <c r="G44" s="85"/>
    </row>
    <row r="45" spans="1:7" x14ac:dyDescent="0.35">
      <c r="A45" s="99"/>
      <c r="B45" s="99"/>
      <c r="C45" s="99"/>
      <c r="D45" s="100"/>
      <c r="E45" s="101"/>
      <c r="F45" s="101"/>
      <c r="G45" s="85"/>
    </row>
    <row r="46" spans="1:7" x14ac:dyDescent="0.35">
      <c r="A46" s="99"/>
      <c r="B46" s="99"/>
      <c r="C46" s="99"/>
      <c r="D46" s="100"/>
      <c r="E46" s="101"/>
      <c r="F46" s="101"/>
      <c r="G46" s="85"/>
    </row>
    <row r="47" spans="1:7" x14ac:dyDescent="0.35">
      <c r="A47" s="85"/>
      <c r="B47" s="85"/>
      <c r="C47" s="85"/>
      <c r="D47" s="85"/>
      <c r="E47" s="88"/>
      <c r="F47" s="88"/>
      <c r="G47" s="85"/>
    </row>
    <row r="48" spans="1:7" x14ac:dyDescent="0.3">
      <c r="A48" s="102" t="s">
        <v>16</v>
      </c>
      <c r="B48" s="103"/>
      <c r="C48" s="317" t="s">
        <v>17</v>
      </c>
      <c r="D48" s="317"/>
      <c r="E48" s="104"/>
      <c r="F48" s="105"/>
      <c r="G48" s="85"/>
    </row>
    <row r="49" spans="1:7" x14ac:dyDescent="0.3">
      <c r="A49" s="103"/>
      <c r="B49" s="103"/>
      <c r="C49" s="318" t="s">
        <v>18</v>
      </c>
      <c r="D49" s="318"/>
      <c r="E49" s="106"/>
      <c r="F49" s="107" t="s">
        <v>19</v>
      </c>
    </row>
    <row r="50" spans="1:7" x14ac:dyDescent="0.3">
      <c r="A50" s="103"/>
      <c r="B50" s="103"/>
      <c r="C50" s="103"/>
      <c r="D50" s="103"/>
      <c r="E50" s="108"/>
      <c r="F50" s="103"/>
    </row>
    <row r="51" spans="1:7" x14ac:dyDescent="0.3">
      <c r="A51" s="109" t="s">
        <v>20</v>
      </c>
      <c r="B51" s="103"/>
      <c r="C51" s="317"/>
      <c r="D51" s="317"/>
      <c r="E51" s="104"/>
      <c r="F51" s="105"/>
    </row>
    <row r="52" spans="1:7" x14ac:dyDescent="0.3">
      <c r="A52" s="103"/>
      <c r="B52" s="103"/>
      <c r="C52" s="318" t="s">
        <v>18</v>
      </c>
      <c r="D52" s="318"/>
      <c r="E52" s="106"/>
      <c r="F52" s="107" t="s">
        <v>19</v>
      </c>
    </row>
    <row r="53" spans="1:7" x14ac:dyDescent="0.3">
      <c r="A53" s="103"/>
      <c r="B53" s="103"/>
      <c r="C53" s="107"/>
      <c r="D53" s="107"/>
      <c r="E53" s="110"/>
      <c r="F53" s="103"/>
    </row>
    <row r="54" spans="1:7" x14ac:dyDescent="0.3">
      <c r="A54" s="103" t="s">
        <v>21</v>
      </c>
      <c r="B54" s="103"/>
      <c r="C54" s="103"/>
      <c r="D54" s="103"/>
      <c r="E54" s="108"/>
      <c r="F54" s="103"/>
      <c r="G54" s="107"/>
    </row>
    <row r="55" spans="1:7" x14ac:dyDescent="0.3">
      <c r="A55" s="103" t="s">
        <v>22</v>
      </c>
      <c r="B55" s="103"/>
      <c r="C55" s="103"/>
      <c r="D55" s="103"/>
      <c r="E55" s="103"/>
      <c r="F55" s="103"/>
      <c r="G55" s="103"/>
    </row>
    <row r="56" spans="1:7" x14ac:dyDescent="0.3">
      <c r="A56" s="85"/>
      <c r="B56" s="85"/>
      <c r="C56" s="85"/>
      <c r="D56" s="85"/>
      <c r="E56" s="88"/>
      <c r="F56" s="88"/>
      <c r="G56" s="103"/>
    </row>
    <row r="57" spans="1:7" x14ac:dyDescent="0.35">
      <c r="A57" s="85"/>
      <c r="B57" s="85"/>
      <c r="C57" s="85"/>
      <c r="D57" s="85"/>
      <c r="E57" s="88"/>
      <c r="F57" s="88"/>
      <c r="G57" s="85"/>
    </row>
    <row r="58" spans="1:7" x14ac:dyDescent="0.35">
      <c r="A58" s="85"/>
      <c r="B58" s="85"/>
      <c r="C58" s="85"/>
      <c r="D58" s="85"/>
      <c r="E58" s="88"/>
      <c r="F58" s="88"/>
      <c r="G58" s="85"/>
    </row>
    <row r="59" spans="1:7" x14ac:dyDescent="0.35">
      <c r="A59" s="85"/>
      <c r="B59" s="85"/>
      <c r="C59" s="85"/>
      <c r="D59" s="85"/>
      <c r="E59" s="88"/>
      <c r="F59" s="88"/>
      <c r="G59" s="85"/>
    </row>
    <row r="60" spans="1:7" x14ac:dyDescent="0.35">
      <c r="A60" s="85"/>
      <c r="B60" s="85"/>
      <c r="C60" s="85"/>
      <c r="D60" s="85"/>
      <c r="E60" s="88"/>
      <c r="F60" s="88"/>
      <c r="G60" s="85"/>
    </row>
    <row r="61" spans="1:7" x14ac:dyDescent="0.35">
      <c r="A61" s="85"/>
      <c r="B61" s="85"/>
      <c r="C61" s="85"/>
      <c r="D61" s="85"/>
      <c r="E61" s="88"/>
      <c r="F61" s="88"/>
      <c r="G61" s="85"/>
    </row>
    <row r="62" spans="1:7" x14ac:dyDescent="0.35">
      <c r="A62" s="85"/>
      <c r="B62" s="85"/>
      <c r="C62" s="85"/>
      <c r="D62" s="85"/>
      <c r="E62" s="88"/>
      <c r="F62" s="88"/>
      <c r="G62" s="85"/>
    </row>
    <row r="63" spans="1:7" x14ac:dyDescent="0.35">
      <c r="A63" s="85"/>
      <c r="B63" s="85"/>
      <c r="C63" s="85"/>
      <c r="D63" s="85"/>
      <c r="E63" s="88"/>
      <c r="F63" s="88"/>
      <c r="G63" s="85"/>
    </row>
    <row r="64" spans="1:7" x14ac:dyDescent="0.35">
      <c r="A64" s="85"/>
      <c r="B64" s="85"/>
      <c r="C64" s="85"/>
      <c r="D64" s="85"/>
      <c r="E64" s="88"/>
      <c r="F64" s="88"/>
      <c r="G64" s="85"/>
    </row>
    <row r="65" spans="1:7" x14ac:dyDescent="0.35">
      <c r="A65" s="85"/>
      <c r="B65" s="85"/>
      <c r="C65" s="85"/>
      <c r="D65" s="85"/>
      <c r="E65" s="88"/>
      <c r="F65" s="88"/>
      <c r="G65" s="85"/>
    </row>
    <row r="66" spans="1:7" x14ac:dyDescent="0.35">
      <c r="A66" s="85"/>
      <c r="B66" s="85"/>
      <c r="C66" s="85"/>
      <c r="D66" s="85"/>
      <c r="E66" s="88"/>
      <c r="F66" s="88"/>
      <c r="G66" s="85"/>
    </row>
    <row r="67" spans="1:7" x14ac:dyDescent="0.35">
      <c r="A67" s="85"/>
      <c r="B67" s="85"/>
      <c r="C67" s="85"/>
      <c r="D67" s="85"/>
      <c r="E67" s="88"/>
      <c r="F67" s="88"/>
      <c r="G67" s="85"/>
    </row>
    <row r="68" spans="1:7" x14ac:dyDescent="0.35">
      <c r="A68" s="85"/>
      <c r="B68" s="85"/>
      <c r="C68" s="85"/>
      <c r="D68" s="85"/>
      <c r="E68" s="88"/>
      <c r="F68" s="88"/>
      <c r="G68" s="85"/>
    </row>
    <row r="69" spans="1:7" x14ac:dyDescent="0.35">
      <c r="A69" s="85"/>
      <c r="B69" s="85"/>
      <c r="C69" s="85"/>
      <c r="D69" s="85"/>
      <c r="E69" s="88"/>
      <c r="F69" s="88"/>
      <c r="G69" s="85"/>
    </row>
    <row r="70" spans="1:7" x14ac:dyDescent="0.35">
      <c r="A70" s="85"/>
      <c r="B70" s="85"/>
      <c r="C70" s="85"/>
      <c r="D70" s="85"/>
      <c r="E70" s="88"/>
      <c r="F70" s="88"/>
      <c r="G70" s="85"/>
    </row>
    <row r="71" spans="1:7" x14ac:dyDescent="0.35">
      <c r="A71" s="85"/>
      <c r="B71" s="85"/>
      <c r="C71" s="85"/>
      <c r="D71" s="85"/>
      <c r="E71" s="88"/>
      <c r="F71" s="88"/>
      <c r="G71" s="85"/>
    </row>
    <row r="72" spans="1:7" x14ac:dyDescent="0.35">
      <c r="A72" s="85"/>
      <c r="B72" s="85"/>
      <c r="C72" s="85"/>
      <c r="D72" s="85"/>
      <c r="E72" s="88"/>
      <c r="F72" s="88"/>
      <c r="G72" s="85"/>
    </row>
    <row r="73" spans="1:7" x14ac:dyDescent="0.35">
      <c r="A73" s="85"/>
      <c r="B73" s="85"/>
      <c r="C73" s="85"/>
      <c r="D73" s="85"/>
      <c r="E73" s="88"/>
      <c r="F73" s="88"/>
      <c r="G73" s="85"/>
    </row>
    <row r="74" spans="1:7" x14ac:dyDescent="0.35">
      <c r="A74" s="85"/>
      <c r="B74" s="85"/>
      <c r="C74" s="85"/>
      <c r="D74" s="85"/>
      <c r="E74" s="88"/>
      <c r="F74" s="88"/>
      <c r="G74" s="85"/>
    </row>
    <row r="75" spans="1:7" x14ac:dyDescent="0.35">
      <c r="A75" s="85"/>
      <c r="B75" s="85"/>
      <c r="C75" s="85"/>
      <c r="D75" s="85"/>
      <c r="E75" s="88"/>
      <c r="F75" s="88"/>
      <c r="G75" s="85"/>
    </row>
    <row r="76" spans="1:7" x14ac:dyDescent="0.35">
      <c r="A76" s="85"/>
      <c r="B76" s="85"/>
      <c r="C76" s="85"/>
      <c r="D76" s="85"/>
      <c r="E76" s="88"/>
      <c r="F76" s="88"/>
      <c r="G76" s="85"/>
    </row>
    <row r="77" spans="1:7" x14ac:dyDescent="0.35">
      <c r="A77" s="85"/>
      <c r="B77" s="85"/>
      <c r="C77" s="85"/>
      <c r="D77" s="85"/>
      <c r="E77" s="88"/>
      <c r="F77" s="88"/>
      <c r="G77" s="85"/>
    </row>
    <row r="78" spans="1:7" x14ac:dyDescent="0.35">
      <c r="A78" s="85"/>
      <c r="B78" s="85"/>
      <c r="C78" s="85"/>
      <c r="D78" s="85"/>
      <c r="E78" s="88"/>
      <c r="F78" s="88"/>
      <c r="G78" s="85"/>
    </row>
    <row r="79" spans="1:7" x14ac:dyDescent="0.35">
      <c r="A79" s="85"/>
      <c r="B79" s="85"/>
      <c r="C79" s="85"/>
      <c r="D79" s="85"/>
      <c r="E79" s="88"/>
      <c r="F79" s="88"/>
      <c r="G79" s="85"/>
    </row>
    <row r="80" spans="1:7" x14ac:dyDescent="0.35">
      <c r="A80" s="85"/>
      <c r="B80" s="85"/>
      <c r="C80" s="85"/>
      <c r="D80" s="85"/>
      <c r="E80" s="88"/>
      <c r="F80" s="88"/>
      <c r="G80" s="85"/>
    </row>
    <row r="81" spans="1:7" x14ac:dyDescent="0.35">
      <c r="A81" s="85"/>
      <c r="B81" s="85"/>
      <c r="C81" s="85"/>
      <c r="D81" s="85"/>
      <c r="E81" s="88"/>
      <c r="F81" s="88"/>
      <c r="G81" s="85"/>
    </row>
    <row r="82" spans="1:7" x14ac:dyDescent="0.35">
      <c r="A82" s="85"/>
      <c r="B82" s="85"/>
      <c r="C82" s="85"/>
      <c r="D82" s="85"/>
      <c r="E82" s="88"/>
      <c r="F82" s="88"/>
      <c r="G82" s="85"/>
    </row>
    <row r="83" spans="1:7" x14ac:dyDescent="0.35">
      <c r="A83" s="85"/>
      <c r="B83" s="85"/>
      <c r="C83" s="85"/>
      <c r="D83" s="85"/>
      <c r="E83" s="88"/>
      <c r="F83" s="88"/>
      <c r="G83" s="85"/>
    </row>
    <row r="84" spans="1:7" x14ac:dyDescent="0.35">
      <c r="A84" s="85"/>
      <c r="B84" s="85"/>
      <c r="C84" s="85"/>
      <c r="D84" s="85"/>
      <c r="E84" s="88"/>
      <c r="F84" s="88"/>
      <c r="G84" s="85"/>
    </row>
    <row r="85" spans="1:7" x14ac:dyDescent="0.35">
      <c r="A85" s="85"/>
      <c r="B85" s="85"/>
      <c r="C85" s="85"/>
      <c r="D85" s="85"/>
      <c r="E85" s="88"/>
      <c r="F85" s="88"/>
      <c r="G85" s="85"/>
    </row>
    <row r="86" spans="1:7" x14ac:dyDescent="0.35">
      <c r="A86" s="85"/>
      <c r="B86" s="85"/>
      <c r="C86" s="85"/>
      <c r="D86" s="85"/>
      <c r="E86" s="88"/>
      <c r="F86" s="88"/>
      <c r="G86" s="85"/>
    </row>
    <row r="87" spans="1:7" x14ac:dyDescent="0.35">
      <c r="A87" s="85"/>
      <c r="B87" s="85"/>
      <c r="C87" s="85"/>
      <c r="D87" s="85"/>
      <c r="E87" s="88"/>
      <c r="F87" s="88"/>
      <c r="G87" s="85"/>
    </row>
    <row r="88" spans="1:7" x14ac:dyDescent="0.35">
      <c r="A88" s="85"/>
      <c r="B88" s="85"/>
      <c r="C88" s="85"/>
      <c r="D88" s="85"/>
      <c r="E88" s="88"/>
      <c r="F88" s="88"/>
      <c r="G88" s="85"/>
    </row>
    <row r="89" spans="1:7" x14ac:dyDescent="0.35">
      <c r="A89" s="85"/>
      <c r="B89" s="85"/>
      <c r="C89" s="85"/>
      <c r="D89" s="85"/>
      <c r="E89" s="88"/>
      <c r="F89" s="88"/>
      <c r="G89" s="85"/>
    </row>
    <row r="90" spans="1:7" x14ac:dyDescent="0.35">
      <c r="A90" s="85"/>
      <c r="B90" s="85"/>
      <c r="C90" s="85"/>
      <c r="D90" s="85"/>
      <c r="E90" s="88"/>
      <c r="F90" s="88"/>
      <c r="G90" s="85"/>
    </row>
    <row r="91" spans="1:7" x14ac:dyDescent="0.35">
      <c r="A91" s="85"/>
      <c r="B91" s="85"/>
      <c r="C91" s="85"/>
      <c r="D91" s="85"/>
      <c r="E91" s="88"/>
      <c r="F91" s="88"/>
      <c r="G91" s="85"/>
    </row>
    <row r="92" spans="1:7" x14ac:dyDescent="0.35">
      <c r="A92" s="85"/>
      <c r="B92" s="85"/>
      <c r="C92" s="85"/>
      <c r="D92" s="85"/>
      <c r="E92" s="88"/>
      <c r="F92" s="88"/>
      <c r="G92" s="85"/>
    </row>
    <row r="93" spans="1:7" x14ac:dyDescent="0.35">
      <c r="A93" s="85"/>
      <c r="B93" s="85"/>
      <c r="C93" s="85"/>
      <c r="D93" s="85"/>
      <c r="E93" s="88"/>
      <c r="F93" s="88"/>
      <c r="G93" s="85"/>
    </row>
    <row r="94" spans="1:7" x14ac:dyDescent="0.35">
      <c r="A94" s="85"/>
      <c r="B94" s="85"/>
      <c r="C94" s="85"/>
      <c r="D94" s="85"/>
      <c r="E94" s="88"/>
      <c r="F94" s="88"/>
      <c r="G94" s="85"/>
    </row>
    <row r="95" spans="1:7" x14ac:dyDescent="0.35">
      <c r="A95" s="85"/>
      <c r="B95" s="85"/>
      <c r="C95" s="85"/>
      <c r="D95" s="85"/>
      <c r="E95" s="88"/>
      <c r="F95" s="88"/>
      <c r="G95" s="85"/>
    </row>
    <row r="96" spans="1:7" x14ac:dyDescent="0.35">
      <c r="A96" s="85"/>
      <c r="B96" s="85"/>
      <c r="C96" s="85"/>
      <c r="D96" s="85"/>
      <c r="E96" s="88"/>
      <c r="F96" s="88"/>
      <c r="G96" s="85"/>
    </row>
    <row r="97" spans="1:7" x14ac:dyDescent="0.35">
      <c r="A97" s="85"/>
      <c r="B97" s="85"/>
      <c r="C97" s="85"/>
      <c r="D97" s="85"/>
      <c r="E97" s="88"/>
      <c r="F97" s="88"/>
      <c r="G97" s="85"/>
    </row>
    <row r="98" spans="1:7" x14ac:dyDescent="0.35">
      <c r="A98" s="85"/>
      <c r="B98" s="85"/>
      <c r="C98" s="85"/>
      <c r="D98" s="85"/>
      <c r="E98" s="88"/>
      <c r="F98" s="88"/>
      <c r="G98" s="85"/>
    </row>
    <row r="99" spans="1:7" x14ac:dyDescent="0.35">
      <c r="G99" s="85"/>
    </row>
  </sheetData>
  <mergeCells count="42">
    <mergeCell ref="A1:F1"/>
    <mergeCell ref="C48:D48"/>
    <mergeCell ref="C49:D49"/>
    <mergeCell ref="C51:D51"/>
    <mergeCell ref="C52:D52"/>
    <mergeCell ref="A36:C36"/>
    <mergeCell ref="A37:C37"/>
    <mergeCell ref="A38:C38"/>
    <mergeCell ref="A39:C39"/>
    <mergeCell ref="A40:C40"/>
    <mergeCell ref="A41:C41"/>
    <mergeCell ref="A33:C33"/>
    <mergeCell ref="A34:C34"/>
    <mergeCell ref="A25:C25"/>
    <mergeCell ref="A26:C26"/>
    <mergeCell ref="A27:C27"/>
    <mergeCell ref="A35:C35"/>
    <mergeCell ref="A24:C24"/>
    <mergeCell ref="A15:C15"/>
    <mergeCell ref="A11:C11"/>
    <mergeCell ref="A16:C16"/>
    <mergeCell ref="A17:C17"/>
    <mergeCell ref="A18:C18"/>
    <mergeCell ref="A19:C19"/>
    <mergeCell ref="A20:C20"/>
    <mergeCell ref="A21:C21"/>
    <mergeCell ref="A22:C22"/>
    <mergeCell ref="A23:C23"/>
    <mergeCell ref="A30:C30"/>
    <mergeCell ref="A31:C31"/>
    <mergeCell ref="A32:C32"/>
    <mergeCell ref="A12:C12"/>
    <mergeCell ref="A28:C28"/>
    <mergeCell ref="A29:C29"/>
    <mergeCell ref="A2:F2"/>
    <mergeCell ref="A9:C9"/>
    <mergeCell ref="A7:C7"/>
    <mergeCell ref="A13:C13"/>
    <mergeCell ref="A10:C10"/>
    <mergeCell ref="A8:C8"/>
    <mergeCell ref="A3:F3"/>
    <mergeCell ref="A14:C14"/>
  </mergeCells>
  <pageMargins left="0.70866141732283472" right="0.70866141732283472" top="0.9055118110236221" bottom="0.74803149606299213" header="0.31496062992125984" footer="0.31496062992125984"/>
  <pageSetup paperSize="9" scale="79" orientation="portrait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09"/>
  <sheetViews>
    <sheetView topLeftCell="A70" workbookViewId="0">
      <selection activeCell="F16" sqref="F1:F1048576"/>
    </sheetView>
  </sheetViews>
  <sheetFormatPr defaultColWidth="8.7265625" defaultRowHeight="13" x14ac:dyDescent="0.35"/>
  <cols>
    <col min="1" max="2" width="8.7265625" style="139"/>
    <col min="3" max="3" width="37.1796875" style="139" customWidth="1"/>
    <col min="4" max="5" width="21.81640625" style="140" customWidth="1"/>
    <col min="6" max="6" width="8.7265625" style="86" hidden="1" customWidth="1"/>
    <col min="7" max="7" width="8.453125" style="86" hidden="1" customWidth="1"/>
    <col min="8" max="8" width="8.7265625" style="86" hidden="1" customWidth="1"/>
    <col min="9" max="10" width="16.90625" style="86" hidden="1" customWidth="1"/>
    <col min="11" max="11" width="13.54296875" style="86" hidden="1" customWidth="1"/>
    <col min="12" max="14" width="8.7265625" style="86" hidden="1" customWidth="1"/>
    <col min="15" max="15" width="14" style="86" hidden="1" customWidth="1"/>
    <col min="16" max="16" width="13.6328125" style="86" hidden="1" customWidth="1"/>
    <col min="17" max="17" width="14.36328125" style="86" hidden="1" customWidth="1"/>
    <col min="18" max="18" width="0" style="86" hidden="1" customWidth="1"/>
    <col min="19" max="16384" width="8.7265625" style="86"/>
  </cols>
  <sheetData>
    <row r="1" spans="1:17" ht="54" customHeight="1" x14ac:dyDescent="0.35">
      <c r="A1" s="342" t="str">
        <f>Ф1!A1</f>
        <v>ТОО "Микрофинансовая организация "Капиталинвест"" 
Промежуточная финансовая отчетность за период с 01.01.2024 г. по 30.09.2024 г.
в тыс. тенге</v>
      </c>
      <c r="B1" s="342"/>
      <c r="C1" s="342"/>
      <c r="D1" s="342"/>
      <c r="E1" s="342"/>
      <c r="F1" s="112"/>
    </row>
    <row r="2" spans="1:17" x14ac:dyDescent="0.35">
      <c r="A2" s="324" t="s">
        <v>171</v>
      </c>
      <c r="B2" s="324"/>
      <c r="C2" s="324"/>
      <c r="D2" s="324"/>
      <c r="E2" s="324"/>
      <c r="F2" s="324"/>
    </row>
    <row r="3" spans="1:17" x14ac:dyDescent="0.35">
      <c r="A3" s="323" t="str">
        <f>Ф2!A3</f>
        <v>за девять месяцев, закончившихся 30 сентября 2024 года</v>
      </c>
      <c r="B3" s="323"/>
      <c r="C3" s="323"/>
      <c r="D3" s="323"/>
      <c r="E3" s="323"/>
      <c r="F3" s="114"/>
    </row>
    <row r="4" spans="1:17" ht="16.5" customHeight="1" thickBot="1" x14ac:dyDescent="0.35">
      <c r="A4" s="115"/>
      <c r="B4" s="115"/>
      <c r="C4" s="115"/>
      <c r="D4" s="116"/>
      <c r="E4" s="117" t="s">
        <v>0</v>
      </c>
      <c r="F4" s="113"/>
      <c r="G4" s="141" t="s">
        <v>78</v>
      </c>
      <c r="H4" s="142"/>
      <c r="I4" s="142"/>
      <c r="J4" s="142"/>
      <c r="M4" s="160" t="s">
        <v>78</v>
      </c>
      <c r="N4" s="159"/>
      <c r="O4" s="142"/>
      <c r="P4" s="142"/>
    </row>
    <row r="5" spans="1:17" ht="39" x14ac:dyDescent="0.35">
      <c r="A5" s="325" t="s">
        <v>23</v>
      </c>
      <c r="B5" s="325"/>
      <c r="C5" s="325"/>
      <c r="D5" s="111" t="str">
        <f>Ф2!E6</f>
        <v>За девять месяцев, закончившихся 30 сентября 2024 года</v>
      </c>
      <c r="E5" s="111" t="str">
        <f>Ф2!F6</f>
        <v>За девять месяцев, закончившихся 30 сентября 2023 года</v>
      </c>
      <c r="F5" s="113"/>
      <c r="G5" s="155" t="s">
        <v>440</v>
      </c>
      <c r="H5" s="156"/>
      <c r="I5" s="156"/>
      <c r="J5" s="142"/>
      <c r="M5" s="161" t="s">
        <v>444</v>
      </c>
      <c r="N5" s="159"/>
      <c r="O5" s="142"/>
      <c r="P5" s="142"/>
    </row>
    <row r="6" spans="1:17" x14ac:dyDescent="0.2">
      <c r="A6" s="326" t="s">
        <v>2</v>
      </c>
      <c r="B6" s="326"/>
      <c r="C6" s="326"/>
      <c r="D6" s="118" t="s">
        <v>4</v>
      </c>
      <c r="E6" s="118" t="s">
        <v>5</v>
      </c>
      <c r="F6" s="113"/>
      <c r="G6" s="156"/>
      <c r="H6" s="156"/>
      <c r="I6" s="156"/>
      <c r="J6" s="142"/>
      <c r="M6" s="159"/>
      <c r="N6" s="159"/>
      <c r="O6" s="142"/>
      <c r="P6" s="142"/>
    </row>
    <row r="7" spans="1:17" ht="14.5" customHeight="1" x14ac:dyDescent="0.2">
      <c r="A7" s="327" t="s">
        <v>48</v>
      </c>
      <c r="B7" s="327"/>
      <c r="C7" s="327"/>
      <c r="D7" s="327"/>
      <c r="E7" s="327"/>
      <c r="F7" s="113"/>
      <c r="G7" s="157" t="s">
        <v>79</v>
      </c>
      <c r="H7" s="157" t="s">
        <v>80</v>
      </c>
      <c r="I7" s="156"/>
      <c r="J7" s="142"/>
      <c r="M7" s="162" t="s">
        <v>79</v>
      </c>
      <c r="N7" s="162" t="s">
        <v>80</v>
      </c>
      <c r="O7" s="142"/>
      <c r="P7" s="142"/>
    </row>
    <row r="8" spans="1:17" s="121" customFormat="1" ht="14.5" customHeight="1" x14ac:dyDescent="0.2">
      <c r="A8" s="322" t="s">
        <v>166</v>
      </c>
      <c r="B8" s="322"/>
      <c r="C8" s="322"/>
      <c r="D8" s="119">
        <f>SUM(D10:D15)</f>
        <v>1866702</v>
      </c>
      <c r="E8" s="119">
        <f>SUM(E10:E15)</f>
        <v>680501</v>
      </c>
      <c r="F8" s="120"/>
      <c r="G8" s="142"/>
      <c r="H8" s="142"/>
      <c r="I8" s="142"/>
      <c r="J8" s="142"/>
      <c r="M8" s="142"/>
      <c r="N8" s="142"/>
      <c r="O8" s="142"/>
      <c r="P8" s="142"/>
    </row>
    <row r="9" spans="1:17" x14ac:dyDescent="0.35">
      <c r="A9" s="328" t="s">
        <v>32</v>
      </c>
      <c r="B9" s="323"/>
      <c r="C9" s="329"/>
      <c r="D9" s="122"/>
      <c r="E9" s="122"/>
      <c r="F9" s="113"/>
      <c r="G9" s="143" t="s">
        <v>81</v>
      </c>
      <c r="H9" s="143" t="s">
        <v>82</v>
      </c>
      <c r="I9" s="143" t="s">
        <v>83</v>
      </c>
      <c r="J9" s="143" t="s">
        <v>84</v>
      </c>
      <c r="K9" s="123"/>
      <c r="M9" s="143" t="s">
        <v>81</v>
      </c>
      <c r="N9" s="143" t="s">
        <v>82</v>
      </c>
      <c r="O9" s="143" t="s">
        <v>83</v>
      </c>
      <c r="P9" s="143" t="s">
        <v>84</v>
      </c>
    </row>
    <row r="10" spans="1:17" ht="25.5" customHeight="1" x14ac:dyDescent="0.35">
      <c r="A10" s="319" t="s">
        <v>221</v>
      </c>
      <c r="B10" s="320"/>
      <c r="C10" s="321"/>
      <c r="D10" s="289">
        <f>ROUND((I22+O13+O23)/1000,0)</f>
        <v>1490182</v>
      </c>
      <c r="E10" s="282">
        <f>663865-208666</f>
        <v>455199</v>
      </c>
      <c r="F10" s="113"/>
      <c r="G10" s="144" t="s">
        <v>85</v>
      </c>
      <c r="H10" s="145" t="s">
        <v>86</v>
      </c>
      <c r="I10" s="146">
        <v>201060304.09</v>
      </c>
      <c r="J10" s="147"/>
      <c r="K10" s="123"/>
      <c r="M10" s="144" t="s">
        <v>104</v>
      </c>
      <c r="N10" s="145" t="s">
        <v>86</v>
      </c>
      <c r="O10" s="147"/>
      <c r="P10" s="146">
        <v>5830138.4900000002</v>
      </c>
    </row>
    <row r="11" spans="1:17" ht="14.5" customHeight="1" x14ac:dyDescent="0.35">
      <c r="A11" s="319" t="s">
        <v>49</v>
      </c>
      <c r="B11" s="320"/>
      <c r="C11" s="321"/>
      <c r="D11" s="289" t="s">
        <v>6</v>
      </c>
      <c r="E11" s="122" t="s">
        <v>6</v>
      </c>
      <c r="F11" s="124"/>
      <c r="G11" s="148"/>
      <c r="H11" s="149" t="s">
        <v>85</v>
      </c>
      <c r="I11" s="150">
        <v>10445727299.490002</v>
      </c>
      <c r="J11" s="150">
        <v>10445727299.490002</v>
      </c>
      <c r="K11" s="123"/>
      <c r="M11" s="148"/>
      <c r="N11" s="149" t="s">
        <v>85</v>
      </c>
      <c r="O11" s="150">
        <v>4920001</v>
      </c>
      <c r="P11" s="150">
        <v>1733013171</v>
      </c>
    </row>
    <row r="12" spans="1:17" ht="14.5" customHeight="1" x14ac:dyDescent="0.35">
      <c r="A12" s="319" t="s">
        <v>50</v>
      </c>
      <c r="B12" s="320"/>
      <c r="C12" s="321"/>
      <c r="D12" s="289">
        <f>ROUND(O33/1000,0)</f>
        <v>22667</v>
      </c>
      <c r="E12" s="122" t="s">
        <v>6</v>
      </c>
      <c r="F12" s="113"/>
      <c r="G12" s="151"/>
      <c r="H12" s="149" t="s">
        <v>87</v>
      </c>
      <c r="I12" s="150">
        <v>4804100027</v>
      </c>
      <c r="J12" s="150">
        <v>5490953663.9800005</v>
      </c>
      <c r="K12" s="123"/>
      <c r="M12" s="151"/>
      <c r="N12" s="149" t="s">
        <v>87</v>
      </c>
      <c r="O12" s="150">
        <v>4920001</v>
      </c>
      <c r="P12" s="150">
        <v>1733013171</v>
      </c>
      <c r="Q12" s="123">
        <f>P12-O12</f>
        <v>1728093170</v>
      </c>
    </row>
    <row r="13" spans="1:17" ht="14.5" customHeight="1" x14ac:dyDescent="0.35">
      <c r="A13" s="319" t="s">
        <v>51</v>
      </c>
      <c r="B13" s="320"/>
      <c r="C13" s="321"/>
      <c r="D13" s="289" t="s">
        <v>6</v>
      </c>
      <c r="E13" s="122" t="s">
        <v>6</v>
      </c>
      <c r="F13" s="113"/>
      <c r="G13" s="151"/>
      <c r="H13" s="149" t="s">
        <v>88</v>
      </c>
      <c r="I13" s="150">
        <v>3162495400</v>
      </c>
      <c r="J13" s="150">
        <v>3068240027</v>
      </c>
      <c r="K13" s="123"/>
      <c r="M13" s="148"/>
      <c r="N13" s="149" t="s">
        <v>194</v>
      </c>
      <c r="O13" s="150">
        <v>690857733.49000001</v>
      </c>
      <c r="P13" s="153"/>
    </row>
    <row r="14" spans="1:17" ht="30.65" customHeight="1" x14ac:dyDescent="0.35">
      <c r="A14" s="319" t="s">
        <v>215</v>
      </c>
      <c r="B14" s="320"/>
      <c r="C14" s="321"/>
      <c r="D14" s="289">
        <f>ROUND((O17+O26+I19)/1000,0)</f>
        <v>353703</v>
      </c>
      <c r="E14" s="282">
        <f>436+208666</f>
        <v>209102</v>
      </c>
      <c r="F14" s="113"/>
      <c r="G14" s="151"/>
      <c r="H14" s="149" t="s">
        <v>340</v>
      </c>
      <c r="I14" s="150">
        <v>2479131872.4899998</v>
      </c>
      <c r="J14" s="150">
        <v>1886533608.5100002</v>
      </c>
      <c r="K14" s="123"/>
      <c r="M14" s="151"/>
      <c r="N14" s="149" t="s">
        <v>195</v>
      </c>
      <c r="O14" s="150">
        <v>690857733.49000001</v>
      </c>
      <c r="P14" s="153"/>
    </row>
    <row r="15" spans="1:17" x14ac:dyDescent="0.35">
      <c r="A15" s="319" t="s">
        <v>53</v>
      </c>
      <c r="B15" s="320"/>
      <c r="C15" s="321"/>
      <c r="D15" s="289">
        <f>ROUND(I52/1000,0)</f>
        <v>150</v>
      </c>
      <c r="E15" s="282">
        <v>16200</v>
      </c>
      <c r="F15" s="113"/>
      <c r="G15" s="148"/>
      <c r="H15" s="149" t="s">
        <v>194</v>
      </c>
      <c r="I15" s="285">
        <v>8000000</v>
      </c>
      <c r="J15" s="285">
        <v>765020000</v>
      </c>
      <c r="K15" s="287">
        <f>ROUND((J15-I15)/1000,0)</f>
        <v>757020</v>
      </c>
      <c r="M15" s="152"/>
      <c r="N15" s="149" t="s">
        <v>445</v>
      </c>
      <c r="O15" s="150">
        <v>16604050.49</v>
      </c>
      <c r="P15" s="153"/>
    </row>
    <row r="16" spans="1:17" s="121" customFormat="1" x14ac:dyDescent="0.35">
      <c r="A16" s="322" t="s">
        <v>165</v>
      </c>
      <c r="B16" s="322"/>
      <c r="C16" s="322"/>
      <c r="D16" s="126">
        <f>D26-D8</f>
        <v>-2473776</v>
      </c>
      <c r="E16" s="126">
        <f>E26-E8</f>
        <v>-888536</v>
      </c>
      <c r="F16" s="120"/>
      <c r="G16" s="151"/>
      <c r="H16" s="149" t="s">
        <v>195</v>
      </c>
      <c r="I16" s="150">
        <v>8000000</v>
      </c>
      <c r="J16" s="150">
        <v>765020000</v>
      </c>
      <c r="K16" s="164"/>
      <c r="M16" s="152"/>
      <c r="N16" s="149" t="s">
        <v>89</v>
      </c>
      <c r="O16" s="150">
        <v>674253683</v>
      </c>
      <c r="P16" s="153"/>
    </row>
    <row r="17" spans="1:16" x14ac:dyDescent="0.35">
      <c r="A17" s="330" t="s">
        <v>32</v>
      </c>
      <c r="B17" s="330"/>
      <c r="C17" s="330"/>
      <c r="D17" s="122"/>
      <c r="E17" s="122"/>
      <c r="F17" s="113"/>
      <c r="G17" s="152"/>
      <c r="H17" s="149" t="s">
        <v>89</v>
      </c>
      <c r="I17" s="150">
        <v>8000000</v>
      </c>
      <c r="J17" s="150">
        <v>765020000</v>
      </c>
      <c r="K17" s="130"/>
      <c r="M17" s="148"/>
      <c r="N17" s="149" t="s">
        <v>196</v>
      </c>
      <c r="O17" s="150">
        <v>132026752</v>
      </c>
      <c r="P17" s="153"/>
    </row>
    <row r="18" spans="1:16" x14ac:dyDescent="0.35">
      <c r="A18" s="319" t="s">
        <v>54</v>
      </c>
      <c r="B18" s="320"/>
      <c r="C18" s="321"/>
      <c r="D18" s="289">
        <f>ROUND((Q48+J48)/1000*-1,0)-D44</f>
        <v>-18009</v>
      </c>
      <c r="E18" s="282">
        <f>-1858-6722</f>
        <v>-8580</v>
      </c>
      <c r="F18" s="113"/>
      <c r="G18" s="148"/>
      <c r="H18" s="149" t="s">
        <v>196</v>
      </c>
      <c r="I18" s="150">
        <v>138458906.21000001</v>
      </c>
      <c r="J18" s="150">
        <v>537696000</v>
      </c>
      <c r="K18" s="130"/>
      <c r="M18" s="151"/>
      <c r="N18" s="149" t="s">
        <v>197</v>
      </c>
      <c r="O18" s="150">
        <v>129966521</v>
      </c>
      <c r="P18" s="153"/>
    </row>
    <row r="19" spans="1:16" ht="14.5" customHeight="1" x14ac:dyDescent="0.35">
      <c r="A19" s="319" t="s">
        <v>213</v>
      </c>
      <c r="B19" s="320"/>
      <c r="C19" s="321"/>
      <c r="D19" s="289">
        <f>(K15+K21+K28+K31)*-1</f>
        <v>-2354052</v>
      </c>
      <c r="E19" s="282">
        <f>-255275-71200-491300</f>
        <v>-817775</v>
      </c>
      <c r="F19" s="113"/>
      <c r="G19" s="151"/>
      <c r="H19" s="149" t="s">
        <v>197</v>
      </c>
      <c r="I19" s="285">
        <v>5031906.21</v>
      </c>
      <c r="J19" s="153"/>
      <c r="K19" s="130"/>
      <c r="M19" s="152"/>
      <c r="N19" s="149" t="s">
        <v>446</v>
      </c>
      <c r="O19" s="150">
        <v>57698823</v>
      </c>
      <c r="P19" s="153"/>
    </row>
    <row r="20" spans="1:16" x14ac:dyDescent="0.35">
      <c r="A20" s="319" t="s">
        <v>55</v>
      </c>
      <c r="B20" s="320"/>
      <c r="C20" s="321"/>
      <c r="D20" s="289">
        <f>-K49</f>
        <v>-33841</v>
      </c>
      <c r="E20" s="282">
        <v>-19746</v>
      </c>
      <c r="F20" s="113"/>
      <c r="G20" s="152"/>
      <c r="H20" s="149" t="s">
        <v>90</v>
      </c>
      <c r="I20" s="285">
        <v>5031906.21</v>
      </c>
      <c r="J20" s="153"/>
      <c r="K20" s="130"/>
      <c r="M20" s="152"/>
      <c r="N20" s="149" t="s">
        <v>447</v>
      </c>
      <c r="O20" s="150">
        <v>72267698</v>
      </c>
      <c r="P20" s="153"/>
    </row>
    <row r="21" spans="1:16" ht="14.5" customHeight="1" x14ac:dyDescent="0.35">
      <c r="A21" s="319" t="s">
        <v>56</v>
      </c>
      <c r="B21" s="320"/>
      <c r="C21" s="321"/>
      <c r="D21" s="122">
        <f>ROUND(-J50/1000,0)</f>
        <v>-20516</v>
      </c>
      <c r="E21" s="282">
        <v>-11149</v>
      </c>
      <c r="F21" s="113" t="s">
        <v>26</v>
      </c>
      <c r="G21" s="151"/>
      <c r="H21" s="149" t="s">
        <v>198</v>
      </c>
      <c r="I21" s="285">
        <v>133427000</v>
      </c>
      <c r="J21" s="285">
        <v>537696000</v>
      </c>
      <c r="K21" s="287">
        <f>ROUND(J21/1000,0)</f>
        <v>537696</v>
      </c>
      <c r="M21" s="151"/>
      <c r="N21" s="149" t="s">
        <v>198</v>
      </c>
      <c r="O21" s="150">
        <v>2060231</v>
      </c>
      <c r="P21" s="153"/>
    </row>
    <row r="22" spans="1:16" ht="14.5" customHeight="1" x14ac:dyDescent="0.35">
      <c r="A22" s="319" t="s">
        <v>57</v>
      </c>
      <c r="B22" s="320"/>
      <c r="C22" s="321"/>
      <c r="D22" s="122"/>
      <c r="E22" s="282"/>
      <c r="F22" s="113"/>
      <c r="G22" s="152"/>
      <c r="H22" s="149" t="s">
        <v>91</v>
      </c>
      <c r="I22" s="285">
        <v>133427000</v>
      </c>
      <c r="J22" s="285">
        <v>537696000</v>
      </c>
      <c r="K22" s="123"/>
      <c r="M22" s="152"/>
      <c r="N22" s="149" t="s">
        <v>448</v>
      </c>
      <c r="O22" s="150">
        <v>2060231</v>
      </c>
      <c r="P22" s="153"/>
    </row>
    <row r="23" spans="1:16" x14ac:dyDescent="0.35">
      <c r="A23" s="319" t="s">
        <v>58</v>
      </c>
      <c r="B23" s="320"/>
      <c r="C23" s="321"/>
      <c r="D23" s="290">
        <f>ROUND(-(J23+J37)/1000,0)+1</f>
        <v>-41289</v>
      </c>
      <c r="E23" s="283">
        <v>-26559</v>
      </c>
      <c r="F23" s="113"/>
      <c r="G23" s="148"/>
      <c r="H23" s="149" t="s">
        <v>199</v>
      </c>
      <c r="I23" s="153"/>
      <c r="J23" s="288">
        <v>2300</v>
      </c>
      <c r="K23" s="123"/>
      <c r="M23" s="148"/>
      <c r="N23" s="149" t="s">
        <v>201</v>
      </c>
      <c r="O23" s="150">
        <v>665896815</v>
      </c>
      <c r="P23" s="153"/>
    </row>
    <row r="24" spans="1:16" x14ac:dyDescent="0.35">
      <c r="A24" s="319" t="s">
        <v>214</v>
      </c>
      <c r="B24" s="320"/>
      <c r="C24" s="321"/>
      <c r="D24" s="290">
        <f>P54</f>
        <v>-843</v>
      </c>
      <c r="E24" s="283">
        <f>-8561+6722</f>
        <v>-1839</v>
      </c>
      <c r="F24" s="113"/>
      <c r="G24" s="151"/>
      <c r="H24" s="149" t="s">
        <v>341</v>
      </c>
      <c r="I24" s="153"/>
      <c r="J24" s="288">
        <v>1000</v>
      </c>
      <c r="K24" s="123"/>
      <c r="M24" s="151"/>
      <c r="N24" s="149" t="s">
        <v>202</v>
      </c>
      <c r="O24" s="150">
        <v>665896815</v>
      </c>
      <c r="P24" s="153"/>
    </row>
    <row r="25" spans="1:16" ht="24" customHeight="1" x14ac:dyDescent="0.35">
      <c r="A25" s="319" t="s">
        <v>59</v>
      </c>
      <c r="B25" s="320"/>
      <c r="C25" s="321"/>
      <c r="D25" s="128">
        <f>D16-D18-D20-D23-D19-D21-D24-D22</f>
        <v>-5226</v>
      </c>
      <c r="E25" s="128">
        <f>E16-E18-E20-E23-E19-E21-E24</f>
        <v>-2888</v>
      </c>
      <c r="F25" s="166">
        <f>K37</f>
        <v>41288</v>
      </c>
      <c r="G25" s="151"/>
      <c r="H25" s="149" t="s">
        <v>92</v>
      </c>
      <c r="I25" s="153"/>
      <c r="J25" s="288">
        <v>1300</v>
      </c>
      <c r="K25" s="125"/>
      <c r="M25" s="152"/>
      <c r="N25" s="149" t="s">
        <v>94</v>
      </c>
      <c r="O25" s="285">
        <v>665896815</v>
      </c>
      <c r="P25" s="153"/>
    </row>
    <row r="26" spans="1:16" ht="25.5" customHeight="1" x14ac:dyDescent="0.35">
      <c r="A26" s="330" t="s">
        <v>167</v>
      </c>
      <c r="B26" s="330"/>
      <c r="C26" s="330"/>
      <c r="D26" s="126">
        <f>D81-D78-D60</f>
        <v>-607074</v>
      </c>
      <c r="E26" s="126">
        <f>E81-E78-E60</f>
        <v>-208035</v>
      </c>
      <c r="F26" s="113"/>
      <c r="G26" s="148"/>
      <c r="H26" s="149" t="s">
        <v>200</v>
      </c>
      <c r="I26" s="153"/>
      <c r="J26" s="285">
        <v>14675538.43</v>
      </c>
      <c r="K26" s="123"/>
      <c r="M26" s="148"/>
      <c r="N26" s="149" t="s">
        <v>349</v>
      </c>
      <c r="O26" s="150">
        <v>216644433</v>
      </c>
      <c r="P26" s="153"/>
    </row>
    <row r="27" spans="1:16" ht="26.5" customHeight="1" x14ac:dyDescent="0.35">
      <c r="A27" s="331" t="s">
        <v>60</v>
      </c>
      <c r="B27" s="331"/>
      <c r="C27" s="331"/>
      <c r="D27" s="331"/>
      <c r="E27" s="331"/>
      <c r="F27" s="113"/>
      <c r="G27" s="151"/>
      <c r="H27" s="149" t="s">
        <v>93</v>
      </c>
      <c r="I27" s="153"/>
      <c r="J27" s="150">
        <v>14675538.43</v>
      </c>
      <c r="K27" s="123"/>
      <c r="M27" s="151"/>
      <c r="N27" s="149" t="s">
        <v>350</v>
      </c>
      <c r="O27" s="150">
        <v>216644433</v>
      </c>
      <c r="P27" s="153"/>
    </row>
    <row r="28" spans="1:16" ht="13" customHeight="1" x14ac:dyDescent="0.35">
      <c r="A28" s="332" t="s">
        <v>166</v>
      </c>
      <c r="B28" s="332"/>
      <c r="C28" s="332"/>
      <c r="D28" s="119">
        <f>SUM(D30:D41)</f>
        <v>0</v>
      </c>
      <c r="E28" s="119">
        <f>SUM(E30:E41)</f>
        <v>0</v>
      </c>
      <c r="F28" s="113"/>
      <c r="G28" s="148"/>
      <c r="H28" s="149" t="s">
        <v>201</v>
      </c>
      <c r="I28" s="285">
        <v>7900000</v>
      </c>
      <c r="J28" s="285">
        <v>1038436000</v>
      </c>
      <c r="K28" s="286">
        <f>ROUND((J28-I28)/1000,0)</f>
        <v>1030536</v>
      </c>
      <c r="M28" s="152"/>
      <c r="N28" s="149" t="s">
        <v>449</v>
      </c>
      <c r="O28" s="150">
        <v>216644433</v>
      </c>
      <c r="P28" s="153"/>
    </row>
    <row r="29" spans="1:16" ht="14.5" customHeight="1" x14ac:dyDescent="0.35">
      <c r="A29" s="330" t="s">
        <v>32</v>
      </c>
      <c r="B29" s="330"/>
      <c r="C29" s="330"/>
      <c r="D29" s="122"/>
      <c r="E29" s="122"/>
      <c r="F29" s="113"/>
      <c r="G29" s="151"/>
      <c r="H29" s="149" t="s">
        <v>202</v>
      </c>
      <c r="I29" s="150">
        <v>7900000</v>
      </c>
      <c r="J29" s="150">
        <v>1038436000</v>
      </c>
      <c r="K29" s="123"/>
      <c r="M29" s="148"/>
      <c r="N29" s="149" t="s">
        <v>208</v>
      </c>
      <c r="O29" s="285">
        <v>39005025.200000003</v>
      </c>
      <c r="P29" s="150">
        <v>39005025.200000003</v>
      </c>
    </row>
    <row r="30" spans="1:16" ht="15.65" customHeight="1" x14ac:dyDescent="0.35">
      <c r="A30" s="319" t="s">
        <v>61</v>
      </c>
      <c r="B30" s="320"/>
      <c r="C30" s="321"/>
      <c r="D30" s="122" t="s">
        <v>6</v>
      </c>
      <c r="E30" s="122" t="s">
        <v>6</v>
      </c>
      <c r="F30" s="113"/>
      <c r="G30" s="152"/>
      <c r="H30" s="149" t="s">
        <v>94</v>
      </c>
      <c r="I30" s="150">
        <v>7900000</v>
      </c>
      <c r="J30" s="150">
        <v>1038436000</v>
      </c>
      <c r="K30" s="123"/>
      <c r="M30" s="151"/>
      <c r="N30" s="149" t="s">
        <v>104</v>
      </c>
      <c r="O30" s="150">
        <v>39005025.200000003</v>
      </c>
      <c r="P30" s="150">
        <v>39005025.200000003</v>
      </c>
    </row>
    <row r="31" spans="1:16" ht="14.5" customHeight="1" x14ac:dyDescent="0.35">
      <c r="A31" s="319" t="s">
        <v>62</v>
      </c>
      <c r="B31" s="320"/>
      <c r="C31" s="321"/>
      <c r="D31" s="128" t="s">
        <v>6</v>
      </c>
      <c r="E31" s="128" t="s">
        <v>6</v>
      </c>
      <c r="F31" s="113"/>
      <c r="G31" s="148"/>
      <c r="H31" s="149" t="s">
        <v>349</v>
      </c>
      <c r="I31" s="153"/>
      <c r="J31" s="288">
        <v>28800000</v>
      </c>
      <c r="K31" s="286">
        <f>ROUND((J31-I31)/1000,0)</f>
        <v>28800</v>
      </c>
      <c r="M31" s="144"/>
      <c r="N31" s="145" t="s">
        <v>105</v>
      </c>
      <c r="O31" s="146">
        <v>1749350759.6899998</v>
      </c>
      <c r="P31" s="146">
        <v>1772018196.2</v>
      </c>
    </row>
    <row r="32" spans="1:16" ht="23" x14ac:dyDescent="0.35">
      <c r="A32" s="319" t="s">
        <v>63</v>
      </c>
      <c r="B32" s="320"/>
      <c r="C32" s="321"/>
      <c r="D32" s="128" t="s">
        <v>6</v>
      </c>
      <c r="E32" s="128" t="s">
        <v>6</v>
      </c>
      <c r="F32" s="113"/>
      <c r="G32" s="151"/>
      <c r="H32" s="149" t="s">
        <v>441</v>
      </c>
      <c r="I32" s="153"/>
      <c r="J32" s="150">
        <v>28800000</v>
      </c>
      <c r="K32" s="123"/>
      <c r="M32" s="144"/>
      <c r="N32" s="145" t="s">
        <v>106</v>
      </c>
      <c r="O32" s="147"/>
      <c r="P32" s="146">
        <v>28497575</v>
      </c>
    </row>
    <row r="33" spans="1:17" x14ac:dyDescent="0.35">
      <c r="A33" s="330" t="s">
        <v>64</v>
      </c>
      <c r="B33" s="330"/>
      <c r="C33" s="330"/>
      <c r="D33" s="122" t="s">
        <v>6</v>
      </c>
      <c r="E33" s="122" t="s">
        <v>6</v>
      </c>
      <c r="F33" s="113"/>
      <c r="G33" s="152"/>
      <c r="H33" s="149" t="s">
        <v>442</v>
      </c>
      <c r="I33" s="153"/>
      <c r="J33" s="150">
        <v>28800000</v>
      </c>
      <c r="K33" s="123"/>
      <c r="O33" s="286">
        <f>P32-P10</f>
        <v>22667436.509999998</v>
      </c>
    </row>
    <row r="34" spans="1:17" x14ac:dyDescent="0.35">
      <c r="A34" s="319" t="s">
        <v>65</v>
      </c>
      <c r="B34" s="320"/>
      <c r="C34" s="321"/>
      <c r="D34" s="128" t="s">
        <v>6</v>
      </c>
      <c r="E34" s="128" t="s">
        <v>6</v>
      </c>
      <c r="F34" s="113"/>
      <c r="G34" s="148"/>
      <c r="H34" s="149" t="s">
        <v>203</v>
      </c>
      <c r="I34" s="150">
        <v>50000000</v>
      </c>
      <c r="J34" s="150">
        <v>72900000</v>
      </c>
      <c r="K34" s="123"/>
    </row>
    <row r="35" spans="1:17" ht="15.65" customHeight="1" x14ac:dyDescent="0.35">
      <c r="A35" s="319" t="s">
        <v>66</v>
      </c>
      <c r="B35" s="319"/>
      <c r="C35" s="319"/>
      <c r="D35" s="128" t="s">
        <v>6</v>
      </c>
      <c r="E35" s="128" t="s">
        <v>6</v>
      </c>
      <c r="F35" s="113"/>
      <c r="G35" s="151"/>
      <c r="H35" s="149" t="s">
        <v>342</v>
      </c>
      <c r="I35" s="153"/>
      <c r="J35" s="288">
        <v>22900000</v>
      </c>
      <c r="K35" s="123"/>
    </row>
    <row r="36" spans="1:17" ht="14.5" customHeight="1" x14ac:dyDescent="0.35">
      <c r="A36" s="319" t="s">
        <v>67</v>
      </c>
      <c r="B36" s="319"/>
      <c r="C36" s="319"/>
      <c r="D36" s="128" t="s">
        <v>6</v>
      </c>
      <c r="E36" s="128" t="s">
        <v>6</v>
      </c>
      <c r="F36" s="113"/>
      <c r="G36" s="151"/>
      <c r="H36" s="149" t="s">
        <v>443</v>
      </c>
      <c r="I36" s="288">
        <v>50000000</v>
      </c>
      <c r="J36" s="288">
        <v>50000000</v>
      </c>
      <c r="K36" s="123"/>
      <c r="N36" s="155" t="s">
        <v>352</v>
      </c>
      <c r="O36" s="156"/>
      <c r="P36" s="142"/>
      <c r="Q36" s="142"/>
    </row>
    <row r="37" spans="1:17" ht="14.5" customHeight="1" x14ac:dyDescent="0.2">
      <c r="A37" s="319" t="s">
        <v>68</v>
      </c>
      <c r="B37" s="319"/>
      <c r="C37" s="319"/>
      <c r="D37" s="128" t="s">
        <v>6</v>
      </c>
      <c r="E37" s="128" t="s">
        <v>6</v>
      </c>
      <c r="F37" s="113"/>
      <c r="G37" s="148"/>
      <c r="H37" s="149" t="s">
        <v>204</v>
      </c>
      <c r="I37" s="153"/>
      <c r="J37" s="285">
        <v>41287989</v>
      </c>
      <c r="K37" s="163">
        <f>ROUND((J37-I37)/1000,0)</f>
        <v>41288</v>
      </c>
      <c r="N37" s="156"/>
      <c r="O37" s="156"/>
      <c r="P37" s="142"/>
      <c r="Q37" s="142"/>
    </row>
    <row r="38" spans="1:17" ht="14.5" customHeight="1" x14ac:dyDescent="0.2">
      <c r="A38" s="319" t="s">
        <v>161</v>
      </c>
      <c r="B38" s="319"/>
      <c r="C38" s="319"/>
      <c r="D38" s="128" t="s">
        <v>6</v>
      </c>
      <c r="E38" s="128" t="s">
        <v>6</v>
      </c>
      <c r="F38" s="113"/>
      <c r="G38" s="151"/>
      <c r="H38" s="149" t="s">
        <v>343</v>
      </c>
      <c r="I38" s="153"/>
      <c r="J38" s="150">
        <v>35991018</v>
      </c>
      <c r="N38" s="157" t="s">
        <v>79</v>
      </c>
      <c r="O38" s="157" t="s">
        <v>80</v>
      </c>
      <c r="P38" s="142"/>
      <c r="Q38" s="142"/>
    </row>
    <row r="39" spans="1:17" ht="15" customHeight="1" x14ac:dyDescent="0.2">
      <c r="A39" s="319" t="s">
        <v>70</v>
      </c>
      <c r="B39" s="319"/>
      <c r="C39" s="319"/>
      <c r="D39" s="128" t="s">
        <v>6</v>
      </c>
      <c r="E39" s="128" t="s">
        <v>6</v>
      </c>
      <c r="F39" s="113"/>
      <c r="G39" s="151"/>
      <c r="H39" s="149" t="s">
        <v>95</v>
      </c>
      <c r="I39" s="153"/>
      <c r="J39" s="150">
        <v>2565284</v>
      </c>
      <c r="K39" s="123"/>
      <c r="N39" s="142"/>
      <c r="O39" s="142"/>
      <c r="P39" s="142"/>
      <c r="Q39" s="142"/>
    </row>
    <row r="40" spans="1:17" ht="14.5" customHeight="1" x14ac:dyDescent="0.35">
      <c r="A40" s="319" t="s">
        <v>52</v>
      </c>
      <c r="B40" s="320"/>
      <c r="C40" s="321"/>
      <c r="D40" s="128"/>
      <c r="E40" s="128"/>
      <c r="F40" s="113"/>
      <c r="G40" s="151"/>
      <c r="H40" s="149" t="s">
        <v>96</v>
      </c>
      <c r="I40" s="153"/>
      <c r="J40" s="150">
        <v>2731687</v>
      </c>
      <c r="K40" s="123"/>
      <c r="N40" s="143" t="s">
        <v>81</v>
      </c>
      <c r="O40" s="143" t="s">
        <v>82</v>
      </c>
      <c r="P40" s="143" t="s">
        <v>83</v>
      </c>
      <c r="Q40" s="143" t="s">
        <v>84</v>
      </c>
    </row>
    <row r="41" spans="1:17" ht="15" customHeight="1" x14ac:dyDescent="0.35">
      <c r="A41" s="319" t="s">
        <v>53</v>
      </c>
      <c r="B41" s="320"/>
      <c r="C41" s="321"/>
      <c r="D41" s="131" t="s">
        <v>6</v>
      </c>
      <c r="E41" s="131" t="s">
        <v>6</v>
      </c>
      <c r="F41" s="113"/>
      <c r="G41" s="148"/>
      <c r="H41" s="149" t="s">
        <v>205</v>
      </c>
      <c r="I41" s="150">
        <v>38708</v>
      </c>
      <c r="J41" s="150">
        <v>5262435</v>
      </c>
      <c r="K41" s="123"/>
      <c r="N41" s="144" t="s">
        <v>93</v>
      </c>
      <c r="O41" s="145" t="s">
        <v>86</v>
      </c>
      <c r="P41" s="146">
        <v>1571360.67</v>
      </c>
      <c r="Q41" s="147"/>
    </row>
    <row r="42" spans="1:17" s="121" customFormat="1" ht="14.5" customHeight="1" x14ac:dyDescent="0.35">
      <c r="A42" s="322" t="s">
        <v>165</v>
      </c>
      <c r="B42" s="322"/>
      <c r="C42" s="322"/>
      <c r="D42" s="119">
        <f>SUM(D44:D51)+SUM(D55:D59)</f>
        <v>-3020</v>
      </c>
      <c r="E42" s="119">
        <f>SUM(E44:E51)+SUM(E55:E59)</f>
        <v>0</v>
      </c>
      <c r="F42" s="120"/>
      <c r="G42" s="151"/>
      <c r="H42" s="149" t="s">
        <v>206</v>
      </c>
      <c r="I42" s="150">
        <v>38708</v>
      </c>
      <c r="J42" s="150">
        <v>1940340</v>
      </c>
      <c r="K42" s="127"/>
      <c r="N42" s="148"/>
      <c r="O42" s="149" t="s">
        <v>85</v>
      </c>
      <c r="P42" s="150">
        <v>14675538.43</v>
      </c>
      <c r="Q42" s="153"/>
    </row>
    <row r="43" spans="1:17" ht="14.5" customHeight="1" x14ac:dyDescent="0.35">
      <c r="A43" s="330" t="s">
        <v>32</v>
      </c>
      <c r="B43" s="330"/>
      <c r="C43" s="330"/>
      <c r="D43" s="132"/>
      <c r="E43" s="132"/>
      <c r="F43" s="113"/>
      <c r="G43" s="152"/>
      <c r="H43" s="149" t="s">
        <v>97</v>
      </c>
      <c r="I43" s="153"/>
      <c r="J43" s="150">
        <v>692818</v>
      </c>
      <c r="K43" s="123"/>
      <c r="N43" s="151"/>
      <c r="O43" s="149" t="s">
        <v>87</v>
      </c>
      <c r="P43" s="150">
        <v>14675538.43</v>
      </c>
      <c r="Q43" s="153"/>
    </row>
    <row r="44" spans="1:17" ht="14.5" customHeight="1" x14ac:dyDescent="0.35">
      <c r="A44" s="319" t="s">
        <v>71</v>
      </c>
      <c r="B44" s="320"/>
      <c r="C44" s="321"/>
      <c r="D44" s="289">
        <v>-3020</v>
      </c>
      <c r="E44" s="122" t="s">
        <v>6</v>
      </c>
      <c r="F44" s="113"/>
      <c r="G44" s="152"/>
      <c r="H44" s="149" t="s">
        <v>98</v>
      </c>
      <c r="I44" s="153"/>
      <c r="J44" s="150">
        <v>432696</v>
      </c>
      <c r="K44" s="123"/>
      <c r="N44" s="148"/>
      <c r="O44" s="149" t="s">
        <v>207</v>
      </c>
      <c r="P44" s="153"/>
      <c r="Q44" s="150">
        <v>13832304.43</v>
      </c>
    </row>
    <row r="45" spans="1:17" ht="14.5" customHeight="1" x14ac:dyDescent="0.35">
      <c r="A45" s="319" t="s">
        <v>72</v>
      </c>
      <c r="B45" s="320"/>
      <c r="C45" s="321"/>
      <c r="D45" s="128" t="s">
        <v>6</v>
      </c>
      <c r="E45" s="128" t="s">
        <v>6</v>
      </c>
      <c r="F45" s="113"/>
      <c r="G45" s="152"/>
      <c r="H45" s="149" t="s">
        <v>99</v>
      </c>
      <c r="I45" s="285">
        <v>38708</v>
      </c>
      <c r="J45" s="285">
        <v>814826</v>
      </c>
      <c r="K45" s="287">
        <f>ROUND((J45-I45)/1000,0)</f>
        <v>776</v>
      </c>
      <c r="N45" s="151"/>
      <c r="O45" s="149" t="s">
        <v>101</v>
      </c>
      <c r="P45" s="153"/>
      <c r="Q45" s="150">
        <v>13146709.43</v>
      </c>
    </row>
    <row r="46" spans="1:17" ht="14.5" customHeight="1" x14ac:dyDescent="0.35">
      <c r="A46" s="333" t="s">
        <v>73</v>
      </c>
      <c r="B46" s="333"/>
      <c r="C46" s="333"/>
      <c r="D46" s="122" t="s">
        <v>6</v>
      </c>
      <c r="E46" s="122" t="s">
        <v>6</v>
      </c>
      <c r="F46" s="113"/>
      <c r="G46" s="151"/>
      <c r="H46" s="149" t="s">
        <v>100</v>
      </c>
      <c r="I46" s="153"/>
      <c r="J46" s="150">
        <v>3322095</v>
      </c>
      <c r="K46" s="123"/>
      <c r="N46" s="151"/>
      <c r="O46" s="149" t="s">
        <v>344</v>
      </c>
      <c r="P46" s="153"/>
      <c r="Q46" s="150">
        <v>685595</v>
      </c>
    </row>
    <row r="47" spans="1:17" ht="14.5" customHeight="1" x14ac:dyDescent="0.35">
      <c r="A47" s="334" t="s">
        <v>74</v>
      </c>
      <c r="B47" s="334"/>
      <c r="C47" s="334"/>
      <c r="D47" s="122" t="s">
        <v>6</v>
      </c>
      <c r="E47" s="122" t="s">
        <v>6</v>
      </c>
      <c r="F47" s="113"/>
      <c r="G47" s="148"/>
      <c r="H47" s="149" t="s">
        <v>207</v>
      </c>
      <c r="I47" s="150">
        <v>549941</v>
      </c>
      <c r="J47" s="150">
        <v>61953603.710000001</v>
      </c>
      <c r="K47" s="123"/>
      <c r="N47" s="152"/>
      <c r="O47" s="149" t="s">
        <v>353</v>
      </c>
      <c r="P47" s="153"/>
      <c r="Q47" s="150">
        <v>685595</v>
      </c>
    </row>
    <row r="48" spans="1:17" ht="14.5" customHeight="1" x14ac:dyDescent="0.35">
      <c r="A48" s="333" t="s">
        <v>75</v>
      </c>
      <c r="B48" s="333"/>
      <c r="C48" s="333"/>
      <c r="D48" s="122" t="s">
        <v>6</v>
      </c>
      <c r="E48" s="122" t="s">
        <v>6</v>
      </c>
      <c r="F48" s="113"/>
      <c r="G48" s="151"/>
      <c r="H48" s="149" t="s">
        <v>101</v>
      </c>
      <c r="I48" s="153"/>
      <c r="J48" s="288">
        <v>7196293.6600000001</v>
      </c>
      <c r="K48" s="123"/>
      <c r="N48" s="144"/>
      <c r="O48" s="145" t="s">
        <v>105</v>
      </c>
      <c r="P48" s="146">
        <v>14675538.43</v>
      </c>
      <c r="Q48" s="146">
        <v>13832304.43</v>
      </c>
    </row>
    <row r="49" spans="1:17" ht="14.5" customHeight="1" x14ac:dyDescent="0.35">
      <c r="A49" s="333" t="s">
        <v>76</v>
      </c>
      <c r="B49" s="333"/>
      <c r="C49" s="333"/>
      <c r="D49" s="122" t="s">
        <v>6</v>
      </c>
      <c r="E49" s="122" t="s">
        <v>6</v>
      </c>
      <c r="F49" s="113"/>
      <c r="G49" s="151"/>
      <c r="H49" s="149" t="s">
        <v>102</v>
      </c>
      <c r="I49" s="288">
        <v>399941</v>
      </c>
      <c r="J49" s="288">
        <v>34241402</v>
      </c>
      <c r="K49" s="163">
        <f>ROUND((J49-I49)/1000,0)</f>
        <v>33841</v>
      </c>
      <c r="N49" s="144"/>
      <c r="O49" s="145" t="s">
        <v>106</v>
      </c>
      <c r="P49" s="146">
        <v>2414594.67</v>
      </c>
      <c r="Q49" s="147"/>
    </row>
    <row r="50" spans="1:17" ht="14.5" customHeight="1" x14ac:dyDescent="0.35">
      <c r="A50" s="334" t="s">
        <v>77</v>
      </c>
      <c r="B50" s="334"/>
      <c r="C50" s="334"/>
      <c r="D50" s="122" t="s">
        <v>6</v>
      </c>
      <c r="E50" s="122" t="s">
        <v>6</v>
      </c>
      <c r="F50" s="113"/>
      <c r="G50" s="151"/>
      <c r="H50" s="149" t="s">
        <v>103</v>
      </c>
      <c r="I50" s="153"/>
      <c r="J50" s="288">
        <v>20515908.050000001</v>
      </c>
      <c r="K50" s="123"/>
      <c r="N50" s="144"/>
      <c r="O50" s="158"/>
      <c r="P50" s="146"/>
      <c r="Q50" s="146"/>
    </row>
    <row r="51" spans="1:17" ht="14.5" customHeight="1" x14ac:dyDescent="0.35">
      <c r="A51" s="335" t="s">
        <v>56</v>
      </c>
      <c r="B51" s="335"/>
      <c r="C51" s="335"/>
      <c r="D51" s="122" t="s">
        <v>6</v>
      </c>
      <c r="E51" s="122" t="s">
        <v>6</v>
      </c>
      <c r="F51" s="113"/>
      <c r="G51" s="151"/>
      <c r="H51" s="149" t="s">
        <v>344</v>
      </c>
      <c r="I51" s="150">
        <v>150000</v>
      </c>
      <c r="J51" s="153"/>
      <c r="N51" s="144"/>
      <c r="O51" s="158"/>
      <c r="P51" s="146"/>
      <c r="Q51" s="147"/>
    </row>
    <row r="52" spans="1:17" ht="14.5" customHeight="1" x14ac:dyDescent="0.35">
      <c r="A52" s="115"/>
      <c r="B52" s="115"/>
      <c r="C52" s="115"/>
      <c r="D52" s="133"/>
      <c r="E52" s="133"/>
      <c r="F52" s="113"/>
      <c r="G52" s="152"/>
      <c r="H52" s="149" t="s">
        <v>345</v>
      </c>
      <c r="I52" s="288">
        <v>150000</v>
      </c>
      <c r="J52" s="153"/>
      <c r="N52" s="144"/>
      <c r="O52" s="145"/>
      <c r="P52" s="146"/>
      <c r="Q52" s="146"/>
    </row>
    <row r="53" spans="1:17" ht="14.5" customHeight="1" x14ac:dyDescent="0.35">
      <c r="A53" s="343" t="s">
        <v>23</v>
      </c>
      <c r="B53" s="343"/>
      <c r="C53" s="343"/>
      <c r="D53" s="134" t="s">
        <v>24</v>
      </c>
      <c r="E53" s="134" t="s">
        <v>24</v>
      </c>
      <c r="F53" s="113"/>
      <c r="G53" s="148"/>
      <c r="H53" s="149" t="s">
        <v>208</v>
      </c>
      <c r="I53" s="150">
        <v>1733013171</v>
      </c>
      <c r="J53" s="150">
        <v>4920001</v>
      </c>
      <c r="K53" s="123">
        <f>I53-J53</f>
        <v>1728093170</v>
      </c>
      <c r="N53" s="144"/>
      <c r="O53" s="145"/>
      <c r="P53" s="146"/>
      <c r="Q53" s="147"/>
    </row>
    <row r="54" spans="1:17" ht="14.5" customHeight="1" x14ac:dyDescent="0.35">
      <c r="A54" s="343" t="s">
        <v>2</v>
      </c>
      <c r="B54" s="343"/>
      <c r="C54" s="343"/>
      <c r="D54" s="135" t="s">
        <v>4</v>
      </c>
      <c r="E54" s="135" t="s">
        <v>5</v>
      </c>
      <c r="F54" s="113"/>
      <c r="G54" s="151"/>
      <c r="H54" s="149" t="s">
        <v>104</v>
      </c>
      <c r="I54" s="288">
        <v>1733013171</v>
      </c>
      <c r="J54" s="288">
        <v>4920001</v>
      </c>
      <c r="O54" s="86" t="s">
        <v>351</v>
      </c>
      <c r="P54" s="129">
        <f>ROUND(-(P43-Q48)/1000,0)</f>
        <v>-843</v>
      </c>
    </row>
    <row r="55" spans="1:17" ht="14.5" customHeight="1" x14ac:dyDescent="0.35">
      <c r="A55" s="344" t="s">
        <v>107</v>
      </c>
      <c r="B55" s="344"/>
      <c r="C55" s="344"/>
      <c r="D55" s="122" t="s">
        <v>6</v>
      </c>
      <c r="E55" s="122" t="s">
        <v>6</v>
      </c>
      <c r="F55" s="113"/>
      <c r="G55" s="148"/>
      <c r="H55" s="149" t="s">
        <v>209</v>
      </c>
      <c r="I55" s="285">
        <v>2364608221.1500001</v>
      </c>
      <c r="J55" s="150">
        <v>1746128515.96</v>
      </c>
      <c r="O55" s="86" t="s">
        <v>354</v>
      </c>
      <c r="P55" s="165">
        <f>ROUND(-Q50/1000,0)</f>
        <v>0</v>
      </c>
    </row>
    <row r="56" spans="1:17" ht="23.15" customHeight="1" x14ac:dyDescent="0.35">
      <c r="A56" s="344" t="s">
        <v>108</v>
      </c>
      <c r="B56" s="344"/>
      <c r="C56" s="344"/>
      <c r="D56" s="122"/>
      <c r="E56" s="122"/>
      <c r="F56" s="113"/>
      <c r="G56" s="151"/>
      <c r="H56" s="149" t="s">
        <v>346</v>
      </c>
      <c r="I56" s="285">
        <v>1000641000</v>
      </c>
      <c r="J56" s="285">
        <v>885220219.27999997</v>
      </c>
      <c r="P56" s="165"/>
    </row>
    <row r="57" spans="1:17" ht="14.5" customHeight="1" x14ac:dyDescent="0.35">
      <c r="A57" s="328" t="s">
        <v>69</v>
      </c>
      <c r="B57" s="323"/>
      <c r="C57" s="329"/>
      <c r="D57" s="122" t="s">
        <v>6</v>
      </c>
      <c r="E57" s="122" t="s">
        <v>6</v>
      </c>
      <c r="F57" s="113"/>
      <c r="G57" s="151"/>
      <c r="H57" s="149" t="s">
        <v>210</v>
      </c>
      <c r="I57" s="285">
        <v>1363967221.1500001</v>
      </c>
      <c r="J57" s="288">
        <v>860908296.67999995</v>
      </c>
    </row>
    <row r="58" spans="1:17" ht="14.5" customHeight="1" x14ac:dyDescent="0.35">
      <c r="A58" s="328" t="s">
        <v>109</v>
      </c>
      <c r="B58" s="323"/>
      <c r="C58" s="329"/>
      <c r="D58" s="122" t="s">
        <v>6</v>
      </c>
      <c r="E58" s="122" t="s">
        <v>6</v>
      </c>
      <c r="F58" s="113"/>
      <c r="G58" s="148"/>
      <c r="H58" s="149" t="s">
        <v>211</v>
      </c>
      <c r="I58" s="153"/>
      <c r="J58" s="150">
        <v>172057265</v>
      </c>
    </row>
    <row r="59" spans="1:17" ht="32.15" customHeight="1" x14ac:dyDescent="0.35">
      <c r="A59" s="319" t="s">
        <v>59</v>
      </c>
      <c r="B59" s="320"/>
      <c r="C59" s="321"/>
      <c r="D59" s="122"/>
      <c r="E59" s="122"/>
      <c r="F59" s="113"/>
      <c r="G59" s="151"/>
      <c r="H59" s="149" t="s">
        <v>212</v>
      </c>
      <c r="I59" s="153"/>
      <c r="J59" s="285">
        <v>172057265</v>
      </c>
    </row>
    <row r="60" spans="1:17" ht="27.65" customHeight="1" x14ac:dyDescent="0.35">
      <c r="A60" s="345" t="s">
        <v>110</v>
      </c>
      <c r="B60" s="345"/>
      <c r="C60" s="345"/>
      <c r="D60" s="126">
        <f>D28+D42</f>
        <v>-3020</v>
      </c>
      <c r="E60" s="126">
        <f>E28+E42</f>
        <v>0</v>
      </c>
      <c r="F60" s="113"/>
      <c r="G60" s="148"/>
      <c r="H60" s="149" t="s">
        <v>347</v>
      </c>
      <c r="I60" s="154">
        <v>1.08</v>
      </c>
      <c r="J60" s="153"/>
    </row>
    <row r="61" spans="1:17" x14ac:dyDescent="0.35">
      <c r="A61" s="327" t="s">
        <v>111</v>
      </c>
      <c r="B61" s="327"/>
      <c r="C61" s="327"/>
      <c r="D61" s="327"/>
      <c r="E61" s="327"/>
      <c r="F61" s="113"/>
      <c r="G61" s="151"/>
      <c r="H61" s="149" t="s">
        <v>348</v>
      </c>
      <c r="I61" s="154">
        <v>1.08</v>
      </c>
      <c r="J61" s="153"/>
    </row>
    <row r="62" spans="1:17" s="121" customFormat="1" x14ac:dyDescent="0.35">
      <c r="A62" s="331" t="s">
        <v>166</v>
      </c>
      <c r="B62" s="331"/>
      <c r="C62" s="331"/>
      <c r="D62" s="119">
        <f>SUM(D64:D68)</f>
        <v>2414608</v>
      </c>
      <c r="E62" s="119">
        <f>SUM(E64:E68)</f>
        <v>673447</v>
      </c>
      <c r="F62" s="120"/>
      <c r="G62" s="144"/>
      <c r="H62" s="145" t="s">
        <v>105</v>
      </c>
      <c r="I62" s="146">
        <v>14748296247.930002</v>
      </c>
      <c r="J62" s="146">
        <v>14934866947.59</v>
      </c>
      <c r="N62" s="86"/>
      <c r="O62" s="86"/>
      <c r="P62" s="86"/>
      <c r="Q62" s="86"/>
    </row>
    <row r="63" spans="1:17" ht="14.5" customHeight="1" x14ac:dyDescent="0.35">
      <c r="A63" s="337" t="s">
        <v>32</v>
      </c>
      <c r="B63" s="337"/>
      <c r="C63" s="337"/>
      <c r="D63" s="128"/>
      <c r="E63" s="128"/>
      <c r="F63" s="113" t="s">
        <v>26</v>
      </c>
      <c r="G63" s="144"/>
      <c r="H63" s="145" t="s">
        <v>106</v>
      </c>
      <c r="I63" s="146">
        <v>14489604.43</v>
      </c>
      <c r="J63" s="147"/>
    </row>
    <row r="64" spans="1:17" x14ac:dyDescent="0.2">
      <c r="A64" s="328" t="s">
        <v>112</v>
      </c>
      <c r="B64" s="323"/>
      <c r="C64" s="329"/>
      <c r="D64" s="122" t="s">
        <v>6</v>
      </c>
      <c r="E64" s="284">
        <v>50000</v>
      </c>
      <c r="F64" s="113"/>
      <c r="G64" s="142"/>
      <c r="H64" s="142"/>
      <c r="I64" s="142"/>
      <c r="J64" s="142"/>
    </row>
    <row r="65" spans="1:17" x14ac:dyDescent="0.2">
      <c r="A65" s="328" t="s">
        <v>113</v>
      </c>
      <c r="B65" s="323"/>
      <c r="C65" s="329"/>
      <c r="D65" s="122">
        <f>ROUND((I56+I36)/1000,0)</f>
        <v>1050641</v>
      </c>
      <c r="E65" s="284">
        <v>347200</v>
      </c>
      <c r="F65" s="113"/>
      <c r="G65" s="142"/>
      <c r="H65" s="142"/>
      <c r="I65" s="142"/>
      <c r="J65" s="142"/>
    </row>
    <row r="66" spans="1:17" ht="13" customHeight="1" x14ac:dyDescent="0.2">
      <c r="A66" s="328" t="s">
        <v>114</v>
      </c>
      <c r="B66" s="323"/>
      <c r="C66" s="329"/>
      <c r="D66" s="122"/>
      <c r="E66" s="122"/>
      <c r="F66" s="113"/>
      <c r="G66" s="142"/>
      <c r="H66" s="142"/>
      <c r="I66" s="142"/>
      <c r="J66" s="142"/>
      <c r="N66" s="121"/>
      <c r="O66" s="121"/>
      <c r="P66" s="121"/>
      <c r="Q66" s="121"/>
    </row>
    <row r="67" spans="1:17" ht="14.5" customHeight="1" x14ac:dyDescent="0.2">
      <c r="A67" s="328" t="s">
        <v>162</v>
      </c>
      <c r="B67" s="323"/>
      <c r="C67" s="329"/>
      <c r="D67" s="122"/>
      <c r="E67" s="122"/>
      <c r="F67" s="113"/>
      <c r="G67" s="142"/>
      <c r="H67" s="142"/>
      <c r="I67" s="142"/>
      <c r="J67" s="142"/>
    </row>
    <row r="68" spans="1:17" x14ac:dyDescent="0.2">
      <c r="A68" s="328" t="s">
        <v>216</v>
      </c>
      <c r="B68" s="323"/>
      <c r="C68" s="329"/>
      <c r="D68" s="122">
        <f>ROUND(I57/1000,0)</f>
        <v>1363967</v>
      </c>
      <c r="E68" s="284">
        <v>276247</v>
      </c>
      <c r="F68" s="113"/>
      <c r="G68" s="142"/>
      <c r="H68" s="142"/>
      <c r="I68" s="142"/>
      <c r="J68" s="142"/>
    </row>
    <row r="69" spans="1:17" s="121" customFormat="1" x14ac:dyDescent="0.2">
      <c r="A69" s="346" t="s">
        <v>165</v>
      </c>
      <c r="B69" s="346"/>
      <c r="C69" s="346"/>
      <c r="D69" s="126">
        <f>SUM(D71:D77)</f>
        <v>-1991085</v>
      </c>
      <c r="E69" s="126">
        <f>SUM(E71:E77)</f>
        <v>-462790</v>
      </c>
      <c r="F69" s="120"/>
      <c r="G69" s="142"/>
      <c r="H69" s="142"/>
      <c r="I69" s="142"/>
      <c r="J69" s="142"/>
      <c r="N69" s="86"/>
      <c r="O69" s="86"/>
      <c r="P69" s="86"/>
      <c r="Q69" s="86"/>
    </row>
    <row r="70" spans="1:17" x14ac:dyDescent="0.2">
      <c r="A70" s="337" t="s">
        <v>32</v>
      </c>
      <c r="B70" s="337"/>
      <c r="C70" s="337"/>
      <c r="D70" s="122"/>
      <c r="E70" s="122"/>
      <c r="F70" s="113"/>
      <c r="G70" s="142"/>
      <c r="H70" s="142"/>
      <c r="I70" s="142"/>
      <c r="J70" s="142"/>
    </row>
    <row r="71" spans="1:17" ht="14.5" customHeight="1" x14ac:dyDescent="0.2">
      <c r="A71" s="337" t="s">
        <v>115</v>
      </c>
      <c r="B71" s="337"/>
      <c r="C71" s="337"/>
      <c r="D71" s="122">
        <f>ROUND(-(J56+J36)/1000,0)</f>
        <v>-935220</v>
      </c>
      <c r="E71" s="284">
        <v>-442251</v>
      </c>
      <c r="F71" s="113"/>
      <c r="G71" s="142"/>
      <c r="H71" s="142"/>
      <c r="I71" s="142"/>
      <c r="J71" s="142"/>
    </row>
    <row r="72" spans="1:17" ht="14.5" customHeight="1" x14ac:dyDescent="0.2">
      <c r="A72" s="328" t="s">
        <v>237</v>
      </c>
      <c r="B72" s="328"/>
      <c r="C72" s="328"/>
      <c r="D72" s="122">
        <f>ROUND(-J59/1000,0)</f>
        <v>-172057</v>
      </c>
      <c r="E72" s="284">
        <v>-20539</v>
      </c>
      <c r="F72" s="113"/>
      <c r="G72" s="142"/>
      <c r="H72" s="142"/>
      <c r="I72" s="142"/>
      <c r="J72" s="142"/>
    </row>
    <row r="73" spans="1:17" ht="14.5" customHeight="1" x14ac:dyDescent="0.2">
      <c r="A73" s="328" t="s">
        <v>116</v>
      </c>
      <c r="B73" s="323"/>
      <c r="C73" s="329"/>
      <c r="D73" s="122">
        <f>ROUND(-J35/1000,0)</f>
        <v>-22900</v>
      </c>
      <c r="E73" s="122" t="s">
        <v>6</v>
      </c>
      <c r="F73" s="113" t="s">
        <v>26</v>
      </c>
      <c r="G73" s="142"/>
      <c r="H73" s="142"/>
      <c r="I73" s="142"/>
      <c r="J73" s="142"/>
      <c r="N73" s="121"/>
      <c r="O73" s="121"/>
      <c r="P73" s="121"/>
      <c r="Q73" s="121"/>
    </row>
    <row r="74" spans="1:17" ht="13" customHeight="1" x14ac:dyDescent="0.2">
      <c r="A74" s="328" t="s">
        <v>117</v>
      </c>
      <c r="B74" s="323"/>
      <c r="C74" s="329"/>
      <c r="D74" s="122" t="s">
        <v>6</v>
      </c>
      <c r="E74" s="122" t="s">
        <v>6</v>
      </c>
      <c r="F74" s="113"/>
      <c r="G74" s="142"/>
      <c r="H74" s="142"/>
      <c r="I74" s="142"/>
      <c r="J74" s="142"/>
    </row>
    <row r="75" spans="1:17" ht="14.5" customHeight="1" x14ac:dyDescent="0.2">
      <c r="A75" s="328" t="s">
        <v>108</v>
      </c>
      <c r="B75" s="323"/>
      <c r="C75" s="329"/>
      <c r="D75" s="122"/>
      <c r="E75" s="122"/>
      <c r="F75" s="113"/>
      <c r="G75" s="142"/>
      <c r="H75" s="142"/>
      <c r="I75" s="142"/>
      <c r="J75" s="142"/>
    </row>
    <row r="76" spans="1:17" ht="14.5" customHeight="1" x14ac:dyDescent="0.2">
      <c r="A76" s="328" t="s">
        <v>222</v>
      </c>
      <c r="B76" s="323"/>
      <c r="C76" s="329"/>
      <c r="D76" s="122">
        <f>ROUND(-J57/1000,0)</f>
        <v>-860908</v>
      </c>
      <c r="E76" s="122"/>
      <c r="F76" s="113"/>
      <c r="G76" s="142"/>
      <c r="H76" s="142"/>
      <c r="I76" s="142"/>
      <c r="J76" s="142"/>
    </row>
    <row r="77" spans="1:17" ht="13" customHeight="1" x14ac:dyDescent="0.2">
      <c r="A77" s="337" t="s">
        <v>118</v>
      </c>
      <c r="B77" s="337"/>
      <c r="C77" s="337"/>
      <c r="D77" s="136"/>
      <c r="E77" s="136"/>
      <c r="F77" s="113"/>
      <c r="G77" s="142"/>
      <c r="H77" s="142"/>
      <c r="I77" s="142"/>
      <c r="J77" s="142"/>
    </row>
    <row r="78" spans="1:17" s="121" customFormat="1" x14ac:dyDescent="0.2">
      <c r="A78" s="322" t="s">
        <v>164</v>
      </c>
      <c r="B78" s="322"/>
      <c r="C78" s="322"/>
      <c r="D78" s="119">
        <f>D62+D69</f>
        <v>423523</v>
      </c>
      <c r="E78" s="119">
        <f>E62+E69</f>
        <v>210657</v>
      </c>
      <c r="F78" s="120"/>
      <c r="G78" s="142"/>
      <c r="H78" s="142"/>
      <c r="I78" s="142"/>
      <c r="J78" s="142"/>
      <c r="N78" s="86"/>
      <c r="O78" s="86"/>
      <c r="P78" s="86"/>
      <c r="Q78" s="86"/>
    </row>
    <row r="79" spans="1:17" ht="13" customHeight="1" x14ac:dyDescent="0.2">
      <c r="A79" s="341" t="s">
        <v>119</v>
      </c>
      <c r="B79" s="341"/>
      <c r="C79" s="341"/>
      <c r="D79" s="119" t="s">
        <v>6</v>
      </c>
      <c r="E79" s="119" t="s">
        <v>6</v>
      </c>
      <c r="F79" s="113"/>
      <c r="G79" s="142"/>
      <c r="H79" s="142"/>
      <c r="I79" s="142"/>
      <c r="J79" s="142"/>
    </row>
    <row r="80" spans="1:17" ht="13" customHeight="1" x14ac:dyDescent="0.2">
      <c r="A80" s="341" t="s">
        <v>120</v>
      </c>
      <c r="B80" s="341"/>
      <c r="C80" s="341"/>
      <c r="D80" s="119" t="s">
        <v>6</v>
      </c>
      <c r="E80" s="119" t="s">
        <v>6</v>
      </c>
      <c r="F80" s="113"/>
      <c r="G80" s="142"/>
      <c r="H80" s="142"/>
      <c r="I80" s="142"/>
      <c r="J80" s="142"/>
    </row>
    <row r="81" spans="1:17" s="121" customFormat="1" x14ac:dyDescent="0.2">
      <c r="A81" s="322" t="s">
        <v>163</v>
      </c>
      <c r="B81" s="322"/>
      <c r="C81" s="322"/>
      <c r="D81" s="119">
        <f>D83-D82</f>
        <v>-186571</v>
      </c>
      <c r="E81" s="119">
        <f>E83-E82</f>
        <v>2622</v>
      </c>
      <c r="F81" s="120"/>
      <c r="G81" s="142"/>
      <c r="H81" s="142"/>
      <c r="I81" s="142"/>
      <c r="J81" s="142"/>
      <c r="N81" s="86"/>
      <c r="O81" s="86"/>
      <c r="P81" s="86"/>
      <c r="Q81" s="86"/>
    </row>
    <row r="82" spans="1:17" x14ac:dyDescent="0.2">
      <c r="A82" s="319" t="s">
        <v>121</v>
      </c>
      <c r="B82" s="319"/>
      <c r="C82" s="319"/>
      <c r="D82" s="126">
        <f>Ф1!D7</f>
        <v>201060</v>
      </c>
      <c r="E82" s="126">
        <v>36086</v>
      </c>
      <c r="F82" s="113"/>
      <c r="G82" s="142"/>
      <c r="H82" s="142"/>
      <c r="I82" s="142"/>
      <c r="J82" s="142"/>
      <c r="N82" s="121"/>
      <c r="O82" s="121"/>
      <c r="P82" s="121"/>
      <c r="Q82" s="121"/>
    </row>
    <row r="83" spans="1:17" x14ac:dyDescent="0.2">
      <c r="A83" s="338" t="s">
        <v>122</v>
      </c>
      <c r="B83" s="339"/>
      <c r="C83" s="340"/>
      <c r="D83" s="126">
        <f>Ф1!C7</f>
        <v>14489</v>
      </c>
      <c r="E83" s="126">
        <v>38708</v>
      </c>
      <c r="F83" s="113"/>
      <c r="G83" s="142"/>
      <c r="H83" s="142"/>
      <c r="I83" s="142"/>
      <c r="J83" s="142"/>
    </row>
    <row r="84" spans="1:17" x14ac:dyDescent="0.2">
      <c r="A84" s="113"/>
      <c r="B84" s="113"/>
      <c r="C84" s="113"/>
      <c r="D84" s="133">
        <f>D82-D83</f>
        <v>186571</v>
      </c>
      <c r="E84" s="116"/>
      <c r="F84" s="113"/>
      <c r="G84" s="142"/>
      <c r="H84" s="142"/>
      <c r="I84" s="142"/>
      <c r="J84" s="142"/>
    </row>
    <row r="85" spans="1:17" x14ac:dyDescent="0.2">
      <c r="A85" s="120" t="s">
        <v>16</v>
      </c>
      <c r="B85" s="113"/>
      <c r="C85" s="336" t="s">
        <v>17</v>
      </c>
      <c r="D85" s="336"/>
      <c r="E85" s="137"/>
      <c r="G85" s="142"/>
      <c r="H85" s="142"/>
      <c r="I85" s="142"/>
      <c r="J85" s="142"/>
      <c r="N85" s="121"/>
      <c r="O85" s="121"/>
      <c r="P85" s="121"/>
      <c r="Q85" s="121"/>
    </row>
    <row r="86" spans="1:17" x14ac:dyDescent="0.2">
      <c r="A86" s="113"/>
      <c r="B86" s="113"/>
      <c r="C86" s="323" t="s">
        <v>18</v>
      </c>
      <c r="D86" s="323"/>
      <c r="E86" s="107" t="s">
        <v>19</v>
      </c>
      <c r="G86" s="142"/>
      <c r="H86" s="142"/>
      <c r="I86" s="142"/>
      <c r="J86" s="142"/>
    </row>
    <row r="87" spans="1:17" x14ac:dyDescent="0.2">
      <c r="A87" s="138" t="s">
        <v>20</v>
      </c>
      <c r="B87" s="113"/>
      <c r="C87" s="336"/>
      <c r="D87" s="336"/>
      <c r="E87" s="137"/>
      <c r="G87" s="142"/>
      <c r="H87" s="142"/>
      <c r="I87" s="142"/>
      <c r="J87" s="142"/>
    </row>
    <row r="88" spans="1:17" x14ac:dyDescent="0.2">
      <c r="A88" s="113"/>
      <c r="B88" s="113"/>
      <c r="C88" s="323" t="s">
        <v>18</v>
      </c>
      <c r="D88" s="323"/>
      <c r="E88" s="107" t="s">
        <v>19</v>
      </c>
      <c r="G88" s="142"/>
      <c r="H88" s="142"/>
      <c r="I88" s="142"/>
      <c r="J88" s="142"/>
    </row>
    <row r="89" spans="1:17" x14ac:dyDescent="0.2">
      <c r="A89" s="113" t="s">
        <v>21</v>
      </c>
      <c r="B89" s="113"/>
      <c r="C89" s="113"/>
      <c r="D89" s="116"/>
      <c r="E89" s="116"/>
      <c r="F89" s="113"/>
      <c r="G89" s="142"/>
      <c r="H89" s="142"/>
      <c r="I89" s="142"/>
      <c r="J89" s="142"/>
    </row>
    <row r="90" spans="1:17" x14ac:dyDescent="0.2">
      <c r="A90" s="113" t="s">
        <v>22</v>
      </c>
      <c r="B90" s="113"/>
      <c r="C90" s="113"/>
      <c r="D90" s="116"/>
      <c r="E90" s="116"/>
      <c r="F90" s="113"/>
      <c r="G90" s="142"/>
      <c r="H90" s="142"/>
      <c r="I90" s="142"/>
      <c r="J90" s="142"/>
    </row>
    <row r="91" spans="1:17" x14ac:dyDescent="0.2">
      <c r="A91" s="113"/>
      <c r="B91" s="113"/>
      <c r="C91" s="113"/>
      <c r="D91" s="116"/>
      <c r="E91" s="116"/>
      <c r="F91" s="113"/>
      <c r="G91" s="142"/>
      <c r="H91" s="142"/>
      <c r="I91" s="142"/>
      <c r="J91" s="142"/>
    </row>
    <row r="92" spans="1:17" x14ac:dyDescent="0.2">
      <c r="A92" s="113"/>
      <c r="B92" s="113"/>
      <c r="C92" s="113"/>
      <c r="D92" s="116"/>
      <c r="E92" s="116"/>
      <c r="F92" s="113"/>
      <c r="G92" s="142"/>
      <c r="H92" s="142"/>
      <c r="I92" s="142"/>
      <c r="J92" s="142"/>
    </row>
    <row r="93" spans="1:17" x14ac:dyDescent="0.2">
      <c r="A93" s="113"/>
      <c r="B93" s="113"/>
      <c r="C93" s="113"/>
      <c r="D93" s="116"/>
      <c r="E93" s="116"/>
      <c r="F93" s="113"/>
      <c r="G93" s="142"/>
      <c r="H93" s="142"/>
      <c r="I93" s="142"/>
      <c r="J93" s="142"/>
    </row>
    <row r="94" spans="1:17" x14ac:dyDescent="0.2">
      <c r="A94" s="113"/>
      <c r="B94" s="113"/>
      <c r="C94" s="113"/>
      <c r="D94" s="116"/>
      <c r="E94" s="116"/>
      <c r="F94" s="113"/>
      <c r="G94" s="142"/>
      <c r="H94" s="142"/>
      <c r="I94" s="142"/>
      <c r="J94" s="142"/>
    </row>
    <row r="95" spans="1:17" x14ac:dyDescent="0.2">
      <c r="A95" s="113"/>
      <c r="B95" s="113"/>
      <c r="C95" s="113"/>
      <c r="D95" s="116"/>
      <c r="E95" s="116"/>
      <c r="F95" s="113"/>
      <c r="G95" s="142"/>
      <c r="H95" s="142"/>
      <c r="I95" s="142"/>
      <c r="J95" s="142"/>
    </row>
    <row r="96" spans="1:17" x14ac:dyDescent="0.2">
      <c r="A96" s="113"/>
      <c r="B96" s="113"/>
      <c r="C96" s="113"/>
      <c r="D96" s="116"/>
      <c r="E96" s="116"/>
      <c r="F96" s="113"/>
      <c r="G96" s="142"/>
      <c r="H96" s="142"/>
      <c r="I96" s="142"/>
      <c r="J96" s="142"/>
    </row>
    <row r="97" spans="1:10" x14ac:dyDescent="0.2">
      <c r="A97" s="113"/>
      <c r="B97" s="113"/>
      <c r="C97" s="113"/>
      <c r="D97" s="116"/>
      <c r="E97" s="116"/>
      <c r="F97" s="113"/>
      <c r="G97" s="142"/>
      <c r="H97" s="142"/>
      <c r="I97" s="142"/>
      <c r="J97" s="142"/>
    </row>
    <row r="98" spans="1:10" x14ac:dyDescent="0.2">
      <c r="A98" s="113"/>
      <c r="B98" s="113"/>
      <c r="C98" s="113"/>
      <c r="D98" s="116"/>
      <c r="E98" s="116"/>
      <c r="F98" s="113"/>
      <c r="G98" s="142"/>
      <c r="H98" s="142"/>
      <c r="I98" s="142"/>
      <c r="J98" s="142"/>
    </row>
    <row r="99" spans="1:10" x14ac:dyDescent="0.2">
      <c r="G99" s="142"/>
      <c r="H99" s="142"/>
      <c r="I99" s="142"/>
      <c r="J99" s="142"/>
    </row>
    <row r="100" spans="1:10" x14ac:dyDescent="0.2">
      <c r="G100" s="142"/>
      <c r="H100" s="142"/>
      <c r="I100" s="142"/>
      <c r="J100" s="142"/>
    </row>
    <row r="101" spans="1:10" x14ac:dyDescent="0.2">
      <c r="G101" s="142"/>
      <c r="H101" s="142"/>
      <c r="I101" s="142"/>
      <c r="J101" s="142"/>
    </row>
    <row r="102" spans="1:10" x14ac:dyDescent="0.2">
      <c r="G102" s="142"/>
      <c r="H102" s="142"/>
      <c r="I102" s="142"/>
      <c r="J102" s="142"/>
    </row>
    <row r="103" spans="1:10" x14ac:dyDescent="0.2">
      <c r="G103" s="142"/>
      <c r="H103" s="142"/>
      <c r="I103" s="142"/>
      <c r="J103" s="142"/>
    </row>
    <row r="104" spans="1:10" x14ac:dyDescent="0.2">
      <c r="G104" s="142"/>
      <c r="H104" s="142"/>
      <c r="I104" s="142"/>
      <c r="J104" s="142"/>
    </row>
    <row r="105" spans="1:10" x14ac:dyDescent="0.2">
      <c r="G105" s="142"/>
      <c r="H105" s="142"/>
      <c r="I105" s="142"/>
      <c r="J105" s="142"/>
    </row>
    <row r="106" spans="1:10" x14ac:dyDescent="0.2">
      <c r="G106" s="142"/>
      <c r="H106" s="142"/>
      <c r="I106" s="142"/>
      <c r="J106" s="142"/>
    </row>
    <row r="107" spans="1:10" x14ac:dyDescent="0.2">
      <c r="G107" s="142"/>
      <c r="H107" s="142"/>
      <c r="I107" s="142"/>
      <c r="J107" s="142"/>
    </row>
    <row r="108" spans="1:10" x14ac:dyDescent="0.2">
      <c r="G108" s="142"/>
      <c r="H108" s="142"/>
      <c r="I108" s="142"/>
      <c r="J108" s="142"/>
    </row>
    <row r="109" spans="1:10" x14ac:dyDescent="0.2">
      <c r="G109" s="142"/>
      <c r="H109" s="142"/>
      <c r="I109" s="142"/>
      <c r="J109" s="142"/>
    </row>
  </sheetData>
  <mergeCells count="85">
    <mergeCell ref="A61:E61"/>
    <mergeCell ref="A64:C64"/>
    <mergeCell ref="A79:C79"/>
    <mergeCell ref="A75:C75"/>
    <mergeCell ref="A63:C63"/>
    <mergeCell ref="A1:E1"/>
    <mergeCell ref="C86:D86"/>
    <mergeCell ref="A53:C53"/>
    <mergeCell ref="A54:C54"/>
    <mergeCell ref="A55:C55"/>
    <mergeCell ref="A56:C56"/>
    <mergeCell ref="A57:C57"/>
    <mergeCell ref="A58:C58"/>
    <mergeCell ref="A59:C59"/>
    <mergeCell ref="A60:C60"/>
    <mergeCell ref="A65:C65"/>
    <mergeCell ref="A66:C66"/>
    <mergeCell ref="A68:C68"/>
    <mergeCell ref="A42:C42"/>
    <mergeCell ref="A62:C62"/>
    <mergeCell ref="A69:C69"/>
    <mergeCell ref="C87:D87"/>
    <mergeCell ref="C88:D88"/>
    <mergeCell ref="A70:C70"/>
    <mergeCell ref="A71:C71"/>
    <mergeCell ref="A72:C72"/>
    <mergeCell ref="A73:C73"/>
    <mergeCell ref="A74:C74"/>
    <mergeCell ref="A77:C77"/>
    <mergeCell ref="A82:C82"/>
    <mergeCell ref="A83:C83"/>
    <mergeCell ref="A80:C80"/>
    <mergeCell ref="A81:C81"/>
    <mergeCell ref="A78:C78"/>
    <mergeCell ref="A76:C76"/>
    <mergeCell ref="C85:D85"/>
    <mergeCell ref="A37:C37"/>
    <mergeCell ref="A38:C38"/>
    <mergeCell ref="A39:C39"/>
    <mergeCell ref="A36:C36"/>
    <mergeCell ref="A67:C67"/>
    <mergeCell ref="A40:C40"/>
    <mergeCell ref="A41:C41"/>
    <mergeCell ref="A49:C49"/>
    <mergeCell ref="A50:C50"/>
    <mergeCell ref="A51:C51"/>
    <mergeCell ref="A43:C43"/>
    <mergeCell ref="A44:C44"/>
    <mergeCell ref="A45:C45"/>
    <mergeCell ref="A46:C46"/>
    <mergeCell ref="A47:C47"/>
    <mergeCell ref="A48:C48"/>
    <mergeCell ref="A29:C29"/>
    <mergeCell ref="A35:C35"/>
    <mergeCell ref="A30:C30"/>
    <mergeCell ref="A31:C31"/>
    <mergeCell ref="A32:C32"/>
    <mergeCell ref="A33:C33"/>
    <mergeCell ref="A34:C34"/>
    <mergeCell ref="A22:C22"/>
    <mergeCell ref="A25:C25"/>
    <mergeCell ref="A26:C26"/>
    <mergeCell ref="A27:E27"/>
    <mergeCell ref="A28:C28"/>
    <mergeCell ref="A24:C24"/>
    <mergeCell ref="A23:C23"/>
    <mergeCell ref="A17:C17"/>
    <mergeCell ref="A18:C18"/>
    <mergeCell ref="A19:C19"/>
    <mergeCell ref="A20:C20"/>
    <mergeCell ref="A21:C21"/>
    <mergeCell ref="A3:E3"/>
    <mergeCell ref="A2:F2"/>
    <mergeCell ref="A11:C11"/>
    <mergeCell ref="A5:C5"/>
    <mergeCell ref="A6:C6"/>
    <mergeCell ref="A7:E7"/>
    <mergeCell ref="A8:C8"/>
    <mergeCell ref="A9:C9"/>
    <mergeCell ref="A10:C10"/>
    <mergeCell ref="A12:C12"/>
    <mergeCell ref="A13:C13"/>
    <mergeCell ref="A14:C14"/>
    <mergeCell ref="A15:C15"/>
    <mergeCell ref="A16:C16"/>
  </mergeCells>
  <pageMargins left="0.86614173228346458" right="0.27559055118110237" top="0.82677165354330717" bottom="0.47244094488188981" header="0.15748031496062992" footer="0.31496062992125984"/>
  <pageSetup paperSize="9" scale="92" fitToWidth="0" orientation="portrait" verticalDpi="4294967295" r:id="rId1"/>
  <rowBreaks count="1" manualBreakCount="1">
    <brk id="50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1"/>
  <sheetViews>
    <sheetView workbookViewId="0">
      <selection activeCell="J1" sqref="J1:J1048576"/>
    </sheetView>
  </sheetViews>
  <sheetFormatPr defaultColWidth="8.7265625" defaultRowHeight="14" x14ac:dyDescent="0.35"/>
  <cols>
    <col min="1" max="1" width="33.54296875" style="24" customWidth="1"/>
    <col min="2" max="2" width="16.1796875" style="24" customWidth="1"/>
    <col min="3" max="3" width="0" style="24" hidden="1" customWidth="1"/>
    <col min="4" max="4" width="12.453125" style="24" hidden="1" customWidth="1"/>
    <col min="5" max="5" width="10.453125" style="24" hidden="1" customWidth="1"/>
    <col min="6" max="6" width="15.453125" style="24" customWidth="1"/>
    <col min="7" max="7" width="14.81640625" style="24" customWidth="1"/>
    <col min="8" max="8" width="1.81640625" style="24" hidden="1" customWidth="1"/>
    <col min="9" max="9" width="16" style="24" customWidth="1"/>
    <col min="10" max="10" width="8.7265625" style="24" hidden="1" customWidth="1"/>
    <col min="11" max="16384" width="8.7265625" style="24"/>
  </cols>
  <sheetData>
    <row r="1" spans="1:13" ht="45" customHeight="1" x14ac:dyDescent="0.35">
      <c r="A1" s="347" t="str">
        <f>Ф1!A1</f>
        <v>ТОО "Микрофинансовая организация "Капиталинвест"" 
Промежуточная финансовая отчетность за период с 01.01.2024 г. по 30.09.2024 г.
в тыс. тенге</v>
      </c>
      <c r="B1" s="347"/>
      <c r="C1" s="347"/>
      <c r="D1" s="347"/>
      <c r="E1" s="347"/>
      <c r="F1" s="347"/>
      <c r="G1" s="347"/>
      <c r="H1" s="347"/>
      <c r="I1" s="347"/>
      <c r="J1" s="26"/>
      <c r="K1" s="26"/>
      <c r="L1" s="26"/>
      <c r="M1" s="26"/>
    </row>
    <row r="2" spans="1:13" x14ac:dyDescent="0.35">
      <c r="A2" s="353" t="s">
        <v>172</v>
      </c>
      <c r="B2" s="353"/>
      <c r="C2" s="353"/>
      <c r="D2" s="353"/>
      <c r="E2" s="353"/>
      <c r="F2" s="353"/>
      <c r="G2" s="353"/>
      <c r="H2" s="353"/>
      <c r="I2" s="353"/>
      <c r="J2" s="26"/>
      <c r="K2" s="26"/>
      <c r="L2" s="26"/>
      <c r="M2" s="26"/>
    </row>
    <row r="3" spans="1:13" x14ac:dyDescent="0.3">
      <c r="A3" s="355" t="s">
        <v>238</v>
      </c>
      <c r="B3" s="355"/>
      <c r="C3" s="355"/>
      <c r="D3" s="355"/>
      <c r="E3" s="355"/>
      <c r="F3" s="355"/>
      <c r="G3" s="355"/>
      <c r="H3" s="355"/>
      <c r="I3" s="355"/>
      <c r="J3" s="27"/>
      <c r="K3" s="27"/>
      <c r="L3" s="27"/>
      <c r="M3" s="26"/>
    </row>
    <row r="4" spans="1:13" x14ac:dyDescent="0.3">
      <c r="A4" s="28"/>
      <c r="B4" s="28"/>
      <c r="C4" s="28"/>
      <c r="D4" s="28"/>
      <c r="E4" s="28"/>
      <c r="F4" s="28"/>
      <c r="G4" s="28"/>
      <c r="H4" s="28"/>
      <c r="I4" s="28"/>
      <c r="J4" s="27"/>
      <c r="K4" s="27"/>
      <c r="L4" s="27"/>
      <c r="M4" s="26"/>
    </row>
    <row r="6" spans="1:13" x14ac:dyDescent="0.35">
      <c r="A6" s="26"/>
      <c r="B6" s="26"/>
      <c r="C6" s="26"/>
      <c r="D6" s="26"/>
      <c r="E6" s="26"/>
      <c r="F6" s="26"/>
      <c r="G6" s="26"/>
      <c r="H6" s="352" t="s">
        <v>0</v>
      </c>
      <c r="I6" s="352"/>
      <c r="J6" s="26"/>
      <c r="K6" s="26"/>
      <c r="L6" s="26"/>
      <c r="M6" s="26"/>
    </row>
    <row r="7" spans="1:13" ht="14.5" customHeight="1" x14ac:dyDescent="0.35">
      <c r="A7" s="354" t="s">
        <v>123</v>
      </c>
      <c r="B7" s="354" t="s">
        <v>124</v>
      </c>
      <c r="C7" s="354"/>
      <c r="D7" s="354"/>
      <c r="E7" s="354"/>
      <c r="F7" s="354"/>
      <c r="G7" s="354"/>
      <c r="H7" s="354" t="s">
        <v>125</v>
      </c>
      <c r="I7" s="354" t="s">
        <v>126</v>
      </c>
      <c r="J7" s="26"/>
      <c r="K7" s="26"/>
      <c r="L7" s="26"/>
      <c r="M7" s="26"/>
    </row>
    <row r="8" spans="1:13" ht="43.5" customHeight="1" x14ac:dyDescent="0.35">
      <c r="A8" s="354"/>
      <c r="B8" s="29" t="s">
        <v>12</v>
      </c>
      <c r="C8" s="29" t="s">
        <v>13</v>
      </c>
      <c r="D8" s="29" t="s">
        <v>127</v>
      </c>
      <c r="E8" s="29" t="s">
        <v>14</v>
      </c>
      <c r="F8" s="29" t="s">
        <v>128</v>
      </c>
      <c r="G8" s="29" t="s">
        <v>15</v>
      </c>
      <c r="H8" s="354"/>
      <c r="I8" s="354"/>
      <c r="J8" s="26"/>
      <c r="K8" s="26"/>
      <c r="L8" s="26"/>
      <c r="M8" s="26"/>
    </row>
    <row r="9" spans="1:13" x14ac:dyDescent="0.35">
      <c r="A9" s="30" t="s">
        <v>2</v>
      </c>
      <c r="B9" s="30" t="s">
        <v>4</v>
      </c>
      <c r="C9" s="30" t="s">
        <v>5</v>
      </c>
      <c r="D9" s="30" t="s">
        <v>129</v>
      </c>
      <c r="E9" s="30" t="s">
        <v>130</v>
      </c>
      <c r="F9" s="30" t="s">
        <v>131</v>
      </c>
      <c r="G9" s="30" t="s">
        <v>132</v>
      </c>
      <c r="H9" s="30" t="s">
        <v>133</v>
      </c>
      <c r="I9" s="30" t="s">
        <v>134</v>
      </c>
      <c r="J9" s="26"/>
      <c r="K9" s="26"/>
      <c r="L9" s="26"/>
      <c r="M9" s="26"/>
    </row>
    <row r="10" spans="1:13" x14ac:dyDescent="0.35">
      <c r="A10" s="31" t="s">
        <v>217</v>
      </c>
      <c r="B10" s="32">
        <v>100000</v>
      </c>
      <c r="C10" s="32" t="s">
        <v>6</v>
      </c>
      <c r="D10" s="32" t="s">
        <v>6</v>
      </c>
      <c r="E10" s="33" t="s">
        <v>6</v>
      </c>
      <c r="F10" s="32">
        <v>263242</v>
      </c>
      <c r="G10" s="33" t="s">
        <v>6</v>
      </c>
      <c r="H10" s="33" t="s">
        <v>6</v>
      </c>
      <c r="I10" s="34">
        <f>SUM(B10:H10)</f>
        <v>363242</v>
      </c>
      <c r="J10" s="26"/>
      <c r="K10" s="26"/>
      <c r="L10" s="26"/>
      <c r="M10" s="26"/>
    </row>
    <row r="11" spans="1:13" x14ac:dyDescent="0.35">
      <c r="A11" s="35" t="s">
        <v>135</v>
      </c>
      <c r="B11" s="36" t="s">
        <v>6</v>
      </c>
      <c r="C11" s="36" t="s">
        <v>6</v>
      </c>
      <c r="D11" s="36" t="s">
        <v>6</v>
      </c>
      <c r="E11" s="37" t="s">
        <v>6</v>
      </c>
      <c r="F11" s="37" t="s">
        <v>6</v>
      </c>
      <c r="G11" s="37" t="s">
        <v>6</v>
      </c>
      <c r="H11" s="37" t="s">
        <v>6</v>
      </c>
      <c r="I11" s="38" t="s">
        <v>6</v>
      </c>
      <c r="J11" s="26"/>
      <c r="K11" s="26"/>
      <c r="L11" s="26"/>
      <c r="M11" s="26"/>
    </row>
    <row r="12" spans="1:13" x14ac:dyDescent="0.35">
      <c r="A12" s="35" t="s">
        <v>223</v>
      </c>
      <c r="B12" s="34">
        <f>B10</f>
        <v>100000</v>
      </c>
      <c r="C12" s="34" t="s">
        <v>6</v>
      </c>
      <c r="D12" s="34" t="s">
        <v>6</v>
      </c>
      <c r="E12" s="38" t="s">
        <v>6</v>
      </c>
      <c r="F12" s="34">
        <f>F10</f>
        <v>263242</v>
      </c>
      <c r="G12" s="38" t="s">
        <v>6</v>
      </c>
      <c r="H12" s="38" t="s">
        <v>6</v>
      </c>
      <c r="I12" s="34">
        <f t="shared" ref="I12:I14" si="0">SUM(B12:H12)</f>
        <v>363242</v>
      </c>
      <c r="J12" s="26"/>
      <c r="K12" s="26"/>
      <c r="L12" s="26"/>
      <c r="M12" s="26"/>
    </row>
    <row r="13" spans="1:13" x14ac:dyDescent="0.35">
      <c r="A13" s="31" t="s">
        <v>157</v>
      </c>
      <c r="B13" s="34" t="s">
        <v>6</v>
      </c>
      <c r="C13" s="34" t="s">
        <v>6</v>
      </c>
      <c r="D13" s="34" t="s">
        <v>6</v>
      </c>
      <c r="E13" s="38" t="s">
        <v>6</v>
      </c>
      <c r="F13" s="34">
        <f>F14</f>
        <v>142909</v>
      </c>
      <c r="G13" s="38" t="s">
        <v>6</v>
      </c>
      <c r="H13" s="38" t="s">
        <v>6</v>
      </c>
      <c r="I13" s="34">
        <f t="shared" si="0"/>
        <v>142909</v>
      </c>
      <c r="J13" s="26"/>
      <c r="K13" s="26"/>
      <c r="L13" s="26"/>
      <c r="M13" s="26"/>
    </row>
    <row r="14" spans="1:13" x14ac:dyDescent="0.35">
      <c r="A14" s="35" t="s">
        <v>437</v>
      </c>
      <c r="B14" s="36" t="s">
        <v>6</v>
      </c>
      <c r="C14" s="36" t="s">
        <v>6</v>
      </c>
      <c r="D14" s="36" t="s">
        <v>6</v>
      </c>
      <c r="E14" s="37" t="s">
        <v>6</v>
      </c>
      <c r="F14" s="39">
        <f>Ф2!F41</f>
        <v>142909</v>
      </c>
      <c r="G14" s="37" t="s">
        <v>6</v>
      </c>
      <c r="H14" s="37" t="s">
        <v>6</v>
      </c>
      <c r="I14" s="34">
        <f t="shared" si="0"/>
        <v>142909</v>
      </c>
      <c r="J14" s="26"/>
      <c r="K14" s="26"/>
      <c r="L14" s="26"/>
      <c r="M14" s="26"/>
    </row>
    <row r="15" spans="1:13" hidden="1" x14ac:dyDescent="0.35">
      <c r="A15" s="35" t="s">
        <v>158</v>
      </c>
      <c r="B15" s="34" t="s">
        <v>6</v>
      </c>
      <c r="C15" s="34" t="s">
        <v>6</v>
      </c>
      <c r="D15" s="34" t="s">
        <v>6</v>
      </c>
      <c r="E15" s="38" t="s">
        <v>6</v>
      </c>
      <c r="F15" s="38" t="s">
        <v>6</v>
      </c>
      <c r="G15" s="38" t="s">
        <v>6</v>
      </c>
      <c r="H15" s="38" t="s">
        <v>6</v>
      </c>
      <c r="I15" s="38" t="s">
        <v>6</v>
      </c>
      <c r="J15" s="26" t="s">
        <v>26</v>
      </c>
      <c r="K15" s="26"/>
      <c r="L15" s="26"/>
      <c r="M15" s="26"/>
    </row>
    <row r="16" spans="1:13" ht="14.5" hidden="1" customHeight="1" x14ac:dyDescent="0.35">
      <c r="A16" s="35" t="s">
        <v>32</v>
      </c>
      <c r="B16" s="36" t="s">
        <v>6</v>
      </c>
      <c r="C16" s="36" t="s">
        <v>6</v>
      </c>
      <c r="D16" s="36" t="s">
        <v>6</v>
      </c>
      <c r="E16" s="36" t="s">
        <v>6</v>
      </c>
      <c r="F16" s="37" t="s">
        <v>6</v>
      </c>
      <c r="G16" s="36" t="s">
        <v>6</v>
      </c>
      <c r="H16" s="36" t="s">
        <v>6</v>
      </c>
      <c r="I16" s="38" t="s">
        <v>6</v>
      </c>
      <c r="J16" s="26"/>
      <c r="K16" s="26"/>
      <c r="L16" s="26"/>
      <c r="M16" s="26"/>
    </row>
    <row r="17" spans="1:14" ht="70" hidden="1" x14ac:dyDescent="0.35">
      <c r="A17" s="35" t="s">
        <v>136</v>
      </c>
      <c r="B17" s="36" t="s">
        <v>6</v>
      </c>
      <c r="C17" s="36" t="s">
        <v>6</v>
      </c>
      <c r="D17" s="36" t="s">
        <v>6</v>
      </c>
      <c r="E17" s="37" t="s">
        <v>6</v>
      </c>
      <c r="F17" s="37" t="s">
        <v>6</v>
      </c>
      <c r="G17" s="37" t="s">
        <v>6</v>
      </c>
      <c r="H17" s="37" t="s">
        <v>6</v>
      </c>
      <c r="I17" s="38" t="s">
        <v>6</v>
      </c>
      <c r="J17" s="26"/>
      <c r="K17" s="26"/>
      <c r="L17" s="26"/>
      <c r="M17" s="26"/>
    </row>
    <row r="18" spans="1:14" ht="70" hidden="1" x14ac:dyDescent="0.35">
      <c r="A18" s="35" t="s">
        <v>137</v>
      </c>
      <c r="B18" s="36" t="s">
        <v>6</v>
      </c>
      <c r="C18" s="36" t="s">
        <v>6</v>
      </c>
      <c r="D18" s="36" t="s">
        <v>6</v>
      </c>
      <c r="E18" s="36" t="s">
        <v>6</v>
      </c>
      <c r="F18" s="37" t="s">
        <v>6</v>
      </c>
      <c r="G18" s="36" t="s">
        <v>6</v>
      </c>
      <c r="H18" s="36" t="s">
        <v>6</v>
      </c>
      <c r="I18" s="38" t="s">
        <v>6</v>
      </c>
      <c r="J18" s="26"/>
      <c r="K18" s="26"/>
      <c r="L18" s="26"/>
      <c r="M18" s="26"/>
    </row>
    <row r="19" spans="1:14" ht="42" hidden="1" x14ac:dyDescent="0.3">
      <c r="A19" s="40" t="s">
        <v>138</v>
      </c>
      <c r="B19" s="41" t="s">
        <v>6</v>
      </c>
      <c r="C19" s="41" t="s">
        <v>6</v>
      </c>
      <c r="D19" s="41" t="s">
        <v>6</v>
      </c>
      <c r="E19" s="42" t="s">
        <v>6</v>
      </c>
      <c r="F19" s="42" t="s">
        <v>6</v>
      </c>
      <c r="G19" s="42" t="s">
        <v>6</v>
      </c>
      <c r="H19" s="42" t="s">
        <v>6</v>
      </c>
      <c r="I19" s="43" t="s">
        <v>6</v>
      </c>
      <c r="J19" s="44"/>
      <c r="K19" s="44"/>
      <c r="L19" s="44"/>
      <c r="M19" s="44"/>
      <c r="N19" s="44"/>
    </row>
    <row r="20" spans="1:14" ht="70" hidden="1" x14ac:dyDescent="0.3">
      <c r="A20" s="40" t="s">
        <v>34</v>
      </c>
      <c r="B20" s="45" t="s">
        <v>6</v>
      </c>
      <c r="C20" s="45" t="s">
        <v>6</v>
      </c>
      <c r="D20" s="45" t="s">
        <v>6</v>
      </c>
      <c r="E20" s="46" t="s">
        <v>6</v>
      </c>
      <c r="F20" s="46" t="s">
        <v>6</v>
      </c>
      <c r="G20" s="46" t="s">
        <v>6</v>
      </c>
      <c r="H20" s="46" t="s">
        <v>6</v>
      </c>
      <c r="I20" s="47" t="s">
        <v>6</v>
      </c>
      <c r="J20" s="44"/>
      <c r="K20" s="44"/>
      <c r="L20" s="44"/>
      <c r="M20" s="44"/>
      <c r="N20" s="44"/>
    </row>
    <row r="21" spans="1:14" ht="28" hidden="1" x14ac:dyDescent="0.3">
      <c r="A21" s="40" t="s">
        <v>44</v>
      </c>
      <c r="B21" s="45" t="s">
        <v>6</v>
      </c>
      <c r="C21" s="45" t="s">
        <v>6</v>
      </c>
      <c r="D21" s="45" t="s">
        <v>6</v>
      </c>
      <c r="E21" s="46" t="s">
        <v>6</v>
      </c>
      <c r="F21" s="46" t="s">
        <v>6</v>
      </c>
      <c r="G21" s="46" t="s">
        <v>6</v>
      </c>
      <c r="H21" s="46" t="s">
        <v>6</v>
      </c>
      <c r="I21" s="47" t="s">
        <v>6</v>
      </c>
      <c r="J21" s="44"/>
      <c r="K21" s="44"/>
      <c r="L21" s="44"/>
      <c r="M21" s="44"/>
      <c r="N21" s="44"/>
    </row>
    <row r="22" spans="1:14" ht="42" hidden="1" x14ac:dyDescent="0.3">
      <c r="A22" s="40" t="s">
        <v>139</v>
      </c>
      <c r="B22" s="45" t="s">
        <v>6</v>
      </c>
      <c r="C22" s="45" t="s">
        <v>6</v>
      </c>
      <c r="D22" s="45" t="s">
        <v>6</v>
      </c>
      <c r="E22" s="45" t="s">
        <v>6</v>
      </c>
      <c r="F22" s="46" t="s">
        <v>6</v>
      </c>
      <c r="G22" s="45" t="s">
        <v>6</v>
      </c>
      <c r="H22" s="45" t="s">
        <v>6</v>
      </c>
      <c r="I22" s="47" t="s">
        <v>6</v>
      </c>
      <c r="J22" s="44"/>
      <c r="K22" s="44"/>
      <c r="L22" s="44"/>
      <c r="M22" s="44"/>
      <c r="N22" s="44"/>
    </row>
    <row r="23" spans="1:14" ht="28" hidden="1" x14ac:dyDescent="0.3">
      <c r="A23" s="40" t="s">
        <v>140</v>
      </c>
      <c r="B23" s="45" t="s">
        <v>6</v>
      </c>
      <c r="C23" s="45" t="s">
        <v>6</v>
      </c>
      <c r="D23" s="45" t="s">
        <v>6</v>
      </c>
      <c r="E23" s="45" t="s">
        <v>6</v>
      </c>
      <c r="F23" s="46" t="s">
        <v>6</v>
      </c>
      <c r="G23" s="46" t="s">
        <v>6</v>
      </c>
      <c r="H23" s="46" t="s">
        <v>6</v>
      </c>
      <c r="I23" s="47" t="s">
        <v>6</v>
      </c>
      <c r="J23" s="44"/>
      <c r="K23" s="44"/>
      <c r="L23" s="44"/>
      <c r="M23" s="44"/>
      <c r="N23" s="44"/>
    </row>
    <row r="24" spans="1:14" ht="28" hidden="1" x14ac:dyDescent="0.3">
      <c r="A24" s="40" t="s">
        <v>38</v>
      </c>
      <c r="B24" s="41" t="s">
        <v>6</v>
      </c>
      <c r="C24" s="41" t="s">
        <v>6</v>
      </c>
      <c r="D24" s="41" t="s">
        <v>6</v>
      </c>
      <c r="E24" s="42" t="s">
        <v>6</v>
      </c>
      <c r="F24" s="42" t="s">
        <v>6</v>
      </c>
      <c r="G24" s="42" t="s">
        <v>6</v>
      </c>
      <c r="H24" s="42" t="s">
        <v>6</v>
      </c>
      <c r="I24" s="43" t="s">
        <v>6</v>
      </c>
      <c r="J24" s="44"/>
      <c r="K24" s="44"/>
      <c r="L24" s="44"/>
      <c r="M24" s="44"/>
      <c r="N24" s="44"/>
    </row>
    <row r="25" spans="1:14" ht="42" hidden="1" x14ac:dyDescent="0.3">
      <c r="A25" s="40" t="s">
        <v>141</v>
      </c>
      <c r="B25" s="41" t="s">
        <v>6</v>
      </c>
      <c r="C25" s="41" t="s">
        <v>6</v>
      </c>
      <c r="D25" s="41" t="s">
        <v>6</v>
      </c>
      <c r="E25" s="41" t="s">
        <v>6</v>
      </c>
      <c r="F25" s="41" t="s">
        <v>6</v>
      </c>
      <c r="G25" s="41" t="s">
        <v>6</v>
      </c>
      <c r="H25" s="41" t="s">
        <v>6</v>
      </c>
      <c r="I25" s="47" t="s">
        <v>6</v>
      </c>
      <c r="J25" s="44"/>
      <c r="K25" s="44"/>
      <c r="L25" s="44"/>
      <c r="M25" s="44"/>
      <c r="N25" s="44"/>
    </row>
    <row r="26" spans="1:14" x14ac:dyDescent="0.3">
      <c r="A26" s="40" t="s">
        <v>159</v>
      </c>
      <c r="B26" s="48">
        <f>B33</f>
        <v>50000</v>
      </c>
      <c r="C26" s="48" t="s">
        <v>6</v>
      </c>
      <c r="D26" s="48" t="s">
        <v>6</v>
      </c>
      <c r="E26" s="47" t="s">
        <v>6</v>
      </c>
      <c r="F26" s="47" t="s">
        <v>6</v>
      </c>
      <c r="G26" s="47" t="s">
        <v>6</v>
      </c>
      <c r="H26" s="47" t="s">
        <v>6</v>
      </c>
      <c r="I26" s="34">
        <f t="shared" ref="I26" si="1">SUM(B26:H26)</f>
        <v>50000</v>
      </c>
      <c r="J26" s="44"/>
      <c r="K26" s="44"/>
      <c r="L26" s="44"/>
      <c r="M26" s="44"/>
      <c r="N26" s="44"/>
    </row>
    <row r="27" spans="1:14" x14ac:dyDescent="0.3">
      <c r="A27" s="40" t="s">
        <v>32</v>
      </c>
      <c r="B27" s="45" t="s">
        <v>6</v>
      </c>
      <c r="C27" s="45" t="s">
        <v>6</v>
      </c>
      <c r="D27" s="45" t="s">
        <v>6</v>
      </c>
      <c r="E27" s="46" t="s">
        <v>6</v>
      </c>
      <c r="F27" s="46" t="s">
        <v>6</v>
      </c>
      <c r="G27" s="46" t="s">
        <v>6</v>
      </c>
      <c r="H27" s="46" t="s">
        <v>6</v>
      </c>
      <c r="I27" s="47" t="s">
        <v>6</v>
      </c>
      <c r="J27" s="44"/>
      <c r="K27" s="44"/>
      <c r="L27" s="44"/>
      <c r="M27" s="44"/>
      <c r="N27" s="44"/>
    </row>
    <row r="28" spans="1:14" ht="28" hidden="1" x14ac:dyDescent="0.3">
      <c r="A28" s="40" t="s">
        <v>142</v>
      </c>
      <c r="B28" s="45" t="s">
        <v>6</v>
      </c>
      <c r="C28" s="45" t="s">
        <v>6</v>
      </c>
      <c r="D28" s="45" t="s">
        <v>6</v>
      </c>
      <c r="E28" s="46" t="s">
        <v>6</v>
      </c>
      <c r="F28" s="46" t="s">
        <v>6</v>
      </c>
      <c r="G28" s="46" t="s">
        <v>6</v>
      </c>
      <c r="H28" s="46" t="s">
        <v>6</v>
      </c>
      <c r="I28" s="47" t="s">
        <v>6</v>
      </c>
      <c r="J28" s="44"/>
      <c r="K28" s="44"/>
      <c r="L28" s="44"/>
      <c r="M28" s="44"/>
      <c r="N28" s="44"/>
    </row>
    <row r="29" spans="1:14" hidden="1" x14ac:dyDescent="0.3">
      <c r="A29" s="40" t="s">
        <v>32</v>
      </c>
      <c r="B29" s="45" t="s">
        <v>6</v>
      </c>
      <c r="C29" s="45" t="s">
        <v>6</v>
      </c>
      <c r="D29" s="45" t="s">
        <v>6</v>
      </c>
      <c r="E29" s="46" t="s">
        <v>6</v>
      </c>
      <c r="F29" s="46" t="s">
        <v>6</v>
      </c>
      <c r="G29" s="46" t="s">
        <v>6</v>
      </c>
      <c r="H29" s="46" t="s">
        <v>6</v>
      </c>
      <c r="I29" s="47" t="s">
        <v>6</v>
      </c>
      <c r="J29" s="44"/>
      <c r="K29" s="44"/>
      <c r="L29" s="44"/>
      <c r="M29" s="44"/>
      <c r="N29" s="44"/>
    </row>
    <row r="30" spans="1:14" hidden="1" x14ac:dyDescent="0.3">
      <c r="A30" s="40" t="s">
        <v>143</v>
      </c>
      <c r="B30" s="45" t="s">
        <v>6</v>
      </c>
      <c r="C30" s="45" t="s">
        <v>6</v>
      </c>
      <c r="D30" s="45" t="s">
        <v>6</v>
      </c>
      <c r="E30" s="46" t="s">
        <v>6</v>
      </c>
      <c r="F30" s="46" t="s">
        <v>6</v>
      </c>
      <c r="G30" s="46" t="s">
        <v>6</v>
      </c>
      <c r="H30" s="46" t="s">
        <v>6</v>
      </c>
      <c r="I30" s="47" t="s">
        <v>6</v>
      </c>
      <c r="J30" s="44"/>
      <c r="K30" s="44"/>
      <c r="L30" s="44"/>
      <c r="M30" s="44"/>
      <c r="N30" s="44"/>
    </row>
    <row r="31" spans="1:14" ht="28" hidden="1" x14ac:dyDescent="0.3">
      <c r="A31" s="40" t="s">
        <v>144</v>
      </c>
      <c r="B31" s="45" t="s">
        <v>6</v>
      </c>
      <c r="C31" s="45" t="s">
        <v>6</v>
      </c>
      <c r="D31" s="45" t="s">
        <v>6</v>
      </c>
      <c r="E31" s="46" t="s">
        <v>6</v>
      </c>
      <c r="F31" s="46" t="s">
        <v>6</v>
      </c>
      <c r="G31" s="46" t="s">
        <v>6</v>
      </c>
      <c r="H31" s="46" t="s">
        <v>6</v>
      </c>
      <c r="I31" s="47" t="s">
        <v>6</v>
      </c>
      <c r="J31" s="44"/>
      <c r="K31" s="44"/>
      <c r="L31" s="44"/>
      <c r="M31" s="44"/>
      <c r="N31" s="44"/>
    </row>
    <row r="32" spans="1:14" ht="42" hidden="1" x14ac:dyDescent="0.3">
      <c r="A32" s="40" t="s">
        <v>145</v>
      </c>
      <c r="B32" s="45" t="s">
        <v>6</v>
      </c>
      <c r="C32" s="45" t="s">
        <v>6</v>
      </c>
      <c r="D32" s="45" t="s">
        <v>6</v>
      </c>
      <c r="E32" s="46" t="s">
        <v>6</v>
      </c>
      <c r="F32" s="46" t="s">
        <v>6</v>
      </c>
      <c r="G32" s="46" t="s">
        <v>6</v>
      </c>
      <c r="H32" s="46" t="s">
        <v>6</v>
      </c>
      <c r="I32" s="47" t="s">
        <v>6</v>
      </c>
      <c r="J32" s="44"/>
      <c r="K32" s="44"/>
      <c r="L32" s="44"/>
      <c r="M32" s="44"/>
      <c r="N32" s="44"/>
    </row>
    <row r="33" spans="1:15" x14ac:dyDescent="0.3">
      <c r="A33" s="40" t="s">
        <v>146</v>
      </c>
      <c r="B33" s="45">
        <v>50000</v>
      </c>
      <c r="C33" s="45" t="s">
        <v>6</v>
      </c>
      <c r="D33" s="45" t="s">
        <v>6</v>
      </c>
      <c r="E33" s="46" t="s">
        <v>6</v>
      </c>
      <c r="F33" s="46" t="s">
        <v>6</v>
      </c>
      <c r="G33" s="46" t="s">
        <v>6</v>
      </c>
      <c r="H33" s="46" t="s">
        <v>6</v>
      </c>
      <c r="I33" s="34">
        <f t="shared" ref="I33" si="2">SUM(B33:H33)</f>
        <v>50000</v>
      </c>
      <c r="J33" s="44"/>
      <c r="K33" s="44"/>
      <c r="L33" s="44"/>
      <c r="M33" s="44"/>
      <c r="N33" s="44"/>
    </row>
    <row r="34" spans="1:15" ht="28" hidden="1" x14ac:dyDescent="0.3">
      <c r="A34" s="40" t="s">
        <v>147</v>
      </c>
      <c r="B34" s="45" t="s">
        <v>6</v>
      </c>
      <c r="C34" s="45" t="s">
        <v>6</v>
      </c>
      <c r="D34" s="45" t="s">
        <v>6</v>
      </c>
      <c r="E34" s="46" t="s">
        <v>6</v>
      </c>
      <c r="F34" s="46" t="s">
        <v>6</v>
      </c>
      <c r="G34" s="46" t="s">
        <v>6</v>
      </c>
      <c r="H34" s="46" t="s">
        <v>6</v>
      </c>
      <c r="I34" s="47" t="s">
        <v>6</v>
      </c>
      <c r="J34" s="44"/>
      <c r="K34" s="44"/>
      <c r="L34" s="44"/>
      <c r="M34" s="44"/>
      <c r="N34" s="44"/>
    </row>
    <row r="35" spans="1:15" s="25" customFormat="1" hidden="1" x14ac:dyDescent="0.3">
      <c r="A35" s="40"/>
      <c r="B35" s="45"/>
      <c r="C35" s="45"/>
      <c r="D35" s="45"/>
      <c r="E35" s="46"/>
      <c r="F35" s="46"/>
      <c r="G35" s="46"/>
      <c r="H35" s="46"/>
      <c r="I35" s="47"/>
      <c r="J35" s="49"/>
      <c r="K35" s="49"/>
      <c r="L35" s="49"/>
      <c r="M35" s="49"/>
      <c r="N35" s="49"/>
    </row>
    <row r="36" spans="1:15" ht="14.5" hidden="1" customHeight="1" x14ac:dyDescent="0.3">
      <c r="A36" s="349" t="s">
        <v>123</v>
      </c>
      <c r="B36" s="350" t="s">
        <v>124</v>
      </c>
      <c r="C36" s="350"/>
      <c r="D36" s="350"/>
      <c r="E36" s="350"/>
      <c r="F36" s="350"/>
      <c r="G36" s="350"/>
      <c r="H36" s="351" t="s">
        <v>125</v>
      </c>
      <c r="I36" s="348" t="s">
        <v>126</v>
      </c>
      <c r="J36" s="44"/>
      <c r="K36" s="44"/>
      <c r="L36" s="44"/>
      <c r="M36" s="44"/>
      <c r="N36" s="44"/>
      <c r="O36" s="44"/>
    </row>
    <row r="37" spans="1:15" ht="70" hidden="1" x14ac:dyDescent="0.3">
      <c r="A37" s="349"/>
      <c r="B37" s="50" t="s">
        <v>12</v>
      </c>
      <c r="C37" s="50" t="s">
        <v>13</v>
      </c>
      <c r="D37" s="50" t="s">
        <v>127</v>
      </c>
      <c r="E37" s="50" t="s">
        <v>14</v>
      </c>
      <c r="F37" s="50" t="s">
        <v>128</v>
      </c>
      <c r="G37" s="50" t="s">
        <v>15</v>
      </c>
      <c r="H37" s="351"/>
      <c r="I37" s="348"/>
      <c r="J37" s="44"/>
      <c r="K37" s="44"/>
      <c r="L37" s="44"/>
      <c r="M37" s="44"/>
      <c r="N37" s="44"/>
      <c r="O37" s="44"/>
    </row>
    <row r="38" spans="1:15" hidden="1" x14ac:dyDescent="0.3">
      <c r="A38" s="51" t="s">
        <v>2</v>
      </c>
      <c r="B38" s="52" t="s">
        <v>4</v>
      </c>
      <c r="C38" s="52" t="s">
        <v>5</v>
      </c>
      <c r="D38" s="53" t="s">
        <v>129</v>
      </c>
      <c r="E38" s="53" t="s">
        <v>130</v>
      </c>
      <c r="F38" s="53" t="s">
        <v>131</v>
      </c>
      <c r="G38" s="53" t="s">
        <v>132</v>
      </c>
      <c r="H38" s="53" t="s">
        <v>133</v>
      </c>
      <c r="I38" s="53" t="s">
        <v>134</v>
      </c>
      <c r="J38" s="44"/>
      <c r="K38" s="44"/>
      <c r="L38" s="44"/>
      <c r="M38" s="44"/>
      <c r="N38" s="44"/>
      <c r="O38" s="44"/>
    </row>
    <row r="39" spans="1:15" ht="28" hidden="1" x14ac:dyDescent="0.3">
      <c r="A39" s="40" t="s">
        <v>148</v>
      </c>
      <c r="B39" s="45" t="s">
        <v>6</v>
      </c>
      <c r="C39" s="45" t="s">
        <v>6</v>
      </c>
      <c r="D39" s="45" t="s">
        <v>6</v>
      </c>
      <c r="E39" s="46" t="s">
        <v>6</v>
      </c>
      <c r="F39" s="46" t="s">
        <v>6</v>
      </c>
      <c r="G39" s="46" t="s">
        <v>6</v>
      </c>
      <c r="H39" s="46" t="s">
        <v>6</v>
      </c>
      <c r="I39" s="47" t="s">
        <v>6</v>
      </c>
      <c r="J39" s="44"/>
      <c r="K39" s="44"/>
      <c r="L39" s="44"/>
      <c r="M39" s="44"/>
      <c r="N39" s="44"/>
    </row>
    <row r="40" spans="1:15" ht="42" hidden="1" x14ac:dyDescent="0.3">
      <c r="A40" s="40" t="s">
        <v>149</v>
      </c>
      <c r="B40" s="45" t="s">
        <v>6</v>
      </c>
      <c r="C40" s="45" t="s">
        <v>6</v>
      </c>
      <c r="D40" s="45" t="s">
        <v>6</v>
      </c>
      <c r="E40" s="46" t="s">
        <v>6</v>
      </c>
      <c r="F40" s="46" t="s">
        <v>6</v>
      </c>
      <c r="G40" s="46" t="s">
        <v>6</v>
      </c>
      <c r="H40" s="46" t="s">
        <v>6</v>
      </c>
      <c r="I40" s="47" t="s">
        <v>6</v>
      </c>
      <c r="J40" s="44"/>
      <c r="K40" s="44"/>
      <c r="L40" s="44"/>
      <c r="M40" s="44"/>
      <c r="N40" s="44"/>
    </row>
    <row r="41" spans="1:15" ht="12.65" hidden="1" customHeight="1" x14ac:dyDescent="0.3">
      <c r="A41" s="40" t="s">
        <v>150</v>
      </c>
      <c r="B41" s="45" t="s">
        <v>6</v>
      </c>
      <c r="C41" s="45" t="s">
        <v>6</v>
      </c>
      <c r="D41" s="45" t="s">
        <v>6</v>
      </c>
      <c r="E41" s="46" t="s">
        <v>6</v>
      </c>
      <c r="F41" s="46" t="s">
        <v>6</v>
      </c>
      <c r="G41" s="46" t="s">
        <v>6</v>
      </c>
      <c r="H41" s="46" t="s">
        <v>6</v>
      </c>
      <c r="I41" s="47" t="s">
        <v>6</v>
      </c>
      <c r="J41" s="44"/>
      <c r="K41" s="44"/>
      <c r="L41" s="44"/>
      <c r="M41" s="44"/>
      <c r="N41" s="44"/>
    </row>
    <row r="42" spans="1:15" ht="28" hidden="1" x14ac:dyDescent="0.3">
      <c r="A42" s="40" t="s">
        <v>151</v>
      </c>
      <c r="B42" s="45" t="s">
        <v>6</v>
      </c>
      <c r="C42" s="45" t="s">
        <v>6</v>
      </c>
      <c r="D42" s="45" t="s">
        <v>6</v>
      </c>
      <c r="E42" s="46" t="s">
        <v>6</v>
      </c>
      <c r="F42" s="46" t="s">
        <v>6</v>
      </c>
      <c r="G42" s="46" t="s">
        <v>6</v>
      </c>
      <c r="H42" s="46" t="s">
        <v>6</v>
      </c>
      <c r="I42" s="47" t="s">
        <v>6</v>
      </c>
      <c r="J42" s="44"/>
      <c r="K42" s="44"/>
      <c r="L42" s="44"/>
      <c r="M42" s="44"/>
      <c r="N42" s="44"/>
    </row>
    <row r="43" spans="1:15" hidden="1" x14ac:dyDescent="0.3">
      <c r="A43" s="40" t="s">
        <v>152</v>
      </c>
      <c r="B43" s="45" t="s">
        <v>6</v>
      </c>
      <c r="C43" s="45" t="s">
        <v>6</v>
      </c>
      <c r="D43" s="45" t="s">
        <v>6</v>
      </c>
      <c r="E43" s="46" t="s">
        <v>6</v>
      </c>
      <c r="F43" s="46" t="s">
        <v>6</v>
      </c>
      <c r="G43" s="46" t="s">
        <v>6</v>
      </c>
      <c r="H43" s="46" t="s">
        <v>6</v>
      </c>
      <c r="I43" s="47" t="s">
        <v>6</v>
      </c>
      <c r="J43" s="44"/>
      <c r="K43" s="44"/>
      <c r="L43" s="44"/>
      <c r="M43" s="44"/>
      <c r="N43" s="44"/>
    </row>
    <row r="44" spans="1:15" ht="42" hidden="1" x14ac:dyDescent="0.3">
      <c r="A44" s="40" t="s">
        <v>153</v>
      </c>
      <c r="B44" s="45" t="s">
        <v>6</v>
      </c>
      <c r="C44" s="45" t="s">
        <v>6</v>
      </c>
      <c r="D44" s="45" t="s">
        <v>6</v>
      </c>
      <c r="E44" s="46" t="s">
        <v>6</v>
      </c>
      <c r="F44" s="46" t="s">
        <v>6</v>
      </c>
      <c r="G44" s="46" t="s">
        <v>6</v>
      </c>
      <c r="H44" s="46" t="s">
        <v>6</v>
      </c>
      <c r="I44" s="47" t="s">
        <v>6</v>
      </c>
      <c r="J44" s="44" t="s">
        <v>26</v>
      </c>
      <c r="K44" s="44"/>
      <c r="L44" s="44"/>
      <c r="M44" s="44"/>
      <c r="N44" s="44"/>
    </row>
    <row r="45" spans="1:15" ht="12.65" customHeight="1" x14ac:dyDescent="0.3">
      <c r="A45" s="40" t="s">
        <v>154</v>
      </c>
      <c r="B45" s="45" t="s">
        <v>6</v>
      </c>
      <c r="C45" s="45" t="s">
        <v>6</v>
      </c>
      <c r="D45" s="45" t="s">
        <v>6</v>
      </c>
      <c r="E45" s="46" t="s">
        <v>6</v>
      </c>
      <c r="F45" s="46" t="s">
        <v>6</v>
      </c>
      <c r="G45" s="46" t="s">
        <v>6</v>
      </c>
      <c r="H45" s="46" t="s">
        <v>6</v>
      </c>
      <c r="I45" s="47" t="s">
        <v>6</v>
      </c>
      <c r="J45" s="44" t="s">
        <v>26</v>
      </c>
      <c r="K45" s="44"/>
      <c r="L45" s="44"/>
      <c r="M45" s="44"/>
      <c r="N45" s="44"/>
    </row>
    <row r="46" spans="1:15" x14ac:dyDescent="0.3">
      <c r="A46" s="54" t="s">
        <v>435</v>
      </c>
      <c r="B46" s="48">
        <f>B12+B33</f>
        <v>150000</v>
      </c>
      <c r="C46" s="48" t="s">
        <v>6</v>
      </c>
      <c r="D46" s="48" t="s">
        <v>6</v>
      </c>
      <c r="E46" s="48" t="s">
        <v>6</v>
      </c>
      <c r="F46" s="48">
        <f>F12+F13</f>
        <v>406151</v>
      </c>
      <c r="G46" s="48" t="s">
        <v>6</v>
      </c>
      <c r="H46" s="48" t="s">
        <v>6</v>
      </c>
      <c r="I46" s="55">
        <f t="shared" ref="I46" si="3">SUM(B46:H46)</f>
        <v>556151</v>
      </c>
      <c r="J46" s="44"/>
      <c r="K46" s="44"/>
      <c r="L46" s="44"/>
      <c r="M46" s="44"/>
      <c r="N46" s="44"/>
    </row>
    <row r="47" spans="1:15" x14ac:dyDescent="0.3">
      <c r="A47" s="54"/>
      <c r="B47" s="48"/>
      <c r="C47" s="48"/>
      <c r="D47" s="48"/>
      <c r="E47" s="48"/>
      <c r="F47" s="48"/>
      <c r="G47" s="48"/>
      <c r="H47" s="48"/>
      <c r="I47" s="55"/>
      <c r="J47" s="44"/>
      <c r="K47" s="44"/>
      <c r="L47" s="44"/>
      <c r="M47" s="44"/>
      <c r="N47" s="44"/>
    </row>
    <row r="48" spans="1:15" x14ac:dyDescent="0.3">
      <c r="A48" s="54" t="s">
        <v>220</v>
      </c>
      <c r="B48" s="48">
        <v>200000</v>
      </c>
      <c r="C48" s="48"/>
      <c r="D48" s="48"/>
      <c r="E48" s="48"/>
      <c r="F48" s="48">
        <f>Ф1!D32</f>
        <v>404358</v>
      </c>
      <c r="G48" s="48"/>
      <c r="H48" s="48"/>
      <c r="I48" s="48">
        <f>SUM(B48:H48)</f>
        <v>604358</v>
      </c>
      <c r="J48" s="56">
        <f>Ф1!D35</f>
        <v>604358</v>
      </c>
      <c r="K48" s="44"/>
      <c r="L48" s="44"/>
      <c r="M48" s="44"/>
      <c r="N48" s="44"/>
    </row>
    <row r="49" spans="1:15" x14ac:dyDescent="0.3">
      <c r="A49" s="40" t="s">
        <v>135</v>
      </c>
      <c r="B49" s="45" t="s">
        <v>6</v>
      </c>
      <c r="C49" s="45" t="s">
        <v>6</v>
      </c>
      <c r="D49" s="45" t="s">
        <v>6</v>
      </c>
      <c r="E49" s="45" t="s">
        <v>6</v>
      </c>
      <c r="F49" s="45" t="s">
        <v>6</v>
      </c>
      <c r="G49" s="45" t="s">
        <v>6</v>
      </c>
      <c r="H49" s="45" t="s">
        <v>6</v>
      </c>
      <c r="I49" s="47" t="s">
        <v>6</v>
      </c>
      <c r="J49" s="44"/>
      <c r="K49" s="44"/>
      <c r="L49" s="44"/>
      <c r="M49" s="44"/>
      <c r="N49" s="44"/>
    </row>
    <row r="50" spans="1:15" x14ac:dyDescent="0.3">
      <c r="A50" s="35" t="s">
        <v>223</v>
      </c>
      <c r="B50" s="48">
        <f t="shared" ref="B50:E50" si="4">B48</f>
        <v>200000</v>
      </c>
      <c r="C50" s="48">
        <f t="shared" si="4"/>
        <v>0</v>
      </c>
      <c r="D50" s="48">
        <f t="shared" si="4"/>
        <v>0</v>
      </c>
      <c r="E50" s="48">
        <f t="shared" si="4"/>
        <v>0</v>
      </c>
      <c r="F50" s="48">
        <f>F48</f>
        <v>404358</v>
      </c>
      <c r="G50" s="48" t="s">
        <v>6</v>
      </c>
      <c r="H50" s="48" t="s">
        <v>6</v>
      </c>
      <c r="I50" s="48">
        <f t="shared" ref="I50:I51" si="5">SUM(B50:H50)</f>
        <v>604358</v>
      </c>
      <c r="J50" s="44"/>
      <c r="K50" s="44"/>
      <c r="L50" s="44"/>
      <c r="M50" s="44"/>
      <c r="N50" s="44"/>
    </row>
    <row r="51" spans="1:15" x14ac:dyDescent="0.3">
      <c r="A51" s="54" t="s">
        <v>157</v>
      </c>
      <c r="B51" s="48" t="s">
        <v>6</v>
      </c>
      <c r="C51" s="48" t="s">
        <v>6</v>
      </c>
      <c r="D51" s="48" t="s">
        <v>6</v>
      </c>
      <c r="E51" s="48" t="s">
        <v>6</v>
      </c>
      <c r="F51" s="48">
        <f>F52</f>
        <v>124389</v>
      </c>
      <c r="G51" s="47" t="s">
        <v>6</v>
      </c>
      <c r="H51" s="47" t="s">
        <v>6</v>
      </c>
      <c r="I51" s="48">
        <f t="shared" si="5"/>
        <v>124389</v>
      </c>
      <c r="J51" s="44"/>
      <c r="K51" s="44"/>
      <c r="L51" s="44"/>
      <c r="M51" s="44"/>
      <c r="N51" s="44"/>
      <c r="O51" s="44"/>
    </row>
    <row r="52" spans="1:15" x14ac:dyDescent="0.3">
      <c r="A52" s="40" t="s">
        <v>436</v>
      </c>
      <c r="B52" s="45" t="s">
        <v>6</v>
      </c>
      <c r="C52" s="45" t="s">
        <v>6</v>
      </c>
      <c r="D52" s="45" t="s">
        <v>6</v>
      </c>
      <c r="E52" s="46" t="s">
        <v>6</v>
      </c>
      <c r="F52" s="45">
        <f>Ф2!E41</f>
        <v>124389</v>
      </c>
      <c r="G52" s="46" t="s">
        <v>6</v>
      </c>
      <c r="H52" s="46" t="s">
        <v>6</v>
      </c>
      <c r="I52" s="48">
        <f>SUM(B52:H52)</f>
        <v>124389</v>
      </c>
      <c r="J52" s="44"/>
      <c r="K52" s="44"/>
      <c r="L52" s="44"/>
      <c r="M52" s="44"/>
      <c r="N52" s="44"/>
      <c r="O52" s="44"/>
    </row>
    <row r="53" spans="1:15" hidden="1" x14ac:dyDescent="0.3">
      <c r="A53" s="40" t="s">
        <v>158</v>
      </c>
      <c r="B53" s="48" t="s">
        <v>6</v>
      </c>
      <c r="C53" s="48" t="s">
        <v>6</v>
      </c>
      <c r="D53" s="48" t="s">
        <v>6</v>
      </c>
      <c r="E53" s="47" t="s">
        <v>6</v>
      </c>
      <c r="F53" s="48" t="s">
        <v>6</v>
      </c>
      <c r="G53" s="47" t="s">
        <v>6</v>
      </c>
      <c r="H53" s="47" t="s">
        <v>6</v>
      </c>
      <c r="I53" s="48">
        <f t="shared" ref="I53:I75" si="6">SUM(B53:H53)</f>
        <v>0</v>
      </c>
      <c r="J53" s="44"/>
      <c r="K53" s="44"/>
      <c r="L53" s="44"/>
      <c r="M53" s="44"/>
      <c r="N53" s="44"/>
      <c r="O53" s="44"/>
    </row>
    <row r="54" spans="1:15" hidden="1" x14ac:dyDescent="0.3">
      <c r="A54" s="40" t="s">
        <v>32</v>
      </c>
      <c r="B54" s="41" t="s">
        <v>6</v>
      </c>
      <c r="C54" s="41" t="s">
        <v>6</v>
      </c>
      <c r="D54" s="41" t="s">
        <v>6</v>
      </c>
      <c r="E54" s="42" t="s">
        <v>6</v>
      </c>
      <c r="F54" s="42" t="s">
        <v>6</v>
      </c>
      <c r="G54" s="42" t="s">
        <v>6</v>
      </c>
      <c r="H54" s="42" t="s">
        <v>6</v>
      </c>
      <c r="I54" s="48">
        <f t="shared" si="6"/>
        <v>0</v>
      </c>
      <c r="J54" s="44"/>
      <c r="K54" s="44"/>
      <c r="L54" s="44"/>
      <c r="M54" s="44"/>
      <c r="N54" s="44"/>
      <c r="O54" s="44"/>
    </row>
    <row r="55" spans="1:15" ht="70" hidden="1" x14ac:dyDescent="0.3">
      <c r="A55" s="40" t="s">
        <v>136</v>
      </c>
      <c r="B55" s="45" t="s">
        <v>6</v>
      </c>
      <c r="C55" s="45" t="s">
        <v>6</v>
      </c>
      <c r="D55" s="45" t="s">
        <v>6</v>
      </c>
      <c r="E55" s="46" t="s">
        <v>6</v>
      </c>
      <c r="F55" s="46" t="s">
        <v>6</v>
      </c>
      <c r="G55" s="46" t="s">
        <v>6</v>
      </c>
      <c r="H55" s="46" t="s">
        <v>6</v>
      </c>
      <c r="I55" s="48">
        <f t="shared" si="6"/>
        <v>0</v>
      </c>
      <c r="J55" s="44"/>
      <c r="K55" s="44"/>
      <c r="L55" s="44"/>
      <c r="M55" s="44"/>
      <c r="N55" s="44"/>
      <c r="O55" s="44"/>
    </row>
    <row r="56" spans="1:15" ht="70" hidden="1" x14ac:dyDescent="0.3">
      <c r="A56" s="40" t="s">
        <v>137</v>
      </c>
      <c r="B56" s="41" t="s">
        <v>6</v>
      </c>
      <c r="C56" s="41" t="s">
        <v>6</v>
      </c>
      <c r="D56" s="41" t="s">
        <v>6</v>
      </c>
      <c r="E56" s="42" t="s">
        <v>6</v>
      </c>
      <c r="F56" s="42" t="s">
        <v>6</v>
      </c>
      <c r="G56" s="42" t="s">
        <v>6</v>
      </c>
      <c r="H56" s="42" t="s">
        <v>6</v>
      </c>
      <c r="I56" s="48">
        <f t="shared" si="6"/>
        <v>0</v>
      </c>
      <c r="J56" s="44"/>
      <c r="K56" s="44"/>
      <c r="L56" s="44"/>
      <c r="M56" s="44"/>
      <c r="N56" s="44"/>
      <c r="O56" s="44"/>
    </row>
    <row r="57" spans="1:15" ht="42" hidden="1" x14ac:dyDescent="0.3">
      <c r="A57" s="40" t="s">
        <v>138</v>
      </c>
      <c r="B57" s="41" t="s">
        <v>6</v>
      </c>
      <c r="C57" s="41" t="s">
        <v>6</v>
      </c>
      <c r="D57" s="41" t="s">
        <v>6</v>
      </c>
      <c r="E57" s="41" t="s">
        <v>6</v>
      </c>
      <c r="F57" s="41" t="s">
        <v>6</v>
      </c>
      <c r="G57" s="41" t="s">
        <v>6</v>
      </c>
      <c r="H57" s="41" t="s">
        <v>6</v>
      </c>
      <c r="I57" s="48">
        <f t="shared" si="6"/>
        <v>0</v>
      </c>
      <c r="J57" s="44"/>
      <c r="K57" s="44"/>
      <c r="L57" s="44"/>
      <c r="M57" s="44"/>
      <c r="N57" s="44"/>
      <c r="O57" s="44"/>
    </row>
    <row r="58" spans="1:15" ht="70" hidden="1" x14ac:dyDescent="0.3">
      <c r="A58" s="40" t="s">
        <v>34</v>
      </c>
      <c r="B58" s="45" t="s">
        <v>6</v>
      </c>
      <c r="C58" s="45" t="s">
        <v>6</v>
      </c>
      <c r="D58" s="45" t="s">
        <v>6</v>
      </c>
      <c r="E58" s="46" t="s">
        <v>6</v>
      </c>
      <c r="F58" s="46" t="s">
        <v>6</v>
      </c>
      <c r="G58" s="46" t="s">
        <v>6</v>
      </c>
      <c r="H58" s="46" t="s">
        <v>6</v>
      </c>
      <c r="I58" s="48">
        <f t="shared" si="6"/>
        <v>0</v>
      </c>
      <c r="J58" s="44" t="s">
        <v>26</v>
      </c>
      <c r="K58" s="44"/>
      <c r="L58" s="44"/>
      <c r="M58" s="44"/>
      <c r="N58" s="44"/>
      <c r="O58" s="44"/>
    </row>
    <row r="59" spans="1:15" ht="28" hidden="1" x14ac:dyDescent="0.3">
      <c r="A59" s="40" t="s">
        <v>44</v>
      </c>
      <c r="B59" s="45" t="s">
        <v>6</v>
      </c>
      <c r="C59" s="45" t="s">
        <v>6</v>
      </c>
      <c r="D59" s="45" t="s">
        <v>6</v>
      </c>
      <c r="E59" s="46" t="s">
        <v>6</v>
      </c>
      <c r="F59" s="46" t="s">
        <v>6</v>
      </c>
      <c r="G59" s="46" t="s">
        <v>6</v>
      </c>
      <c r="H59" s="46" t="s">
        <v>6</v>
      </c>
      <c r="I59" s="48">
        <f t="shared" si="6"/>
        <v>0</v>
      </c>
      <c r="J59" s="44"/>
      <c r="K59" s="44"/>
      <c r="L59" s="44"/>
      <c r="M59" s="44"/>
      <c r="N59" s="44"/>
      <c r="O59" s="44"/>
    </row>
    <row r="60" spans="1:15" ht="42" hidden="1" x14ac:dyDescent="0.3">
      <c r="A60" s="40" t="s">
        <v>35</v>
      </c>
      <c r="B60" s="45" t="s">
        <v>6</v>
      </c>
      <c r="C60" s="45" t="s">
        <v>6</v>
      </c>
      <c r="D60" s="45" t="s">
        <v>6</v>
      </c>
      <c r="E60" s="46" t="s">
        <v>6</v>
      </c>
      <c r="F60" s="46" t="s">
        <v>6</v>
      </c>
      <c r="G60" s="46" t="s">
        <v>6</v>
      </c>
      <c r="H60" s="46" t="s">
        <v>6</v>
      </c>
      <c r="I60" s="48">
        <f t="shared" si="6"/>
        <v>0</v>
      </c>
      <c r="J60" s="44"/>
      <c r="K60" s="44"/>
      <c r="L60" s="44"/>
      <c r="M60" s="44"/>
      <c r="N60" s="44"/>
      <c r="O60" s="44"/>
    </row>
    <row r="61" spans="1:15" ht="28" hidden="1" x14ac:dyDescent="0.3">
      <c r="A61" s="40" t="s">
        <v>140</v>
      </c>
      <c r="B61" s="45" t="s">
        <v>6</v>
      </c>
      <c r="C61" s="45" t="s">
        <v>6</v>
      </c>
      <c r="D61" s="45" t="s">
        <v>6</v>
      </c>
      <c r="E61" s="46" t="s">
        <v>6</v>
      </c>
      <c r="F61" s="46" t="s">
        <v>6</v>
      </c>
      <c r="G61" s="46" t="s">
        <v>6</v>
      </c>
      <c r="H61" s="46" t="s">
        <v>6</v>
      </c>
      <c r="I61" s="48">
        <f t="shared" si="6"/>
        <v>0</v>
      </c>
      <c r="J61" s="44"/>
      <c r="K61" s="44"/>
      <c r="L61" s="44"/>
      <c r="M61" s="44"/>
      <c r="N61" s="44"/>
      <c r="O61" s="44"/>
    </row>
    <row r="62" spans="1:15" ht="28" hidden="1" x14ac:dyDescent="0.3">
      <c r="A62" s="40" t="s">
        <v>155</v>
      </c>
      <c r="B62" s="45" t="s">
        <v>6</v>
      </c>
      <c r="C62" s="45" t="s">
        <v>6</v>
      </c>
      <c r="D62" s="45" t="s">
        <v>6</v>
      </c>
      <c r="E62" s="46" t="s">
        <v>6</v>
      </c>
      <c r="F62" s="46" t="s">
        <v>6</v>
      </c>
      <c r="G62" s="46" t="s">
        <v>6</v>
      </c>
      <c r="H62" s="46" t="s">
        <v>6</v>
      </c>
      <c r="I62" s="48">
        <f t="shared" si="6"/>
        <v>0</v>
      </c>
      <c r="J62" s="44"/>
      <c r="K62" s="44"/>
      <c r="L62" s="44"/>
      <c r="M62" s="44"/>
      <c r="N62" s="44"/>
      <c r="O62" s="44"/>
    </row>
    <row r="63" spans="1:15" ht="28" hidden="1" x14ac:dyDescent="0.3">
      <c r="A63" s="40" t="s">
        <v>37</v>
      </c>
      <c r="B63" s="45" t="s">
        <v>6</v>
      </c>
      <c r="C63" s="45" t="s">
        <v>6</v>
      </c>
      <c r="D63" s="45" t="s">
        <v>6</v>
      </c>
      <c r="E63" s="46" t="s">
        <v>6</v>
      </c>
      <c r="F63" s="46" t="s">
        <v>6</v>
      </c>
      <c r="G63" s="46" t="s">
        <v>6</v>
      </c>
      <c r="H63" s="46" t="s">
        <v>6</v>
      </c>
      <c r="I63" s="48">
        <f t="shared" si="6"/>
        <v>0</v>
      </c>
      <c r="J63" s="44"/>
      <c r="K63" s="44"/>
      <c r="L63" s="44"/>
      <c r="M63" s="44"/>
      <c r="N63" s="44"/>
      <c r="O63" s="44"/>
    </row>
    <row r="64" spans="1:15" hidden="1" x14ac:dyDescent="0.3">
      <c r="A64" s="40" t="s">
        <v>160</v>
      </c>
      <c r="B64" s="48" t="s">
        <v>6</v>
      </c>
      <c r="C64" s="48" t="s">
        <v>6</v>
      </c>
      <c r="D64" s="48" t="s">
        <v>6</v>
      </c>
      <c r="E64" s="48" t="s">
        <v>6</v>
      </c>
      <c r="F64" s="48" t="s">
        <v>6</v>
      </c>
      <c r="G64" s="48" t="s">
        <v>6</v>
      </c>
      <c r="H64" s="48" t="s">
        <v>6</v>
      </c>
      <c r="I64" s="48">
        <f t="shared" si="6"/>
        <v>0</v>
      </c>
      <c r="J64" s="44"/>
      <c r="K64" s="44"/>
      <c r="L64" s="44"/>
      <c r="M64" s="44"/>
      <c r="N64" s="44"/>
      <c r="O64" s="44"/>
    </row>
    <row r="65" spans="1:15" hidden="1" x14ac:dyDescent="0.3">
      <c r="A65" s="40" t="s">
        <v>32</v>
      </c>
      <c r="B65" s="45" t="s">
        <v>6</v>
      </c>
      <c r="C65" s="45" t="s">
        <v>6</v>
      </c>
      <c r="D65" s="45" t="s">
        <v>6</v>
      </c>
      <c r="E65" s="46" t="s">
        <v>6</v>
      </c>
      <c r="F65" s="46" t="s">
        <v>6</v>
      </c>
      <c r="G65" s="46" t="s">
        <v>6</v>
      </c>
      <c r="H65" s="46" t="s">
        <v>6</v>
      </c>
      <c r="I65" s="48">
        <f t="shared" si="6"/>
        <v>0</v>
      </c>
      <c r="J65" s="44"/>
      <c r="K65" s="44"/>
      <c r="L65" s="44"/>
      <c r="M65" s="44"/>
      <c r="N65" s="44"/>
      <c r="O65" s="44"/>
    </row>
    <row r="66" spans="1:15" ht="28" hidden="1" x14ac:dyDescent="0.3">
      <c r="A66" s="40" t="s">
        <v>156</v>
      </c>
      <c r="B66" s="45" t="s">
        <v>6</v>
      </c>
      <c r="C66" s="45" t="s">
        <v>6</v>
      </c>
      <c r="D66" s="45" t="s">
        <v>6</v>
      </c>
      <c r="E66" s="46" t="s">
        <v>6</v>
      </c>
      <c r="F66" s="46" t="s">
        <v>6</v>
      </c>
      <c r="G66" s="46" t="s">
        <v>6</v>
      </c>
      <c r="H66" s="46" t="s">
        <v>6</v>
      </c>
      <c r="I66" s="48">
        <f t="shared" si="6"/>
        <v>0</v>
      </c>
      <c r="J66" s="44"/>
      <c r="K66" s="44"/>
      <c r="L66" s="44"/>
      <c r="M66" s="44"/>
      <c r="N66" s="44"/>
      <c r="O66" s="44"/>
    </row>
    <row r="67" spans="1:15" hidden="1" x14ac:dyDescent="0.3">
      <c r="A67" s="40" t="s">
        <v>32</v>
      </c>
      <c r="B67" s="45" t="s">
        <v>6</v>
      </c>
      <c r="C67" s="45" t="s">
        <v>6</v>
      </c>
      <c r="D67" s="45" t="s">
        <v>6</v>
      </c>
      <c r="E67" s="46" t="s">
        <v>6</v>
      </c>
      <c r="F67" s="46" t="s">
        <v>6</v>
      </c>
      <c r="G67" s="46" t="s">
        <v>6</v>
      </c>
      <c r="H67" s="46" t="s">
        <v>6</v>
      </c>
      <c r="I67" s="48">
        <f t="shared" si="6"/>
        <v>0</v>
      </c>
      <c r="J67" s="44"/>
      <c r="K67" s="44"/>
      <c r="L67" s="44"/>
      <c r="M67" s="44"/>
      <c r="N67" s="44"/>
      <c r="O67" s="44"/>
    </row>
    <row r="68" spans="1:15" hidden="1" x14ac:dyDescent="0.3">
      <c r="A68" s="40" t="s">
        <v>143</v>
      </c>
      <c r="B68" s="45" t="s">
        <v>6</v>
      </c>
      <c r="C68" s="45" t="s">
        <v>6</v>
      </c>
      <c r="D68" s="45" t="s">
        <v>6</v>
      </c>
      <c r="E68" s="46" t="s">
        <v>6</v>
      </c>
      <c r="F68" s="46" t="s">
        <v>6</v>
      </c>
      <c r="G68" s="46" t="s">
        <v>6</v>
      </c>
      <c r="H68" s="46" t="s">
        <v>6</v>
      </c>
      <c r="I68" s="48">
        <f t="shared" si="6"/>
        <v>0</v>
      </c>
      <c r="J68" s="44"/>
      <c r="K68" s="44"/>
      <c r="L68" s="44"/>
      <c r="M68" s="44"/>
      <c r="N68" s="44"/>
      <c r="O68" s="44"/>
    </row>
    <row r="69" spans="1:15" ht="28" hidden="1" x14ac:dyDescent="0.3">
      <c r="A69" s="40" t="s">
        <v>144</v>
      </c>
      <c r="B69" s="45" t="s">
        <v>6</v>
      </c>
      <c r="C69" s="45" t="s">
        <v>6</v>
      </c>
      <c r="D69" s="45" t="s">
        <v>6</v>
      </c>
      <c r="E69" s="46" t="s">
        <v>6</v>
      </c>
      <c r="F69" s="46" t="s">
        <v>6</v>
      </c>
      <c r="G69" s="46" t="s">
        <v>6</v>
      </c>
      <c r="H69" s="46" t="s">
        <v>6</v>
      </c>
      <c r="I69" s="48">
        <f t="shared" si="6"/>
        <v>0</v>
      </c>
      <c r="J69" s="44"/>
      <c r="K69" s="44"/>
      <c r="L69" s="44"/>
      <c r="M69" s="44"/>
      <c r="N69" s="44"/>
      <c r="O69" s="44"/>
    </row>
    <row r="70" spans="1:15" ht="42" hidden="1" x14ac:dyDescent="0.3">
      <c r="A70" s="40" t="s">
        <v>145</v>
      </c>
      <c r="B70" s="45" t="s">
        <v>6</v>
      </c>
      <c r="C70" s="45" t="s">
        <v>6</v>
      </c>
      <c r="D70" s="45" t="s">
        <v>6</v>
      </c>
      <c r="E70" s="46" t="s">
        <v>6</v>
      </c>
      <c r="F70" s="46" t="s">
        <v>6</v>
      </c>
      <c r="G70" s="57" t="s">
        <v>6</v>
      </c>
      <c r="H70" s="46" t="s">
        <v>6</v>
      </c>
      <c r="I70" s="48">
        <f t="shared" si="6"/>
        <v>0</v>
      </c>
      <c r="J70" s="44" t="s">
        <v>26</v>
      </c>
      <c r="K70" s="44"/>
      <c r="L70" s="44"/>
      <c r="M70" s="44"/>
      <c r="N70" s="44"/>
      <c r="O70" s="44"/>
    </row>
    <row r="71" spans="1:15" hidden="1" x14ac:dyDescent="0.3">
      <c r="A71" s="40" t="s">
        <v>146</v>
      </c>
      <c r="B71" s="45" t="s">
        <v>6</v>
      </c>
      <c r="C71" s="45" t="s">
        <v>6</v>
      </c>
      <c r="D71" s="45" t="s">
        <v>6</v>
      </c>
      <c r="E71" s="46" t="s">
        <v>6</v>
      </c>
      <c r="F71" s="46" t="s">
        <v>6</v>
      </c>
      <c r="G71" s="46" t="s">
        <v>6</v>
      </c>
      <c r="H71" s="46" t="s">
        <v>6</v>
      </c>
      <c r="I71" s="48">
        <f t="shared" si="6"/>
        <v>0</v>
      </c>
      <c r="J71" s="44"/>
      <c r="K71" s="44"/>
      <c r="L71" s="44"/>
      <c r="M71" s="44"/>
      <c r="N71" s="44"/>
      <c r="O71" s="44"/>
    </row>
    <row r="72" spans="1:15" ht="28" hidden="1" x14ac:dyDescent="0.3">
      <c r="A72" s="40" t="s">
        <v>147</v>
      </c>
      <c r="B72" s="45" t="s">
        <v>6</v>
      </c>
      <c r="C72" s="45" t="s">
        <v>6</v>
      </c>
      <c r="D72" s="45" t="s">
        <v>6</v>
      </c>
      <c r="E72" s="46" t="s">
        <v>6</v>
      </c>
      <c r="F72" s="46" t="s">
        <v>6</v>
      </c>
      <c r="G72" s="46" t="s">
        <v>6</v>
      </c>
      <c r="H72" s="46" t="s">
        <v>6</v>
      </c>
      <c r="I72" s="48">
        <f t="shared" si="6"/>
        <v>0</v>
      </c>
      <c r="J72" s="44"/>
      <c r="K72" s="44"/>
      <c r="L72" s="44"/>
      <c r="M72" s="44"/>
      <c r="N72" s="44"/>
      <c r="O72" s="44"/>
    </row>
    <row r="73" spans="1:15" ht="28" hidden="1" x14ac:dyDescent="0.3">
      <c r="A73" s="40" t="s">
        <v>148</v>
      </c>
      <c r="B73" s="45" t="s">
        <v>6</v>
      </c>
      <c r="C73" s="45" t="s">
        <v>6</v>
      </c>
      <c r="D73" s="45" t="s">
        <v>6</v>
      </c>
      <c r="E73" s="46" t="s">
        <v>6</v>
      </c>
      <c r="F73" s="46" t="s">
        <v>6</v>
      </c>
      <c r="G73" s="46" t="s">
        <v>6</v>
      </c>
      <c r="H73" s="46" t="s">
        <v>6</v>
      </c>
      <c r="I73" s="48">
        <f t="shared" si="6"/>
        <v>0</v>
      </c>
      <c r="J73" s="44"/>
      <c r="K73" s="44"/>
      <c r="L73" s="44"/>
      <c r="M73" s="44"/>
      <c r="N73" s="44"/>
      <c r="O73" s="44"/>
    </row>
    <row r="74" spans="1:15" ht="42" hidden="1" x14ac:dyDescent="0.3">
      <c r="A74" s="40" t="s">
        <v>149</v>
      </c>
      <c r="B74" s="45" t="s">
        <v>6</v>
      </c>
      <c r="C74" s="45" t="s">
        <v>6</v>
      </c>
      <c r="D74" s="45" t="s">
        <v>6</v>
      </c>
      <c r="E74" s="46" t="s">
        <v>6</v>
      </c>
      <c r="F74" s="46" t="s">
        <v>6</v>
      </c>
      <c r="G74" s="46" t="s">
        <v>6</v>
      </c>
      <c r="H74" s="46" t="s">
        <v>6</v>
      </c>
      <c r="I74" s="48">
        <f t="shared" si="6"/>
        <v>0</v>
      </c>
      <c r="J74" s="44"/>
      <c r="K74" s="44"/>
      <c r="L74" s="44"/>
      <c r="M74" s="44"/>
      <c r="N74" s="44"/>
      <c r="O74" s="44"/>
    </row>
    <row r="75" spans="1:15" x14ac:dyDescent="0.3">
      <c r="A75" s="40" t="s">
        <v>150</v>
      </c>
      <c r="B75" s="45" t="s">
        <v>6</v>
      </c>
      <c r="C75" s="45" t="s">
        <v>6</v>
      </c>
      <c r="D75" s="45" t="s">
        <v>6</v>
      </c>
      <c r="E75" s="46" t="s">
        <v>6</v>
      </c>
      <c r="F75" s="46">
        <v>-110000</v>
      </c>
      <c r="G75" s="46" t="s">
        <v>6</v>
      </c>
      <c r="H75" s="46" t="s">
        <v>6</v>
      </c>
      <c r="I75" s="48">
        <f t="shared" si="6"/>
        <v>-110000</v>
      </c>
      <c r="J75" s="44"/>
      <c r="K75" s="44"/>
      <c r="L75" s="44"/>
      <c r="M75" s="44"/>
      <c r="N75" s="44"/>
      <c r="O75" s="44"/>
    </row>
    <row r="76" spans="1:15" ht="14.5" hidden="1" customHeight="1" x14ac:dyDescent="0.3">
      <c r="A76" s="349" t="s">
        <v>123</v>
      </c>
      <c r="B76" s="350" t="s">
        <v>124</v>
      </c>
      <c r="C76" s="350"/>
      <c r="D76" s="350"/>
      <c r="E76" s="350"/>
      <c r="F76" s="350"/>
      <c r="G76" s="350"/>
      <c r="H76" s="351" t="s">
        <v>125</v>
      </c>
      <c r="I76" s="348" t="s">
        <v>126</v>
      </c>
      <c r="J76" s="44"/>
      <c r="K76" s="44"/>
      <c r="L76" s="44"/>
      <c r="M76" s="44"/>
      <c r="N76" s="44"/>
      <c r="O76" s="44"/>
    </row>
    <row r="77" spans="1:15" ht="70" hidden="1" x14ac:dyDescent="0.3">
      <c r="A77" s="349"/>
      <c r="B77" s="50" t="s">
        <v>12</v>
      </c>
      <c r="C77" s="50" t="s">
        <v>13</v>
      </c>
      <c r="D77" s="50" t="s">
        <v>127</v>
      </c>
      <c r="E77" s="50" t="s">
        <v>14</v>
      </c>
      <c r="F77" s="50" t="s">
        <v>128</v>
      </c>
      <c r="G77" s="50" t="s">
        <v>15</v>
      </c>
      <c r="H77" s="351"/>
      <c r="I77" s="348"/>
      <c r="J77" s="44"/>
      <c r="K77" s="44"/>
      <c r="L77" s="44"/>
      <c r="M77" s="44"/>
      <c r="N77" s="44"/>
      <c r="O77" s="44"/>
    </row>
    <row r="78" spans="1:15" hidden="1" x14ac:dyDescent="0.3">
      <c r="A78" s="51" t="s">
        <v>2</v>
      </c>
      <c r="B78" s="52" t="s">
        <v>4</v>
      </c>
      <c r="C78" s="52" t="s">
        <v>5</v>
      </c>
      <c r="D78" s="53" t="s">
        <v>129</v>
      </c>
      <c r="E78" s="53" t="s">
        <v>130</v>
      </c>
      <c r="F78" s="53" t="s">
        <v>131</v>
      </c>
      <c r="G78" s="53" t="s">
        <v>132</v>
      </c>
      <c r="H78" s="53" t="s">
        <v>133</v>
      </c>
      <c r="I78" s="53" t="s">
        <v>134</v>
      </c>
      <c r="J78" s="44" t="s">
        <v>26</v>
      </c>
      <c r="K78" s="44"/>
      <c r="L78" s="44"/>
      <c r="M78" s="44"/>
      <c r="N78" s="44"/>
      <c r="O78" s="44"/>
    </row>
    <row r="79" spans="1:15" ht="28" hidden="1" x14ac:dyDescent="0.3">
      <c r="A79" s="40" t="s">
        <v>151</v>
      </c>
      <c r="B79" s="45" t="s">
        <v>6</v>
      </c>
      <c r="C79" s="45" t="s">
        <v>6</v>
      </c>
      <c r="D79" s="45" t="s">
        <v>6</v>
      </c>
      <c r="E79" s="46" t="s">
        <v>6</v>
      </c>
      <c r="F79" s="46" t="s">
        <v>6</v>
      </c>
      <c r="G79" s="46" t="s">
        <v>6</v>
      </c>
      <c r="H79" s="46" t="s">
        <v>6</v>
      </c>
      <c r="I79" s="47" t="s">
        <v>6</v>
      </c>
      <c r="J79" s="44"/>
      <c r="K79" s="44"/>
      <c r="L79" s="44"/>
      <c r="M79" s="44"/>
      <c r="N79" s="44"/>
      <c r="O79" s="44"/>
    </row>
    <row r="80" spans="1:15" hidden="1" x14ac:dyDescent="0.3">
      <c r="A80" s="40" t="s">
        <v>152</v>
      </c>
      <c r="B80" s="45" t="s">
        <v>6</v>
      </c>
      <c r="C80" s="45" t="s">
        <v>6</v>
      </c>
      <c r="D80" s="45" t="s">
        <v>6</v>
      </c>
      <c r="E80" s="46" t="s">
        <v>6</v>
      </c>
      <c r="F80" s="46" t="s">
        <v>6</v>
      </c>
      <c r="G80" s="46" t="s">
        <v>6</v>
      </c>
      <c r="H80" s="46" t="s">
        <v>6</v>
      </c>
      <c r="I80" s="47" t="s">
        <v>6</v>
      </c>
      <c r="J80" s="44"/>
      <c r="K80" s="44"/>
      <c r="L80" s="44"/>
      <c r="M80" s="44"/>
      <c r="N80" s="44"/>
      <c r="O80" s="44"/>
    </row>
    <row r="81" spans="1:15" ht="42" hidden="1" x14ac:dyDescent="0.3">
      <c r="A81" s="40" t="s">
        <v>153</v>
      </c>
      <c r="B81" s="45" t="s">
        <v>6</v>
      </c>
      <c r="C81" s="45" t="s">
        <v>6</v>
      </c>
      <c r="D81" s="45" t="s">
        <v>6</v>
      </c>
      <c r="E81" s="46" t="s">
        <v>6</v>
      </c>
      <c r="F81" s="46" t="s">
        <v>6</v>
      </c>
      <c r="G81" s="46" t="s">
        <v>6</v>
      </c>
      <c r="H81" s="46" t="s">
        <v>6</v>
      </c>
      <c r="I81" s="47" t="s">
        <v>6</v>
      </c>
      <c r="J81" s="44"/>
      <c r="K81" s="44"/>
      <c r="L81" s="44"/>
      <c r="M81" s="44"/>
      <c r="N81" s="44"/>
      <c r="O81" s="44"/>
    </row>
    <row r="82" spans="1:15" hidden="1" x14ac:dyDescent="0.3">
      <c r="A82" s="40" t="s">
        <v>154</v>
      </c>
      <c r="B82" s="45" t="s">
        <v>6</v>
      </c>
      <c r="C82" s="45" t="s">
        <v>6</v>
      </c>
      <c r="D82" s="45" t="s">
        <v>6</v>
      </c>
      <c r="E82" s="46" t="s">
        <v>6</v>
      </c>
      <c r="F82" s="46" t="s">
        <v>6</v>
      </c>
      <c r="G82" s="46" t="s">
        <v>6</v>
      </c>
      <c r="H82" s="46" t="s">
        <v>6</v>
      </c>
      <c r="I82" s="47" t="s">
        <v>6</v>
      </c>
      <c r="J82" s="44"/>
      <c r="K82" s="44"/>
      <c r="L82" s="44"/>
      <c r="M82" s="44"/>
      <c r="N82" s="44"/>
      <c r="O82" s="44"/>
    </row>
    <row r="83" spans="1:15" x14ac:dyDescent="0.3">
      <c r="A83" s="54" t="s">
        <v>438</v>
      </c>
      <c r="B83" s="48">
        <f>B48</f>
        <v>200000</v>
      </c>
      <c r="C83" s="48" t="s">
        <v>6</v>
      </c>
      <c r="D83" s="48" t="s">
        <v>6</v>
      </c>
      <c r="E83" s="48" t="s">
        <v>6</v>
      </c>
      <c r="F83" s="48">
        <f>F48+F52+F75</f>
        <v>418747</v>
      </c>
      <c r="G83" s="48" t="s">
        <v>6</v>
      </c>
      <c r="H83" s="48" t="s">
        <v>6</v>
      </c>
      <c r="I83" s="48">
        <f>SUM(B83:H83)</f>
        <v>618747</v>
      </c>
      <c r="J83" s="56">
        <f>Ф1!C35</f>
        <v>618747</v>
      </c>
      <c r="K83" s="44"/>
      <c r="L83" s="44"/>
      <c r="M83" s="44"/>
      <c r="N83" s="44"/>
      <c r="O83" s="44"/>
    </row>
    <row r="84" spans="1:15" x14ac:dyDescent="0.3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</row>
    <row r="85" spans="1:15" x14ac:dyDescent="0.3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</row>
    <row r="86" spans="1:15" x14ac:dyDescent="0.3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</row>
    <row r="87" spans="1:15" x14ac:dyDescent="0.3">
      <c r="A87" s="58" t="s">
        <v>16</v>
      </c>
      <c r="B87" s="59" t="s">
        <v>17</v>
      </c>
      <c r="C87" s="44"/>
      <c r="E87" s="60"/>
      <c r="F87" s="44"/>
      <c r="G87" s="44"/>
      <c r="H87" s="44"/>
      <c r="I87" s="44"/>
      <c r="J87" s="44"/>
      <c r="K87" s="44"/>
      <c r="L87" s="44"/>
      <c r="M87" s="44"/>
      <c r="N87" s="44"/>
      <c r="O87" s="44"/>
    </row>
    <row r="88" spans="1:15" x14ac:dyDescent="0.3">
      <c r="A88" s="44"/>
      <c r="B88" s="61" t="s">
        <v>18</v>
      </c>
      <c r="C88" s="44"/>
      <c r="E88" s="62" t="s">
        <v>19</v>
      </c>
      <c r="F88" s="44"/>
      <c r="G88" s="44"/>
      <c r="H88" s="44"/>
      <c r="I88" s="44"/>
      <c r="J88" s="44"/>
      <c r="K88" s="44"/>
      <c r="L88" s="44"/>
      <c r="M88" s="44"/>
      <c r="N88" s="44"/>
      <c r="O88" s="44"/>
    </row>
    <row r="89" spans="1:15" x14ac:dyDescent="0.3">
      <c r="A89" s="44"/>
      <c r="B89" s="61"/>
      <c r="C89" s="44"/>
      <c r="E89" s="62"/>
      <c r="F89" s="44"/>
      <c r="G89" s="44"/>
      <c r="H89" s="44"/>
      <c r="I89" s="44"/>
      <c r="J89" s="44"/>
      <c r="K89" s="44"/>
      <c r="L89" s="44"/>
      <c r="M89" s="44"/>
      <c r="N89" s="44"/>
      <c r="O89" s="44"/>
    </row>
    <row r="90" spans="1:15" x14ac:dyDescent="0.3">
      <c r="A90" s="44"/>
      <c r="B90" s="44"/>
      <c r="C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</row>
    <row r="91" spans="1:15" x14ac:dyDescent="0.3">
      <c r="A91" s="63" t="s">
        <v>20</v>
      </c>
      <c r="B91" s="64"/>
      <c r="C91" s="44"/>
      <c r="E91" s="60"/>
      <c r="F91" s="44"/>
      <c r="G91" s="44"/>
      <c r="H91" s="44"/>
      <c r="I91" s="44"/>
      <c r="J91" s="44"/>
      <c r="K91" s="44"/>
      <c r="L91" s="44"/>
      <c r="M91" s="44"/>
      <c r="N91" s="44"/>
      <c r="O91" s="44"/>
    </row>
    <row r="92" spans="1:15" x14ac:dyDescent="0.3">
      <c r="A92" s="44"/>
      <c r="B92" s="61" t="s">
        <v>18</v>
      </c>
      <c r="C92" s="44"/>
      <c r="E92" s="62" t="s">
        <v>19</v>
      </c>
      <c r="F92" s="44"/>
      <c r="G92" s="44"/>
      <c r="H92" s="44"/>
      <c r="I92" s="44"/>
      <c r="J92" s="44"/>
      <c r="K92" s="44"/>
      <c r="L92" s="44"/>
      <c r="M92" s="44"/>
      <c r="N92" s="44"/>
      <c r="O92" s="44"/>
    </row>
    <row r="93" spans="1:15" x14ac:dyDescent="0.3">
      <c r="A93" s="44"/>
      <c r="B93" s="61"/>
      <c r="C93" s="44"/>
      <c r="E93" s="62"/>
      <c r="F93" s="44"/>
      <c r="G93" s="44"/>
      <c r="H93" s="44"/>
      <c r="I93" s="44"/>
      <c r="J93" s="44"/>
      <c r="K93" s="44"/>
      <c r="L93" s="44"/>
      <c r="M93" s="44"/>
      <c r="N93" s="44"/>
      <c r="O93" s="44"/>
    </row>
    <row r="94" spans="1:15" x14ac:dyDescent="0.3">
      <c r="A94" s="44"/>
      <c r="B94" s="61"/>
      <c r="C94" s="44"/>
      <c r="E94" s="62"/>
      <c r="F94" s="44"/>
      <c r="G94" s="44"/>
      <c r="H94" s="44"/>
      <c r="I94" s="44"/>
      <c r="J94" s="44"/>
      <c r="K94" s="44"/>
      <c r="L94" s="44"/>
      <c r="M94" s="44"/>
      <c r="N94" s="44"/>
      <c r="O94" s="44"/>
    </row>
    <row r="95" spans="1:15" x14ac:dyDescent="0.3">
      <c r="A95" s="44" t="s">
        <v>21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</row>
    <row r="96" spans="1:15" x14ac:dyDescent="0.3">
      <c r="A96" s="44" t="s">
        <v>22</v>
      </c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</row>
    <row r="97" spans="1:15" x14ac:dyDescent="0.3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</row>
    <row r="98" spans="1:15" x14ac:dyDescent="0.3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</row>
    <row r="99" spans="1:15" x14ac:dyDescent="0.3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</row>
    <row r="100" spans="1:15" x14ac:dyDescent="0.3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</row>
    <row r="101" spans="1:15" x14ac:dyDescent="0.3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</row>
    <row r="102" spans="1:15" x14ac:dyDescent="0.3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</row>
    <row r="103" spans="1:15" x14ac:dyDescent="0.3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</row>
    <row r="104" spans="1:15" x14ac:dyDescent="0.3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</row>
    <row r="105" spans="1:15" x14ac:dyDescent="0.3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</row>
    <row r="106" spans="1:15" x14ac:dyDescent="0.3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</row>
    <row r="107" spans="1:15" x14ac:dyDescent="0.3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</row>
    <row r="108" spans="1:15" x14ac:dyDescent="0.3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</row>
    <row r="109" spans="1:15" x14ac:dyDescent="0.3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</row>
    <row r="110" spans="1:15" x14ac:dyDescent="0.3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</row>
    <row r="111" spans="1:15" x14ac:dyDescent="0.3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</row>
    <row r="112" spans="1:15" x14ac:dyDescent="0.3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</row>
    <row r="113" spans="1:15" x14ac:dyDescent="0.3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</row>
    <row r="114" spans="1:15" x14ac:dyDescent="0.3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</row>
    <row r="115" spans="1:15" x14ac:dyDescent="0.3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</row>
    <row r="116" spans="1:15" x14ac:dyDescent="0.3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</row>
    <row r="117" spans="1:15" x14ac:dyDescent="0.3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</row>
    <row r="118" spans="1:15" x14ac:dyDescent="0.3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</row>
    <row r="119" spans="1:15" x14ac:dyDescent="0.3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</row>
    <row r="120" spans="1:15" x14ac:dyDescent="0.3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</row>
    <row r="121" spans="1:15" x14ac:dyDescent="0.3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</row>
    <row r="122" spans="1:15" x14ac:dyDescent="0.3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</row>
    <row r="123" spans="1:15" x14ac:dyDescent="0.3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</row>
    <row r="124" spans="1:15" x14ac:dyDescent="0.3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</row>
    <row r="125" spans="1:15" x14ac:dyDescent="0.3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</row>
    <row r="126" spans="1:15" x14ac:dyDescent="0.3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</row>
    <row r="127" spans="1:15" x14ac:dyDescent="0.3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</row>
    <row r="128" spans="1:15" x14ac:dyDescent="0.3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</row>
    <row r="129" spans="1:15" x14ac:dyDescent="0.3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</row>
    <row r="130" spans="1:15" x14ac:dyDescent="0.3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</row>
    <row r="131" spans="1:15" x14ac:dyDescent="0.3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</row>
    <row r="132" spans="1:15" x14ac:dyDescent="0.3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</row>
    <row r="133" spans="1:15" x14ac:dyDescent="0.3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</row>
    <row r="134" spans="1:15" x14ac:dyDescent="0.3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</row>
    <row r="135" spans="1:15" x14ac:dyDescent="0.3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</row>
    <row r="136" spans="1:15" x14ac:dyDescent="0.3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</row>
    <row r="137" spans="1:15" x14ac:dyDescent="0.3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</row>
    <row r="138" spans="1:15" x14ac:dyDescent="0.3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</row>
    <row r="139" spans="1:15" x14ac:dyDescent="0.3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</row>
    <row r="140" spans="1:15" x14ac:dyDescent="0.3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</row>
    <row r="141" spans="1:15" x14ac:dyDescent="0.3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</row>
    <row r="142" spans="1:15" x14ac:dyDescent="0.3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</row>
    <row r="143" spans="1:15" x14ac:dyDescent="0.3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</row>
    <row r="144" spans="1:15" x14ac:dyDescent="0.3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</row>
    <row r="145" spans="1:15" x14ac:dyDescent="0.3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</row>
    <row r="146" spans="1:15" x14ac:dyDescent="0.3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</row>
    <row r="147" spans="1:15" x14ac:dyDescent="0.3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</row>
    <row r="148" spans="1:15" x14ac:dyDescent="0.3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</row>
    <row r="149" spans="1:15" x14ac:dyDescent="0.3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</row>
    <row r="150" spans="1:15" x14ac:dyDescent="0.3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</row>
    <row r="151" spans="1:15" x14ac:dyDescent="0.3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</row>
    <row r="152" spans="1:15" x14ac:dyDescent="0.3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</row>
    <row r="153" spans="1:15" x14ac:dyDescent="0.3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</row>
    <row r="154" spans="1:15" x14ac:dyDescent="0.3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</row>
    <row r="155" spans="1:15" x14ac:dyDescent="0.3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</row>
    <row r="156" spans="1:15" x14ac:dyDescent="0.3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</row>
    <row r="157" spans="1:15" x14ac:dyDescent="0.3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</row>
    <row r="158" spans="1:15" x14ac:dyDescent="0.3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</row>
    <row r="159" spans="1:15" x14ac:dyDescent="0.3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</row>
    <row r="160" spans="1:15" x14ac:dyDescent="0.3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</row>
    <row r="161" spans="1:14" x14ac:dyDescent="0.3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</row>
    <row r="162" spans="1:14" x14ac:dyDescent="0.3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</row>
    <row r="163" spans="1:14" x14ac:dyDescent="0.3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</row>
    <row r="164" spans="1:14" x14ac:dyDescent="0.3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</row>
    <row r="165" spans="1:14" x14ac:dyDescent="0.3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</row>
    <row r="166" spans="1:14" x14ac:dyDescent="0.3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</row>
    <row r="167" spans="1:14" x14ac:dyDescent="0.3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</row>
    <row r="168" spans="1:14" x14ac:dyDescent="0.3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</row>
    <row r="169" spans="1:14" x14ac:dyDescent="0.3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</row>
    <row r="170" spans="1:14" x14ac:dyDescent="0.3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</row>
    <row r="171" spans="1:14" x14ac:dyDescent="0.3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</row>
  </sheetData>
  <mergeCells count="16">
    <mergeCell ref="A1:I1"/>
    <mergeCell ref="I76:I77"/>
    <mergeCell ref="A76:A77"/>
    <mergeCell ref="B76:G76"/>
    <mergeCell ref="H76:H77"/>
    <mergeCell ref="I36:I37"/>
    <mergeCell ref="A36:A37"/>
    <mergeCell ref="B36:G36"/>
    <mergeCell ref="H36:H37"/>
    <mergeCell ref="H6:I6"/>
    <mergeCell ref="A2:I2"/>
    <mergeCell ref="A7:A8"/>
    <mergeCell ref="B7:G7"/>
    <mergeCell ref="H7:H8"/>
    <mergeCell ref="I7:I8"/>
    <mergeCell ref="A3:I3"/>
  </mergeCells>
  <pageMargins left="0.70866141732283472" right="0.70866141732283472" top="0.94488188976377963" bottom="0.19685039370078741" header="0.27559055118110237" footer="0.15748031496062992"/>
  <pageSetup paperSize="9" scale="99" orientation="portrait" verticalDpi="4294967295" r:id="rId1"/>
  <rowBreaks count="2" manualBreakCount="2">
    <brk id="35" max="8" man="1"/>
    <brk id="75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"/>
  <sheetViews>
    <sheetView topLeftCell="A70" workbookViewId="0">
      <selection activeCell="G76" sqref="G76"/>
    </sheetView>
  </sheetViews>
  <sheetFormatPr defaultColWidth="9.1796875" defaultRowHeight="14.5" x14ac:dyDescent="0.35"/>
  <cols>
    <col min="1" max="1" width="30.1796875" style="70" customWidth="1"/>
    <col min="2" max="2" width="17.54296875" style="68" customWidth="1"/>
    <col min="3" max="3" width="14.81640625" style="68" bestFit="1" customWidth="1"/>
    <col min="4" max="5" width="15.81640625" style="68" bestFit="1" customWidth="1"/>
    <col min="6" max="7" width="15.453125" style="68" bestFit="1" customWidth="1"/>
    <col min="8" max="8" width="11.453125" style="68" bestFit="1" customWidth="1"/>
    <col min="9" max="16384" width="9.1796875" style="68"/>
  </cols>
  <sheetData>
    <row r="1" spans="1:7" x14ac:dyDescent="0.35">
      <c r="A1" s="275" t="s">
        <v>78</v>
      </c>
      <c r="B1" s="276"/>
      <c r="C1" s="276"/>
      <c r="D1" s="276"/>
      <c r="E1" s="276"/>
      <c r="F1" s="276"/>
      <c r="G1" s="276"/>
    </row>
    <row r="2" spans="1:7" ht="46.5" x14ac:dyDescent="0.35">
      <c r="A2" s="277" t="s">
        <v>430</v>
      </c>
      <c r="B2" s="276"/>
      <c r="C2" s="276"/>
      <c r="D2" s="276"/>
      <c r="E2" s="276"/>
      <c r="F2" s="276"/>
      <c r="G2" s="276"/>
    </row>
    <row r="3" spans="1:7" x14ac:dyDescent="0.35">
      <c r="A3" s="276"/>
      <c r="B3" s="276"/>
      <c r="C3" s="276"/>
      <c r="D3" s="276"/>
      <c r="E3" s="276"/>
      <c r="F3" s="276"/>
      <c r="G3" s="276"/>
    </row>
    <row r="4" spans="1:7" ht="20" x14ac:dyDescent="0.35">
      <c r="A4" s="278" t="s">
        <v>79</v>
      </c>
      <c r="B4" s="278" t="s">
        <v>80</v>
      </c>
      <c r="C4" s="276"/>
      <c r="D4" s="276"/>
      <c r="E4" s="276"/>
      <c r="F4" s="276"/>
      <c r="G4" s="276"/>
    </row>
    <row r="5" spans="1:7" x14ac:dyDescent="0.35">
      <c r="A5" s="276"/>
      <c r="B5" s="276"/>
      <c r="C5" s="276"/>
      <c r="D5" s="276"/>
      <c r="E5" s="276"/>
      <c r="F5" s="276"/>
      <c r="G5" s="276"/>
    </row>
    <row r="6" spans="1:7" x14ac:dyDescent="0.35">
      <c r="A6" s="356" t="s">
        <v>239</v>
      </c>
      <c r="B6" s="358" t="s">
        <v>240</v>
      </c>
      <c r="C6" s="358"/>
      <c r="D6" s="358" t="s">
        <v>241</v>
      </c>
      <c r="E6" s="358"/>
      <c r="F6" s="358" t="s">
        <v>242</v>
      </c>
      <c r="G6" s="358"/>
    </row>
    <row r="7" spans="1:7" x14ac:dyDescent="0.35">
      <c r="A7" s="357"/>
      <c r="B7" s="279" t="s">
        <v>83</v>
      </c>
      <c r="C7" s="279" t="s">
        <v>84</v>
      </c>
      <c r="D7" s="279" t="s">
        <v>83</v>
      </c>
      <c r="E7" s="279" t="s">
        <v>84</v>
      </c>
      <c r="F7" s="279" t="s">
        <v>83</v>
      </c>
      <c r="G7" s="279" t="s">
        <v>84</v>
      </c>
    </row>
    <row r="8" spans="1:7" x14ac:dyDescent="0.35">
      <c r="A8" s="79" t="s">
        <v>243</v>
      </c>
      <c r="B8" s="81">
        <v>201060304.09</v>
      </c>
      <c r="C8" s="80"/>
      <c r="D8" s="81">
        <v>14748296247.930002</v>
      </c>
      <c r="E8" s="81">
        <v>14934866947.59</v>
      </c>
      <c r="F8" s="81">
        <v>14489604.43</v>
      </c>
      <c r="G8" s="80"/>
    </row>
    <row r="9" spans="1:7" s="72" customFormat="1" ht="23" x14ac:dyDescent="0.35">
      <c r="A9" s="82" t="s">
        <v>244</v>
      </c>
      <c r="B9" s="84">
        <v>5635447.3600000003</v>
      </c>
      <c r="C9" s="83"/>
      <c r="D9" s="84">
        <v>8427976044.0900002</v>
      </c>
      <c r="E9" s="84">
        <v>8432331378.4200001</v>
      </c>
      <c r="F9" s="84">
        <v>1280113.03</v>
      </c>
      <c r="G9" s="83"/>
    </row>
    <row r="10" spans="1:7" s="72" customFormat="1" ht="23" x14ac:dyDescent="0.35">
      <c r="A10" s="82" t="s">
        <v>245</v>
      </c>
      <c r="B10" s="84">
        <v>105877274.31</v>
      </c>
      <c r="C10" s="83"/>
      <c r="D10" s="84">
        <v>3069819373.1000004</v>
      </c>
      <c r="E10" s="84">
        <v>3162495400</v>
      </c>
      <c r="F10" s="84">
        <v>13201247.41</v>
      </c>
      <c r="G10" s="83"/>
    </row>
    <row r="11" spans="1:7" s="72" customFormat="1" x14ac:dyDescent="0.35">
      <c r="A11" s="82" t="s">
        <v>246</v>
      </c>
      <c r="B11" s="84">
        <v>89547582.420000002</v>
      </c>
      <c r="C11" s="83"/>
      <c r="D11" s="84">
        <v>3250500830.7399998</v>
      </c>
      <c r="E11" s="84">
        <v>3340040169.1700001</v>
      </c>
      <c r="F11" s="84">
        <v>8243.99</v>
      </c>
      <c r="G11" s="83"/>
    </row>
    <row r="12" spans="1:7" s="69" customFormat="1" ht="26" x14ac:dyDescent="0.35">
      <c r="A12" s="79" t="s">
        <v>247</v>
      </c>
      <c r="B12" s="81">
        <v>155148986</v>
      </c>
      <c r="C12" s="80"/>
      <c r="D12" s="81">
        <v>853290341</v>
      </c>
      <c r="E12" s="81">
        <v>704096493.49000001</v>
      </c>
      <c r="F12" s="81">
        <v>304342833.50999999</v>
      </c>
      <c r="G12" s="80"/>
    </row>
    <row r="13" spans="1:7" s="69" customFormat="1" ht="23" x14ac:dyDescent="0.35">
      <c r="A13" s="82" t="s">
        <v>248</v>
      </c>
      <c r="B13" s="84">
        <v>155148986</v>
      </c>
      <c r="C13" s="83"/>
      <c r="D13" s="84">
        <v>853290341</v>
      </c>
      <c r="E13" s="84">
        <v>704096493.49000001</v>
      </c>
      <c r="F13" s="84">
        <v>304342833.50999999</v>
      </c>
      <c r="G13" s="83"/>
    </row>
    <row r="14" spans="1:7" s="69" customFormat="1" ht="34.5" x14ac:dyDescent="0.35">
      <c r="A14" s="280" t="s">
        <v>249</v>
      </c>
      <c r="B14" s="84">
        <v>5884428</v>
      </c>
      <c r="C14" s="83"/>
      <c r="D14" s="84">
        <v>16570341</v>
      </c>
      <c r="E14" s="84">
        <v>17604050.489999998</v>
      </c>
      <c r="F14" s="84">
        <v>4850718.51</v>
      </c>
      <c r="G14" s="83"/>
    </row>
    <row r="15" spans="1:7" s="69" customFormat="1" ht="34.5" x14ac:dyDescent="0.35">
      <c r="A15" s="280" t="s">
        <v>250</v>
      </c>
      <c r="B15" s="84">
        <v>149264558</v>
      </c>
      <c r="C15" s="83"/>
      <c r="D15" s="84">
        <v>836720000</v>
      </c>
      <c r="E15" s="84">
        <v>686492443</v>
      </c>
      <c r="F15" s="84">
        <v>299492115</v>
      </c>
      <c r="G15" s="83"/>
    </row>
    <row r="16" spans="1:7" s="73" customFormat="1" ht="26" x14ac:dyDescent="0.35">
      <c r="A16" s="79" t="s">
        <v>251</v>
      </c>
      <c r="B16" s="81">
        <v>67397031.420000002</v>
      </c>
      <c r="C16" s="80"/>
      <c r="D16" s="81">
        <v>750412117.60000002</v>
      </c>
      <c r="E16" s="81">
        <v>418767107.72000003</v>
      </c>
      <c r="F16" s="81">
        <v>399042041.30000001</v>
      </c>
      <c r="G16" s="80"/>
    </row>
    <row r="17" spans="1:8" s="73" customFormat="1" ht="23" x14ac:dyDescent="0.35">
      <c r="A17" s="82" t="s">
        <v>252</v>
      </c>
      <c r="B17" s="84">
        <v>12518791.74</v>
      </c>
      <c r="C17" s="83"/>
      <c r="D17" s="84">
        <v>183024552.59999999</v>
      </c>
      <c r="E17" s="84">
        <v>159343880.72</v>
      </c>
      <c r="F17" s="84">
        <v>36199463.619999997</v>
      </c>
      <c r="G17" s="83"/>
    </row>
    <row r="18" spans="1:8" s="69" customFormat="1" ht="34.5" x14ac:dyDescent="0.35">
      <c r="A18" s="280" t="s">
        <v>253</v>
      </c>
      <c r="B18" s="84">
        <v>9287457</v>
      </c>
      <c r="C18" s="83"/>
      <c r="D18" s="84">
        <v>77067830</v>
      </c>
      <c r="E18" s="84">
        <v>57698823</v>
      </c>
      <c r="F18" s="84">
        <v>28656464</v>
      </c>
      <c r="G18" s="83"/>
    </row>
    <row r="19" spans="1:8" s="69" customFormat="1" ht="46" x14ac:dyDescent="0.35">
      <c r="A19" s="280" t="s">
        <v>254</v>
      </c>
      <c r="B19" s="84">
        <v>2800261.94</v>
      </c>
      <c r="C19" s="83"/>
      <c r="D19" s="84">
        <v>100357124.75</v>
      </c>
      <c r="E19" s="84">
        <v>95761667</v>
      </c>
      <c r="F19" s="84">
        <v>7395719.6900000004</v>
      </c>
      <c r="G19" s="83"/>
    </row>
    <row r="20" spans="1:8" s="73" customFormat="1" ht="34.5" x14ac:dyDescent="0.35">
      <c r="A20" s="280" t="s">
        <v>255</v>
      </c>
      <c r="B20" s="84">
        <v>431072.8</v>
      </c>
      <c r="C20" s="83"/>
      <c r="D20" s="84">
        <v>5599597.8499999996</v>
      </c>
      <c r="E20" s="84">
        <v>5883390.7199999997</v>
      </c>
      <c r="F20" s="84">
        <v>147279.93</v>
      </c>
      <c r="G20" s="83"/>
    </row>
    <row r="21" spans="1:8" s="72" customFormat="1" ht="23" x14ac:dyDescent="0.35">
      <c r="A21" s="82" t="s">
        <v>256</v>
      </c>
      <c r="B21" s="84">
        <v>70609703.680000007</v>
      </c>
      <c r="C21" s="83"/>
      <c r="D21" s="84">
        <v>539770559</v>
      </c>
      <c r="E21" s="84">
        <v>222601559</v>
      </c>
      <c r="F21" s="84">
        <v>387778703.68000001</v>
      </c>
      <c r="G21" s="83"/>
    </row>
    <row r="22" spans="1:8" ht="23" x14ac:dyDescent="0.35">
      <c r="A22" s="280" t="s">
        <v>257</v>
      </c>
      <c r="B22" s="83"/>
      <c r="C22" s="83"/>
      <c r="D22" s="84">
        <v>2060231</v>
      </c>
      <c r="E22" s="84">
        <v>2060231</v>
      </c>
      <c r="F22" s="83"/>
      <c r="G22" s="83"/>
    </row>
    <row r="23" spans="1:8" s="69" customFormat="1" ht="23" x14ac:dyDescent="0.35">
      <c r="A23" s="280" t="s">
        <v>431</v>
      </c>
      <c r="B23" s="83"/>
      <c r="C23" s="83"/>
      <c r="D23" s="84">
        <v>14328</v>
      </c>
      <c r="E23" s="84">
        <v>14328</v>
      </c>
      <c r="F23" s="83"/>
      <c r="G23" s="83"/>
    </row>
    <row r="24" spans="1:8" s="72" customFormat="1" ht="23" x14ac:dyDescent="0.35">
      <c r="A24" s="280" t="s">
        <v>258</v>
      </c>
      <c r="B24" s="84">
        <v>267370.68</v>
      </c>
      <c r="C24" s="83"/>
      <c r="D24" s="83"/>
      <c r="E24" s="83"/>
      <c r="F24" s="84">
        <v>267370.68</v>
      </c>
      <c r="G24" s="83"/>
    </row>
    <row r="25" spans="1:8" s="69" customFormat="1" ht="23" x14ac:dyDescent="0.35">
      <c r="A25" s="280" t="s">
        <v>259</v>
      </c>
      <c r="B25" s="84">
        <v>70342333</v>
      </c>
      <c r="C25" s="83"/>
      <c r="D25" s="84">
        <v>537696000</v>
      </c>
      <c r="E25" s="84">
        <v>220527000</v>
      </c>
      <c r="F25" s="84">
        <v>387511333</v>
      </c>
      <c r="G25" s="83"/>
    </row>
    <row r="26" spans="1:8" s="69" customFormat="1" ht="23" x14ac:dyDescent="0.35">
      <c r="A26" s="291" t="s">
        <v>260</v>
      </c>
      <c r="B26" s="292"/>
      <c r="C26" s="293">
        <v>15731464</v>
      </c>
      <c r="D26" s="293">
        <v>23936291</v>
      </c>
      <c r="E26" s="293">
        <v>37991900</v>
      </c>
      <c r="F26" s="292"/>
      <c r="G26" s="293">
        <v>29787073</v>
      </c>
    </row>
    <row r="27" spans="1:8" s="72" customFormat="1" ht="46" x14ac:dyDescent="0.35">
      <c r="A27" s="294" t="s">
        <v>261</v>
      </c>
      <c r="B27" s="292"/>
      <c r="C27" s="293">
        <v>15731464</v>
      </c>
      <c r="D27" s="293">
        <v>23936291</v>
      </c>
      <c r="E27" s="293">
        <v>37991900</v>
      </c>
      <c r="F27" s="292"/>
      <c r="G27" s="293">
        <v>29787073</v>
      </c>
    </row>
    <row r="28" spans="1:8" s="72" customFormat="1" x14ac:dyDescent="0.35">
      <c r="A28" s="295" t="s">
        <v>262</v>
      </c>
      <c r="B28" s="296">
        <v>205332.65</v>
      </c>
      <c r="C28" s="297"/>
      <c r="D28" s="296">
        <v>529214</v>
      </c>
      <c r="E28" s="296">
        <v>523974.78</v>
      </c>
      <c r="F28" s="296">
        <v>210571.87</v>
      </c>
      <c r="G28" s="297"/>
    </row>
    <row r="29" spans="1:8" x14ac:dyDescent="0.35">
      <c r="A29" s="291" t="s">
        <v>263</v>
      </c>
      <c r="B29" s="293">
        <v>205332.65</v>
      </c>
      <c r="C29" s="292"/>
      <c r="D29" s="293">
        <v>529214</v>
      </c>
      <c r="E29" s="293">
        <v>523974.78</v>
      </c>
      <c r="F29" s="293">
        <v>210571.87</v>
      </c>
      <c r="G29" s="292"/>
    </row>
    <row r="30" spans="1:8" ht="26" x14ac:dyDescent="0.35">
      <c r="A30" s="295" t="s">
        <v>264</v>
      </c>
      <c r="B30" s="296">
        <v>1447186.23</v>
      </c>
      <c r="C30" s="297"/>
      <c r="D30" s="296">
        <v>880369.3</v>
      </c>
      <c r="E30" s="296">
        <v>935271.44</v>
      </c>
      <c r="F30" s="296">
        <v>1392284.09</v>
      </c>
      <c r="G30" s="297"/>
    </row>
    <row r="31" spans="1:8" ht="23" x14ac:dyDescent="0.35">
      <c r="A31" s="291" t="s">
        <v>265</v>
      </c>
      <c r="B31" s="298">
        <v>994</v>
      </c>
      <c r="C31" s="292"/>
      <c r="D31" s="293">
        <v>855695.51</v>
      </c>
      <c r="E31" s="298">
        <v>10.27</v>
      </c>
      <c r="F31" s="293">
        <v>856679.24</v>
      </c>
      <c r="G31" s="292"/>
      <c r="H31" s="74">
        <f>B31-C59-C57-C60</f>
        <v>-36277644.729999997</v>
      </c>
    </row>
    <row r="32" spans="1:8" s="72" customFormat="1" ht="23" x14ac:dyDescent="0.35">
      <c r="A32" s="291" t="s">
        <v>266</v>
      </c>
      <c r="B32" s="293">
        <v>1446192.23</v>
      </c>
      <c r="C32" s="292"/>
      <c r="D32" s="293">
        <v>24673.79</v>
      </c>
      <c r="E32" s="293">
        <v>935261.17</v>
      </c>
      <c r="F32" s="293">
        <v>535604.85</v>
      </c>
      <c r="G32" s="292"/>
    </row>
    <row r="33" spans="1:8" s="72" customFormat="1" ht="26" x14ac:dyDescent="0.35">
      <c r="A33" s="295" t="s">
        <v>267</v>
      </c>
      <c r="B33" s="296">
        <v>1772761.16</v>
      </c>
      <c r="C33" s="297"/>
      <c r="D33" s="296">
        <v>14775821.43</v>
      </c>
      <c r="E33" s="296">
        <v>14109103.48</v>
      </c>
      <c r="F33" s="296">
        <v>2439479.11</v>
      </c>
      <c r="G33" s="297"/>
    </row>
    <row r="34" spans="1:8" s="72" customFormat="1" ht="23" x14ac:dyDescent="0.35">
      <c r="A34" s="291" t="s">
        <v>268</v>
      </c>
      <c r="B34" s="293">
        <v>1571360.67</v>
      </c>
      <c r="C34" s="292"/>
      <c r="D34" s="293">
        <v>14675538.43</v>
      </c>
      <c r="E34" s="293">
        <v>13832304.43</v>
      </c>
      <c r="F34" s="293">
        <v>2414594.67</v>
      </c>
      <c r="G34" s="292"/>
      <c r="H34" s="75"/>
    </row>
    <row r="35" spans="1:8" s="72" customFormat="1" ht="23" x14ac:dyDescent="0.35">
      <c r="A35" s="291" t="s">
        <v>269</v>
      </c>
      <c r="B35" s="293">
        <v>210641.16</v>
      </c>
      <c r="C35" s="292"/>
      <c r="D35" s="293">
        <v>100283</v>
      </c>
      <c r="E35" s="293">
        <v>276799.05</v>
      </c>
      <c r="F35" s="293">
        <v>34125.11</v>
      </c>
      <c r="G35" s="292"/>
    </row>
    <row r="36" spans="1:8" s="69" customFormat="1" ht="46" x14ac:dyDescent="0.35">
      <c r="A36" s="291" t="s">
        <v>270</v>
      </c>
      <c r="B36" s="292"/>
      <c r="C36" s="293">
        <v>9240.67</v>
      </c>
      <c r="D36" s="292"/>
      <c r="E36" s="292"/>
      <c r="F36" s="292"/>
      <c r="G36" s="293">
        <v>9240.67</v>
      </c>
    </row>
    <row r="37" spans="1:8" s="69" customFormat="1" ht="26" x14ac:dyDescent="0.35">
      <c r="A37" s="295" t="s">
        <v>271</v>
      </c>
      <c r="B37" s="296">
        <v>850473668</v>
      </c>
      <c r="C37" s="297"/>
      <c r="D37" s="296">
        <v>1068428848</v>
      </c>
      <c r="E37" s="296">
        <v>786821244</v>
      </c>
      <c r="F37" s="296">
        <v>1132081272</v>
      </c>
      <c r="G37" s="297"/>
    </row>
    <row r="38" spans="1:8" s="69" customFormat="1" ht="23" x14ac:dyDescent="0.35">
      <c r="A38" s="291" t="s">
        <v>272</v>
      </c>
      <c r="B38" s="293">
        <v>850473668</v>
      </c>
      <c r="C38" s="292"/>
      <c r="D38" s="293">
        <v>1068428848</v>
      </c>
      <c r="E38" s="293">
        <v>786821244</v>
      </c>
      <c r="F38" s="293">
        <v>1132081272</v>
      </c>
      <c r="G38" s="292"/>
    </row>
    <row r="39" spans="1:8" s="69" customFormat="1" ht="23" x14ac:dyDescent="0.35">
      <c r="A39" s="294" t="s">
        <v>273</v>
      </c>
      <c r="B39" s="293">
        <v>850473668</v>
      </c>
      <c r="C39" s="292"/>
      <c r="D39" s="293">
        <v>1068428848</v>
      </c>
      <c r="E39" s="293">
        <v>786821244</v>
      </c>
      <c r="F39" s="293">
        <v>1132081272</v>
      </c>
      <c r="G39" s="292"/>
    </row>
    <row r="40" spans="1:8" s="69" customFormat="1" ht="26" x14ac:dyDescent="0.35">
      <c r="A40" s="295" t="s">
        <v>274</v>
      </c>
      <c r="B40" s="296">
        <v>15060396.75</v>
      </c>
      <c r="C40" s="297"/>
      <c r="D40" s="296">
        <v>299228312.44</v>
      </c>
      <c r="E40" s="296">
        <v>270218294</v>
      </c>
      <c r="F40" s="296">
        <v>44070415.189999998</v>
      </c>
      <c r="G40" s="297"/>
    </row>
    <row r="41" spans="1:8" s="69" customFormat="1" ht="23" x14ac:dyDescent="0.35">
      <c r="A41" s="291" t="s">
        <v>275</v>
      </c>
      <c r="B41" s="293">
        <v>15060396.75</v>
      </c>
      <c r="C41" s="292"/>
      <c r="D41" s="293">
        <v>270428312.44</v>
      </c>
      <c r="E41" s="293">
        <v>270218294</v>
      </c>
      <c r="F41" s="293">
        <v>15270415.189999999</v>
      </c>
      <c r="G41" s="292"/>
    </row>
    <row r="42" spans="1:8" s="72" customFormat="1" ht="23" x14ac:dyDescent="0.35">
      <c r="A42" s="294" t="s">
        <v>276</v>
      </c>
      <c r="B42" s="293">
        <v>15060396.75</v>
      </c>
      <c r="C42" s="292"/>
      <c r="D42" s="293">
        <v>270428312.44</v>
      </c>
      <c r="E42" s="293">
        <v>270218294</v>
      </c>
      <c r="F42" s="293">
        <v>15270415.189999999</v>
      </c>
      <c r="G42" s="292"/>
    </row>
    <row r="43" spans="1:8" s="72" customFormat="1" ht="23" x14ac:dyDescent="0.35">
      <c r="A43" s="291" t="s">
        <v>432</v>
      </c>
      <c r="B43" s="292"/>
      <c r="C43" s="292"/>
      <c r="D43" s="293">
        <v>28800000</v>
      </c>
      <c r="E43" s="292"/>
      <c r="F43" s="293">
        <v>28800000</v>
      </c>
      <c r="G43" s="292"/>
    </row>
    <row r="44" spans="1:8" s="72" customFormat="1" ht="23" x14ac:dyDescent="0.35">
      <c r="A44" s="294" t="s">
        <v>433</v>
      </c>
      <c r="B44" s="292"/>
      <c r="C44" s="292"/>
      <c r="D44" s="293">
        <v>28800000</v>
      </c>
      <c r="E44" s="292"/>
      <c r="F44" s="293">
        <v>28800000</v>
      </c>
      <c r="G44" s="292"/>
    </row>
    <row r="45" spans="1:8" s="72" customFormat="1" x14ac:dyDescent="0.35">
      <c r="A45" s="295" t="s">
        <v>277</v>
      </c>
      <c r="B45" s="296">
        <v>4140315.88</v>
      </c>
      <c r="C45" s="297"/>
      <c r="D45" s="296">
        <v>3020384</v>
      </c>
      <c r="E45" s="296">
        <v>697519.59</v>
      </c>
      <c r="F45" s="296">
        <v>6463180.29</v>
      </c>
      <c r="G45" s="297"/>
    </row>
    <row r="46" spans="1:8" s="72" customFormat="1" x14ac:dyDescent="0.35">
      <c r="A46" s="291" t="s">
        <v>278</v>
      </c>
      <c r="B46" s="293">
        <v>5662275</v>
      </c>
      <c r="C46" s="292"/>
      <c r="D46" s="293">
        <v>3020384</v>
      </c>
      <c r="E46" s="292"/>
      <c r="F46" s="293">
        <v>8682659</v>
      </c>
      <c r="G46" s="292"/>
    </row>
    <row r="47" spans="1:8" s="72" customFormat="1" ht="23" x14ac:dyDescent="0.35">
      <c r="A47" s="291" t="s">
        <v>279</v>
      </c>
      <c r="B47" s="292"/>
      <c r="C47" s="293">
        <v>1521959.12</v>
      </c>
      <c r="D47" s="292"/>
      <c r="E47" s="293">
        <v>697519.59</v>
      </c>
      <c r="F47" s="292"/>
      <c r="G47" s="293">
        <v>2219478.71</v>
      </c>
    </row>
    <row r="48" spans="1:8" s="72" customFormat="1" x14ac:dyDescent="0.35">
      <c r="A48" s="295" t="s">
        <v>280</v>
      </c>
      <c r="B48" s="296">
        <v>121485.71</v>
      </c>
      <c r="C48" s="297"/>
      <c r="D48" s="297"/>
      <c r="E48" s="296">
        <v>32672.79</v>
      </c>
      <c r="F48" s="296">
        <v>88812.92</v>
      </c>
      <c r="G48" s="297"/>
    </row>
    <row r="49" spans="1:7" s="72" customFormat="1" ht="23" x14ac:dyDescent="0.35">
      <c r="A49" s="291" t="s">
        <v>281</v>
      </c>
      <c r="B49" s="293">
        <v>348510</v>
      </c>
      <c r="C49" s="292"/>
      <c r="D49" s="292"/>
      <c r="E49" s="292"/>
      <c r="F49" s="293">
        <v>348510</v>
      </c>
      <c r="G49" s="292"/>
    </row>
    <row r="50" spans="1:7" s="72" customFormat="1" ht="23" x14ac:dyDescent="0.35">
      <c r="A50" s="291" t="s">
        <v>282</v>
      </c>
      <c r="B50" s="292"/>
      <c r="C50" s="293">
        <v>227024.29</v>
      </c>
      <c r="D50" s="292"/>
      <c r="E50" s="293">
        <v>32672.79</v>
      </c>
      <c r="F50" s="292"/>
      <c r="G50" s="293">
        <v>259697.08</v>
      </c>
    </row>
    <row r="51" spans="1:7" s="72" customFormat="1" ht="26" x14ac:dyDescent="0.35">
      <c r="A51" s="295" t="s">
        <v>283</v>
      </c>
      <c r="B51" s="296">
        <v>703148</v>
      </c>
      <c r="C51" s="297"/>
      <c r="D51" s="297"/>
      <c r="E51" s="297"/>
      <c r="F51" s="296">
        <v>703148</v>
      </c>
      <c r="G51" s="297"/>
    </row>
    <row r="52" spans="1:7" s="72" customFormat="1" ht="34.5" x14ac:dyDescent="0.35">
      <c r="A52" s="291" t="s">
        <v>284</v>
      </c>
      <c r="B52" s="293">
        <v>703148</v>
      </c>
      <c r="C52" s="292"/>
      <c r="D52" s="292"/>
      <c r="E52" s="292"/>
      <c r="F52" s="293">
        <v>703148</v>
      </c>
      <c r="G52" s="292"/>
    </row>
    <row r="53" spans="1:7" s="72" customFormat="1" ht="26" x14ac:dyDescent="0.35">
      <c r="A53" s="295" t="s">
        <v>285</v>
      </c>
      <c r="B53" s="297"/>
      <c r="C53" s="297"/>
      <c r="D53" s="296">
        <v>160000000</v>
      </c>
      <c r="E53" s="296">
        <v>160000000</v>
      </c>
      <c r="F53" s="297"/>
      <c r="G53" s="297"/>
    </row>
    <row r="54" spans="1:7" s="72" customFormat="1" ht="46" x14ac:dyDescent="0.35">
      <c r="A54" s="291" t="s">
        <v>286</v>
      </c>
      <c r="B54" s="292"/>
      <c r="C54" s="292"/>
      <c r="D54" s="293">
        <v>110000000</v>
      </c>
      <c r="E54" s="293">
        <v>110000000</v>
      </c>
      <c r="F54" s="292"/>
      <c r="G54" s="292"/>
    </row>
    <row r="55" spans="1:7" s="72" customFormat="1" ht="23" x14ac:dyDescent="0.35">
      <c r="A55" s="291" t="s">
        <v>434</v>
      </c>
      <c r="B55" s="292"/>
      <c r="C55" s="292"/>
      <c r="D55" s="293">
        <v>50000000</v>
      </c>
      <c r="E55" s="293">
        <v>50000000</v>
      </c>
      <c r="F55" s="292"/>
      <c r="G55" s="292"/>
    </row>
    <row r="56" spans="1:7" s="72" customFormat="1" ht="26" x14ac:dyDescent="0.35">
      <c r="A56" s="295" t="s">
        <v>287</v>
      </c>
      <c r="B56" s="297"/>
      <c r="C56" s="296">
        <v>36259788.729999997</v>
      </c>
      <c r="D56" s="296">
        <v>42198841.100000001</v>
      </c>
      <c r="E56" s="296">
        <v>6500222.2699999996</v>
      </c>
      <c r="F56" s="297"/>
      <c r="G56" s="296">
        <v>561169.9</v>
      </c>
    </row>
    <row r="57" spans="1:7" s="72" customFormat="1" ht="23" x14ac:dyDescent="0.35">
      <c r="A57" s="291" t="s">
        <v>288</v>
      </c>
      <c r="B57" s="292"/>
      <c r="C57" s="293">
        <v>35991017.729999997</v>
      </c>
      <c r="D57" s="293">
        <v>35991018</v>
      </c>
      <c r="E57" s="298">
        <v>0.27</v>
      </c>
      <c r="F57" s="292"/>
      <c r="G57" s="292"/>
    </row>
    <row r="58" spans="1:7" s="72" customFormat="1" ht="23" x14ac:dyDescent="0.35">
      <c r="A58" s="291" t="s">
        <v>289</v>
      </c>
      <c r="B58" s="292"/>
      <c r="C58" s="292"/>
      <c r="D58" s="293">
        <v>3207365.1</v>
      </c>
      <c r="E58" s="293">
        <v>3475561</v>
      </c>
      <c r="F58" s="292"/>
      <c r="G58" s="293">
        <v>268195.90000000002</v>
      </c>
    </row>
    <row r="59" spans="1:7" s="72" customFormat="1" x14ac:dyDescent="0.35">
      <c r="A59" s="291" t="s">
        <v>290</v>
      </c>
      <c r="B59" s="292"/>
      <c r="C59" s="293">
        <v>268771</v>
      </c>
      <c r="D59" s="293">
        <v>3000458</v>
      </c>
      <c r="E59" s="293">
        <v>3024661</v>
      </c>
      <c r="F59" s="292"/>
      <c r="G59" s="293">
        <v>292974</v>
      </c>
    </row>
    <row r="60" spans="1:7" s="72" customFormat="1" ht="39" x14ac:dyDescent="0.35">
      <c r="A60" s="295" t="s">
        <v>291</v>
      </c>
      <c r="B60" s="297"/>
      <c r="C60" s="296">
        <v>18850</v>
      </c>
      <c r="D60" s="296">
        <v>5327618.03</v>
      </c>
      <c r="E60" s="296">
        <v>6021740.0300000003</v>
      </c>
      <c r="F60" s="297"/>
      <c r="G60" s="296">
        <v>712972</v>
      </c>
    </row>
    <row r="61" spans="1:7" s="72" customFormat="1" ht="23" x14ac:dyDescent="0.35">
      <c r="A61" s="291" t="s">
        <v>292</v>
      </c>
      <c r="B61" s="292"/>
      <c r="C61" s="293">
        <v>18850</v>
      </c>
      <c r="D61" s="293">
        <v>1968930</v>
      </c>
      <c r="E61" s="293">
        <v>2202110</v>
      </c>
      <c r="F61" s="292"/>
      <c r="G61" s="293">
        <v>252030</v>
      </c>
    </row>
    <row r="62" spans="1:7" s="72" customFormat="1" ht="23" x14ac:dyDescent="0.35">
      <c r="A62" s="294" t="s">
        <v>293</v>
      </c>
      <c r="B62" s="292"/>
      <c r="C62" s="292"/>
      <c r="D62" s="293">
        <v>702973</v>
      </c>
      <c r="E62" s="293">
        <v>802809</v>
      </c>
      <c r="F62" s="292"/>
      <c r="G62" s="293">
        <v>99836</v>
      </c>
    </row>
    <row r="63" spans="1:7" s="72" customFormat="1" ht="34.5" x14ac:dyDescent="0.35">
      <c r="A63" s="294" t="s">
        <v>294</v>
      </c>
      <c r="B63" s="292"/>
      <c r="C63" s="299">
        <v>-45074</v>
      </c>
      <c r="D63" s="293">
        <v>439910</v>
      </c>
      <c r="E63" s="293">
        <v>542474</v>
      </c>
      <c r="F63" s="292"/>
      <c r="G63" s="293">
        <v>57490</v>
      </c>
    </row>
    <row r="64" spans="1:7" s="72" customFormat="1" ht="34.5" x14ac:dyDescent="0.35">
      <c r="A64" s="294" t="s">
        <v>295</v>
      </c>
      <c r="B64" s="292"/>
      <c r="C64" s="293">
        <v>63924</v>
      </c>
      <c r="D64" s="293">
        <v>826047</v>
      </c>
      <c r="E64" s="293">
        <v>856827</v>
      </c>
      <c r="F64" s="292"/>
      <c r="G64" s="293">
        <v>94704</v>
      </c>
    </row>
    <row r="65" spans="1:7" s="72" customFormat="1" ht="23" x14ac:dyDescent="0.35">
      <c r="A65" s="291" t="s">
        <v>296</v>
      </c>
      <c r="B65" s="292"/>
      <c r="C65" s="292"/>
      <c r="D65" s="293">
        <v>3358688.03</v>
      </c>
      <c r="E65" s="293">
        <v>3819630.03</v>
      </c>
      <c r="F65" s="292"/>
      <c r="G65" s="293">
        <v>460942</v>
      </c>
    </row>
    <row r="66" spans="1:7" s="72" customFormat="1" ht="26" x14ac:dyDescent="0.35">
      <c r="A66" s="295" t="s">
        <v>297</v>
      </c>
      <c r="B66" s="297"/>
      <c r="C66" s="296">
        <v>602259.79</v>
      </c>
      <c r="D66" s="296">
        <v>83126391.140000001</v>
      </c>
      <c r="E66" s="296">
        <v>84214476.219999999</v>
      </c>
      <c r="F66" s="297"/>
      <c r="G66" s="296">
        <v>1690344.87</v>
      </c>
    </row>
    <row r="67" spans="1:7" s="72" customFormat="1" ht="34.5" x14ac:dyDescent="0.35">
      <c r="A67" s="291" t="s">
        <v>298</v>
      </c>
      <c r="B67" s="292"/>
      <c r="C67" s="293">
        <v>591726.79</v>
      </c>
      <c r="D67" s="293">
        <v>20357331.09</v>
      </c>
      <c r="E67" s="293">
        <v>20550187.16</v>
      </c>
      <c r="F67" s="292"/>
      <c r="G67" s="293">
        <v>784582.86</v>
      </c>
    </row>
    <row r="68" spans="1:7" s="72" customFormat="1" ht="23" x14ac:dyDescent="0.35">
      <c r="A68" s="291" t="s">
        <v>299</v>
      </c>
      <c r="B68" s="292"/>
      <c r="C68" s="292"/>
      <c r="D68" s="293">
        <v>41567557</v>
      </c>
      <c r="E68" s="293">
        <v>41567557</v>
      </c>
      <c r="F68" s="292"/>
      <c r="G68" s="292"/>
    </row>
    <row r="69" spans="1:7" s="72" customFormat="1" ht="23" x14ac:dyDescent="0.35">
      <c r="A69" s="291" t="s">
        <v>300</v>
      </c>
      <c r="B69" s="292"/>
      <c r="C69" s="292"/>
      <c r="D69" s="293">
        <v>20515908.050000001</v>
      </c>
      <c r="E69" s="293">
        <v>21261137.059999999</v>
      </c>
      <c r="F69" s="292"/>
      <c r="G69" s="293">
        <v>745229.01</v>
      </c>
    </row>
    <row r="70" spans="1:7" s="72" customFormat="1" ht="23" x14ac:dyDescent="0.35">
      <c r="A70" s="291" t="s">
        <v>301</v>
      </c>
      <c r="B70" s="292"/>
      <c r="C70" s="293">
        <v>10533</v>
      </c>
      <c r="D70" s="293">
        <v>685595</v>
      </c>
      <c r="E70" s="293">
        <v>835595</v>
      </c>
      <c r="F70" s="292"/>
      <c r="G70" s="293">
        <v>160533</v>
      </c>
    </row>
    <row r="71" spans="1:7" s="72" customFormat="1" ht="34.5" x14ac:dyDescent="0.35">
      <c r="A71" s="294" t="s">
        <v>302</v>
      </c>
      <c r="B71" s="292"/>
      <c r="C71" s="293">
        <v>10533</v>
      </c>
      <c r="D71" s="292"/>
      <c r="E71" s="293">
        <v>150000</v>
      </c>
      <c r="F71" s="292"/>
      <c r="G71" s="293">
        <v>160533</v>
      </c>
    </row>
    <row r="72" spans="1:7" s="72" customFormat="1" ht="23" x14ac:dyDescent="0.35">
      <c r="A72" s="294" t="s">
        <v>303</v>
      </c>
      <c r="B72" s="292"/>
      <c r="C72" s="292"/>
      <c r="D72" s="293">
        <v>685595</v>
      </c>
      <c r="E72" s="293">
        <v>685595</v>
      </c>
      <c r="F72" s="292"/>
      <c r="G72" s="292"/>
    </row>
    <row r="73" spans="1:7" s="72" customFormat="1" ht="26" x14ac:dyDescent="0.35">
      <c r="A73" s="295" t="s">
        <v>304</v>
      </c>
      <c r="B73" s="297"/>
      <c r="C73" s="296">
        <v>4606040</v>
      </c>
      <c r="D73" s="297"/>
      <c r="E73" s="297"/>
      <c r="F73" s="297"/>
      <c r="G73" s="296">
        <v>4606040</v>
      </c>
    </row>
    <row r="74" spans="1:7" s="72" customFormat="1" ht="34.5" x14ac:dyDescent="0.35">
      <c r="A74" s="291" t="s">
        <v>305</v>
      </c>
      <c r="B74" s="292"/>
      <c r="C74" s="293">
        <v>4606040</v>
      </c>
      <c r="D74" s="292"/>
      <c r="E74" s="292"/>
      <c r="F74" s="292"/>
      <c r="G74" s="293">
        <v>4606040</v>
      </c>
    </row>
    <row r="75" spans="1:7" s="72" customFormat="1" ht="26" x14ac:dyDescent="0.35">
      <c r="A75" s="295" t="s">
        <v>306</v>
      </c>
      <c r="B75" s="297"/>
      <c r="C75" s="296">
        <v>5830138.4900000002</v>
      </c>
      <c r="D75" s="296">
        <v>1749350759.6899998</v>
      </c>
      <c r="E75" s="296">
        <v>1772018196.2</v>
      </c>
      <c r="F75" s="297"/>
      <c r="G75" s="296">
        <v>28497575</v>
      </c>
    </row>
    <row r="76" spans="1:7" s="72" customFormat="1" ht="23" x14ac:dyDescent="0.35">
      <c r="A76" s="291" t="s">
        <v>307</v>
      </c>
      <c r="B76" s="292"/>
      <c r="C76" s="293">
        <v>5830138.4900000002</v>
      </c>
      <c r="D76" s="293">
        <v>1749350759.6899998</v>
      </c>
      <c r="E76" s="293">
        <v>1772018196.2</v>
      </c>
      <c r="F76" s="292"/>
      <c r="G76" s="293">
        <v>28497575</v>
      </c>
    </row>
    <row r="77" spans="1:7" s="72" customFormat="1" ht="26" x14ac:dyDescent="0.35">
      <c r="A77" s="295" t="s">
        <v>308</v>
      </c>
      <c r="B77" s="297"/>
      <c r="C77" s="296">
        <v>612669000</v>
      </c>
      <c r="D77" s="296">
        <v>1777594268.3800001</v>
      </c>
      <c r="E77" s="296">
        <v>2378374049.1000004</v>
      </c>
      <c r="F77" s="297"/>
      <c r="G77" s="296">
        <v>1213448780.72</v>
      </c>
    </row>
    <row r="78" spans="1:7" s="72" customFormat="1" ht="34.5" x14ac:dyDescent="0.35">
      <c r="A78" s="291" t="s">
        <v>309</v>
      </c>
      <c r="B78" s="292"/>
      <c r="C78" s="292"/>
      <c r="D78" s="293">
        <v>885220219.27999997</v>
      </c>
      <c r="E78" s="293">
        <v>1000641000</v>
      </c>
      <c r="F78" s="292"/>
      <c r="G78" s="293">
        <v>115420780.72</v>
      </c>
    </row>
    <row r="79" spans="1:7" s="72" customFormat="1" ht="23" x14ac:dyDescent="0.35">
      <c r="A79" s="291" t="s">
        <v>310</v>
      </c>
      <c r="B79" s="292"/>
      <c r="C79" s="293">
        <v>612669000</v>
      </c>
      <c r="D79" s="293">
        <v>892374049.10000002</v>
      </c>
      <c r="E79" s="293">
        <v>1377733049.0999999</v>
      </c>
      <c r="F79" s="292"/>
      <c r="G79" s="293">
        <v>1098028000</v>
      </c>
    </row>
    <row r="80" spans="1:7" s="72" customFormat="1" ht="26" x14ac:dyDescent="0.35">
      <c r="A80" s="295" t="s">
        <v>311</v>
      </c>
      <c r="B80" s="297"/>
      <c r="C80" s="296">
        <v>33186237.5</v>
      </c>
      <c r="D80" s="296">
        <v>357880357.94999999</v>
      </c>
      <c r="E80" s="296">
        <v>356902941.77999997</v>
      </c>
      <c r="F80" s="297"/>
      <c r="G80" s="296">
        <v>32208821.329999998</v>
      </c>
    </row>
    <row r="81" spans="1:7" s="72" customFormat="1" ht="23" x14ac:dyDescent="0.35">
      <c r="A81" s="291" t="s">
        <v>312</v>
      </c>
      <c r="B81" s="292"/>
      <c r="C81" s="293">
        <v>33186237.5</v>
      </c>
      <c r="D81" s="293">
        <v>357880357.94999999</v>
      </c>
      <c r="E81" s="293">
        <v>356902941.77999997</v>
      </c>
      <c r="F81" s="292"/>
      <c r="G81" s="293">
        <v>32208821.329999998</v>
      </c>
    </row>
    <row r="82" spans="1:7" s="72" customFormat="1" x14ac:dyDescent="0.35">
      <c r="A82" s="295" t="s">
        <v>313</v>
      </c>
      <c r="B82" s="297"/>
      <c r="C82" s="296">
        <v>200000000</v>
      </c>
      <c r="D82" s="297"/>
      <c r="E82" s="297"/>
      <c r="F82" s="297"/>
      <c r="G82" s="296">
        <v>200000000</v>
      </c>
    </row>
    <row r="83" spans="1:7" x14ac:dyDescent="0.35">
      <c r="A83" s="291" t="s">
        <v>314</v>
      </c>
      <c r="B83" s="292"/>
      <c r="C83" s="293">
        <v>200000000</v>
      </c>
      <c r="D83" s="292"/>
      <c r="E83" s="292"/>
      <c r="F83" s="292"/>
      <c r="G83" s="293">
        <v>200000000</v>
      </c>
    </row>
    <row r="84" spans="1:7" ht="26" x14ac:dyDescent="0.35">
      <c r="A84" s="295" t="s">
        <v>315</v>
      </c>
      <c r="B84" s="297"/>
      <c r="C84" s="296">
        <v>404358301.38</v>
      </c>
      <c r="D84" s="296">
        <v>251116586.47999999</v>
      </c>
      <c r="E84" s="296">
        <v>265505276.99000001</v>
      </c>
      <c r="F84" s="297"/>
      <c r="G84" s="296">
        <v>418746991.88999999</v>
      </c>
    </row>
    <row r="85" spans="1:7" s="72" customFormat="1" ht="34.5" x14ac:dyDescent="0.35">
      <c r="A85" s="291" t="s">
        <v>316</v>
      </c>
      <c r="B85" s="292"/>
      <c r="C85" s="293">
        <v>141116586.47999999</v>
      </c>
      <c r="D85" s="293">
        <v>141116586.47999999</v>
      </c>
      <c r="E85" s="293">
        <v>124388690.51000001</v>
      </c>
      <c r="F85" s="292"/>
      <c r="G85" s="293">
        <v>124388690.51000001</v>
      </c>
    </row>
    <row r="86" spans="1:7" s="72" customFormat="1" ht="34.5" x14ac:dyDescent="0.35">
      <c r="A86" s="291" t="s">
        <v>317</v>
      </c>
      <c r="B86" s="292"/>
      <c r="C86" s="293">
        <v>263241714.90000001</v>
      </c>
      <c r="D86" s="293">
        <v>110000000</v>
      </c>
      <c r="E86" s="293">
        <v>141116586.47999999</v>
      </c>
      <c r="F86" s="292"/>
      <c r="G86" s="293">
        <v>294358301.38</v>
      </c>
    </row>
    <row r="87" spans="1:7" s="72" customFormat="1" ht="26" x14ac:dyDescent="0.35">
      <c r="A87" s="295" t="s">
        <v>318</v>
      </c>
      <c r="B87" s="297"/>
      <c r="C87" s="297"/>
      <c r="D87" s="296">
        <v>433847310.54000002</v>
      </c>
      <c r="E87" s="296">
        <v>433847310.54000002</v>
      </c>
      <c r="F87" s="297"/>
      <c r="G87" s="297"/>
    </row>
    <row r="88" spans="1:7" s="72" customFormat="1" ht="23" x14ac:dyDescent="0.35">
      <c r="A88" s="291" t="s">
        <v>319</v>
      </c>
      <c r="B88" s="292"/>
      <c r="C88" s="292"/>
      <c r="D88" s="293">
        <v>433847310.54000002</v>
      </c>
      <c r="E88" s="293">
        <v>433847310.54000002</v>
      </c>
      <c r="F88" s="292"/>
      <c r="G88" s="292"/>
    </row>
    <row r="89" spans="1:7" s="72" customFormat="1" ht="26" x14ac:dyDescent="0.35">
      <c r="A89" s="295" t="s">
        <v>320</v>
      </c>
      <c r="B89" s="297"/>
      <c r="C89" s="297"/>
      <c r="D89" s="296">
        <v>407850788.54000002</v>
      </c>
      <c r="E89" s="296">
        <v>407850788.54000002</v>
      </c>
      <c r="F89" s="297"/>
      <c r="G89" s="297"/>
    </row>
    <row r="90" spans="1:7" s="72" customFormat="1" ht="23" x14ac:dyDescent="0.35">
      <c r="A90" s="291" t="s">
        <v>321</v>
      </c>
      <c r="B90" s="292"/>
      <c r="C90" s="292"/>
      <c r="D90" s="293">
        <v>370785437.19</v>
      </c>
      <c r="E90" s="293">
        <v>370785437.19</v>
      </c>
      <c r="F90" s="292"/>
      <c r="G90" s="292"/>
    </row>
    <row r="91" spans="1:7" s="72" customFormat="1" ht="34.5" x14ac:dyDescent="0.35">
      <c r="A91" s="294" t="s">
        <v>322</v>
      </c>
      <c r="B91" s="292"/>
      <c r="C91" s="292"/>
      <c r="D91" s="293">
        <v>370785437.19</v>
      </c>
      <c r="E91" s="293">
        <v>370785437.19</v>
      </c>
      <c r="F91" s="292"/>
      <c r="G91" s="292"/>
    </row>
    <row r="92" spans="1:7" s="72" customFormat="1" ht="34.5" x14ac:dyDescent="0.35">
      <c r="A92" s="291" t="s">
        <v>323</v>
      </c>
      <c r="B92" s="292"/>
      <c r="C92" s="292"/>
      <c r="D92" s="293">
        <v>5599597.8499999996</v>
      </c>
      <c r="E92" s="293">
        <v>5599597.8499999996</v>
      </c>
      <c r="F92" s="292"/>
      <c r="G92" s="292"/>
    </row>
    <row r="93" spans="1:7" s="72" customFormat="1" ht="23" x14ac:dyDescent="0.35">
      <c r="A93" s="291" t="s">
        <v>324</v>
      </c>
      <c r="B93" s="292"/>
      <c r="C93" s="292"/>
      <c r="D93" s="293">
        <v>31465753.5</v>
      </c>
      <c r="E93" s="293">
        <v>31465753.5</v>
      </c>
      <c r="F93" s="292"/>
      <c r="G93" s="292"/>
    </row>
    <row r="94" spans="1:7" s="72" customFormat="1" x14ac:dyDescent="0.35">
      <c r="A94" s="295" t="s">
        <v>325</v>
      </c>
      <c r="B94" s="297"/>
      <c r="C94" s="297"/>
      <c r="D94" s="296">
        <v>25996522</v>
      </c>
      <c r="E94" s="296">
        <v>25996522</v>
      </c>
      <c r="F94" s="297"/>
      <c r="G94" s="297"/>
    </row>
    <row r="95" spans="1:7" s="72" customFormat="1" ht="34.5" x14ac:dyDescent="0.35">
      <c r="A95" s="291" t="s">
        <v>326</v>
      </c>
      <c r="B95" s="292"/>
      <c r="C95" s="292"/>
      <c r="D95" s="293">
        <v>23936291</v>
      </c>
      <c r="E95" s="293">
        <v>23936291</v>
      </c>
      <c r="F95" s="292"/>
      <c r="G95" s="292"/>
    </row>
    <row r="96" spans="1:7" s="72" customFormat="1" x14ac:dyDescent="0.35">
      <c r="A96" s="291" t="s">
        <v>327</v>
      </c>
      <c r="B96" s="292"/>
      <c r="C96" s="292"/>
      <c r="D96" s="293">
        <v>2060231</v>
      </c>
      <c r="E96" s="293">
        <v>2060231</v>
      </c>
      <c r="F96" s="292"/>
      <c r="G96" s="292"/>
    </row>
    <row r="97" spans="1:7" s="72" customFormat="1" ht="23" x14ac:dyDescent="0.35">
      <c r="A97" s="294" t="s">
        <v>328</v>
      </c>
      <c r="B97" s="292"/>
      <c r="C97" s="292"/>
      <c r="D97" s="293">
        <v>2060231</v>
      </c>
      <c r="E97" s="293">
        <v>2060231</v>
      </c>
      <c r="F97" s="292"/>
      <c r="G97" s="292"/>
    </row>
    <row r="98" spans="1:7" s="72" customFormat="1" ht="26" x14ac:dyDescent="0.35">
      <c r="A98" s="295" t="s">
        <v>329</v>
      </c>
      <c r="B98" s="297"/>
      <c r="C98" s="297"/>
      <c r="D98" s="296">
        <v>15246597.460000001</v>
      </c>
      <c r="E98" s="296">
        <v>15246597.460000001</v>
      </c>
      <c r="F98" s="297"/>
      <c r="G98" s="297"/>
    </row>
    <row r="99" spans="1:7" s="72" customFormat="1" ht="23" x14ac:dyDescent="0.35">
      <c r="A99" s="291" t="s">
        <v>330</v>
      </c>
      <c r="B99" s="292"/>
      <c r="C99" s="292"/>
      <c r="D99" s="293">
        <v>15246597.460000001</v>
      </c>
      <c r="E99" s="293">
        <v>15246597.460000001</v>
      </c>
      <c r="F99" s="292"/>
      <c r="G99" s="292"/>
    </row>
    <row r="100" spans="1:7" s="72" customFormat="1" ht="26" x14ac:dyDescent="0.35">
      <c r="A100" s="295" t="s">
        <v>331</v>
      </c>
      <c r="B100" s="297"/>
      <c r="C100" s="297"/>
      <c r="D100" s="296">
        <v>50113308.729999997</v>
      </c>
      <c r="E100" s="296">
        <v>50113308.729999997</v>
      </c>
      <c r="F100" s="297"/>
      <c r="G100" s="297"/>
    </row>
    <row r="101" spans="1:7" s="72" customFormat="1" x14ac:dyDescent="0.35">
      <c r="A101" s="291" t="s">
        <v>332</v>
      </c>
      <c r="B101" s="292"/>
      <c r="C101" s="292"/>
      <c r="D101" s="293">
        <v>49878804.909999996</v>
      </c>
      <c r="E101" s="293">
        <v>49878804.909999996</v>
      </c>
      <c r="F101" s="292"/>
      <c r="G101" s="292"/>
    </row>
    <row r="102" spans="1:7" s="72" customFormat="1" ht="23" x14ac:dyDescent="0.35">
      <c r="A102" s="291" t="s">
        <v>333</v>
      </c>
      <c r="B102" s="292"/>
      <c r="C102" s="292"/>
      <c r="D102" s="293">
        <v>234503.82</v>
      </c>
      <c r="E102" s="293">
        <v>234503.82</v>
      </c>
      <c r="F102" s="292"/>
      <c r="G102" s="292"/>
    </row>
    <row r="103" spans="1:7" s="72" customFormat="1" ht="26" x14ac:dyDescent="0.35">
      <c r="A103" s="295" t="s">
        <v>334</v>
      </c>
      <c r="B103" s="297"/>
      <c r="C103" s="297"/>
      <c r="D103" s="296">
        <v>206106813.84</v>
      </c>
      <c r="E103" s="296">
        <v>206106813.84</v>
      </c>
      <c r="F103" s="297"/>
      <c r="G103" s="297"/>
    </row>
    <row r="104" spans="1:7" ht="23" x14ac:dyDescent="0.35">
      <c r="A104" s="291" t="s">
        <v>335</v>
      </c>
      <c r="B104" s="292"/>
      <c r="C104" s="292"/>
      <c r="D104" s="293">
        <v>206106813.84</v>
      </c>
      <c r="E104" s="293">
        <v>206106813.84</v>
      </c>
      <c r="F104" s="292"/>
      <c r="G104" s="292"/>
    </row>
    <row r="105" spans="1:7" x14ac:dyDescent="0.35">
      <c r="A105" s="295" t="s">
        <v>336</v>
      </c>
      <c r="B105" s="297"/>
      <c r="C105" s="297"/>
      <c r="D105" s="296">
        <v>37991900</v>
      </c>
      <c r="E105" s="296">
        <v>37991900</v>
      </c>
      <c r="F105" s="297"/>
      <c r="G105" s="297"/>
    </row>
    <row r="106" spans="1:7" ht="23" x14ac:dyDescent="0.35">
      <c r="A106" s="291" t="s">
        <v>337</v>
      </c>
      <c r="B106" s="292"/>
      <c r="C106" s="292"/>
      <c r="D106" s="293">
        <v>37991900</v>
      </c>
      <c r="E106" s="293">
        <v>37991900</v>
      </c>
      <c r="F106" s="292"/>
      <c r="G106" s="292"/>
    </row>
    <row r="107" spans="1:7" ht="46" x14ac:dyDescent="0.35">
      <c r="A107" s="294" t="s">
        <v>338</v>
      </c>
      <c r="B107" s="292"/>
      <c r="C107" s="292"/>
      <c r="D107" s="293">
        <v>37991900</v>
      </c>
      <c r="E107" s="293">
        <v>37991900</v>
      </c>
      <c r="F107" s="292"/>
      <c r="G107" s="292"/>
    </row>
    <row r="108" spans="1:7" x14ac:dyDescent="0.35">
      <c r="A108" s="300" t="s">
        <v>339</v>
      </c>
      <c r="B108" s="301">
        <v>1297530615.8899999</v>
      </c>
      <c r="C108" s="301">
        <v>1297530615.8899999</v>
      </c>
      <c r="D108" s="301">
        <v>23338929004.580006</v>
      </c>
      <c r="E108" s="301">
        <v>23338929004.580006</v>
      </c>
      <c r="F108" s="301">
        <v>1900472695.71</v>
      </c>
      <c r="G108" s="301">
        <v>1900472695.71</v>
      </c>
    </row>
    <row r="109" spans="1:7" x14ac:dyDescent="0.35">
      <c r="A109" s="276"/>
      <c r="B109" s="276"/>
      <c r="C109" s="276"/>
      <c r="D109" s="276"/>
      <c r="E109" s="276"/>
      <c r="F109" s="276"/>
      <c r="G109" s="276"/>
    </row>
    <row r="110" spans="1:7" x14ac:dyDescent="0.35">
      <c r="A110" s="276"/>
      <c r="B110" s="276"/>
      <c r="C110" s="276"/>
      <c r="D110" s="276"/>
      <c r="E110" s="276"/>
      <c r="F110" s="276"/>
      <c r="G110" s="276"/>
    </row>
    <row r="111" spans="1:7" x14ac:dyDescent="0.35">
      <c r="A111" s="276"/>
      <c r="B111" s="276"/>
      <c r="C111" s="276"/>
      <c r="D111" s="276"/>
      <c r="E111" s="276"/>
      <c r="F111" s="276"/>
      <c r="G111" s="276"/>
    </row>
    <row r="112" spans="1:7" x14ac:dyDescent="0.35">
      <c r="A112" s="276"/>
      <c r="B112" s="276"/>
      <c r="C112" s="276"/>
      <c r="D112" s="276"/>
      <c r="E112" s="276"/>
      <c r="F112" s="276"/>
      <c r="G112" s="276"/>
    </row>
    <row r="113" spans="1:7" x14ac:dyDescent="0.35">
      <c r="A113" s="276"/>
      <c r="B113" s="276"/>
      <c r="C113" s="276"/>
      <c r="D113" s="276"/>
      <c r="E113" s="276"/>
      <c r="F113" s="276"/>
      <c r="G113" s="276"/>
    </row>
    <row r="114" spans="1:7" x14ac:dyDescent="0.35">
      <c r="A114" s="276"/>
      <c r="B114" s="276"/>
      <c r="C114" s="276"/>
      <c r="D114" s="276"/>
      <c r="E114" s="276"/>
      <c r="F114" s="276"/>
      <c r="G114" s="276"/>
    </row>
    <row r="115" spans="1:7" x14ac:dyDescent="0.35">
      <c r="A115" s="276"/>
      <c r="B115" s="276"/>
      <c r="C115" s="276"/>
      <c r="D115" s="276"/>
      <c r="E115" s="276"/>
      <c r="F115" s="276"/>
      <c r="G115" s="276"/>
    </row>
  </sheetData>
  <mergeCells count="4">
    <mergeCell ref="A6:A7"/>
    <mergeCell ref="B6:C6"/>
    <mergeCell ref="D6:E6"/>
    <mergeCell ref="F6:G6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7"/>
  <sheetViews>
    <sheetView topLeftCell="A104" workbookViewId="0">
      <selection activeCell="A114" sqref="A114"/>
    </sheetView>
  </sheetViews>
  <sheetFormatPr defaultRowHeight="14.5" x14ac:dyDescent="0.35"/>
  <cols>
    <col min="1" max="1" width="45.1796875" style="187" customWidth="1"/>
    <col min="2" max="3" width="18.90625" style="187" customWidth="1"/>
    <col min="4" max="4" width="15.7265625" style="187" customWidth="1"/>
    <col min="5" max="5" width="20.90625" style="187" customWidth="1"/>
    <col min="6" max="6" width="15.08984375" style="187" customWidth="1"/>
    <col min="7" max="7" width="20.26953125" style="187" customWidth="1"/>
    <col min="8" max="8" width="11.36328125" style="187" customWidth="1"/>
    <col min="9" max="9" width="20" style="187" customWidth="1"/>
    <col min="10" max="10" width="8.7265625" style="187" customWidth="1"/>
    <col min="11" max="16384" width="8.7265625" style="187"/>
  </cols>
  <sheetData>
    <row r="2" spans="1:7" ht="28" x14ac:dyDescent="0.35">
      <c r="A2" s="186" t="s">
        <v>173</v>
      </c>
      <c r="B2" s="67" t="s">
        <v>426</v>
      </c>
      <c r="C2" s="67" t="s">
        <v>218</v>
      </c>
    </row>
    <row r="3" spans="1:7" ht="28" x14ac:dyDescent="0.35">
      <c r="A3" s="188" t="s">
        <v>175</v>
      </c>
      <c r="B3" s="189">
        <f>Ф1!C8</f>
        <v>1280</v>
      </c>
      <c r="C3" s="189">
        <v>5635</v>
      </c>
    </row>
    <row r="4" spans="1:7" x14ac:dyDescent="0.35">
      <c r="A4" s="188" t="s">
        <v>219</v>
      </c>
      <c r="B4" s="189">
        <f>Ф1!C9</f>
        <v>8</v>
      </c>
      <c r="C4" s="189">
        <v>89548</v>
      </c>
    </row>
    <row r="5" spans="1:7" x14ac:dyDescent="0.35">
      <c r="A5" s="188" t="s">
        <v>176</v>
      </c>
      <c r="B5" s="189">
        <f>Ф1!C10</f>
        <v>13201</v>
      </c>
      <c r="C5" s="189">
        <v>105877</v>
      </c>
    </row>
    <row r="6" spans="1:7" x14ac:dyDescent="0.35">
      <c r="A6" s="186" t="s">
        <v>339</v>
      </c>
      <c r="B6" s="23">
        <f>SUM(B3:B5)</f>
        <v>14489</v>
      </c>
      <c r="C6" s="23">
        <f>SUM(C3:C5)</f>
        <v>201060</v>
      </c>
    </row>
    <row r="7" spans="1:7" x14ac:dyDescent="0.35">
      <c r="B7" s="190">
        <f>Ф1!C7</f>
        <v>14489</v>
      </c>
      <c r="C7" s="190">
        <f>Ф1!D7</f>
        <v>201060</v>
      </c>
    </row>
    <row r="10" spans="1:7" x14ac:dyDescent="0.35">
      <c r="A10" s="191"/>
      <c r="B10" s="359" t="s">
        <v>450</v>
      </c>
      <c r="C10" s="359"/>
      <c r="D10" s="359"/>
      <c r="E10" s="359" t="s">
        <v>361</v>
      </c>
      <c r="F10" s="359"/>
      <c r="G10" s="359"/>
    </row>
    <row r="11" spans="1:7" ht="28" x14ac:dyDescent="0.35">
      <c r="A11" s="192" t="s">
        <v>8</v>
      </c>
      <c r="B11" s="192" t="s">
        <v>355</v>
      </c>
      <c r="C11" s="192" t="s">
        <v>356</v>
      </c>
      <c r="D11" s="192" t="s">
        <v>357</v>
      </c>
      <c r="E11" s="192" t="s">
        <v>355</v>
      </c>
      <c r="F11" s="192" t="s">
        <v>356</v>
      </c>
      <c r="G11" s="192" t="s">
        <v>357</v>
      </c>
    </row>
    <row r="12" spans="1:7" x14ac:dyDescent="0.35">
      <c r="A12" s="193" t="s">
        <v>358</v>
      </c>
      <c r="B12" s="169">
        <f>3483+84</f>
        <v>3567</v>
      </c>
      <c r="C12" s="170">
        <f>1618+84</f>
        <v>1702</v>
      </c>
      <c r="D12" s="194">
        <f>B12-C12</f>
        <v>1865</v>
      </c>
      <c r="E12" s="233">
        <v>2037</v>
      </c>
      <c r="F12" s="195">
        <v>1296</v>
      </c>
      <c r="G12" s="193">
        <f>732+9</f>
        <v>741</v>
      </c>
    </row>
    <row r="13" spans="1:7" x14ac:dyDescent="0.35">
      <c r="A13" s="193" t="s">
        <v>359</v>
      </c>
      <c r="B13" s="169">
        <v>5077</v>
      </c>
      <c r="C13" s="170">
        <v>486</v>
      </c>
      <c r="D13" s="194">
        <f t="shared" ref="D13:D14" si="0">B13-C13</f>
        <v>4591</v>
      </c>
      <c r="E13" s="233">
        <v>3586</v>
      </c>
      <c r="F13" s="196">
        <v>195</v>
      </c>
      <c r="G13" s="240">
        <v>3391</v>
      </c>
    </row>
    <row r="14" spans="1:7" x14ac:dyDescent="0.35">
      <c r="A14" s="193" t="s">
        <v>360</v>
      </c>
      <c r="B14" s="169">
        <v>39</v>
      </c>
      <c r="C14" s="170">
        <v>31</v>
      </c>
      <c r="D14" s="194">
        <f t="shared" si="0"/>
        <v>8</v>
      </c>
      <c r="E14" s="234">
        <v>39</v>
      </c>
      <c r="F14" s="196">
        <v>31</v>
      </c>
      <c r="G14" s="193">
        <v>8</v>
      </c>
    </row>
    <row r="15" spans="1:7" x14ac:dyDescent="0.35">
      <c r="A15" s="197" t="s">
        <v>339</v>
      </c>
      <c r="B15" s="198">
        <f t="shared" ref="B15:G15" si="1">SUM(B12:B14)</f>
        <v>8683</v>
      </c>
      <c r="C15" s="198">
        <f t="shared" si="1"/>
        <v>2219</v>
      </c>
      <c r="D15" s="198">
        <f t="shared" si="1"/>
        <v>6464</v>
      </c>
      <c r="E15" s="235">
        <f t="shared" si="1"/>
        <v>5662</v>
      </c>
      <c r="F15" s="198">
        <f t="shared" si="1"/>
        <v>1522</v>
      </c>
      <c r="G15" s="235">
        <f t="shared" si="1"/>
        <v>4140</v>
      </c>
    </row>
    <row r="16" spans="1:7" x14ac:dyDescent="0.35">
      <c r="A16" s="199"/>
      <c r="B16" s="199"/>
      <c r="C16" s="199"/>
      <c r="D16" s="200">
        <f>Ф1!C14</f>
        <v>6463</v>
      </c>
      <c r="E16" s="199"/>
      <c r="F16" s="199"/>
      <c r="G16" s="200">
        <f>Ф1!D14</f>
        <v>4140</v>
      </c>
    </row>
    <row r="18" spans="1:5" ht="28" x14ac:dyDescent="0.35">
      <c r="A18" s="201"/>
      <c r="B18" s="178" t="s">
        <v>451</v>
      </c>
      <c r="C18" s="178" t="s">
        <v>218</v>
      </c>
    </row>
    <row r="19" spans="1:5" x14ac:dyDescent="0.35">
      <c r="A19" s="202" t="s">
        <v>363</v>
      </c>
      <c r="B19" s="304">
        <v>2415</v>
      </c>
      <c r="C19" s="203">
        <v>1571</v>
      </c>
    </row>
    <row r="20" spans="1:5" x14ac:dyDescent="0.35">
      <c r="A20" s="202" t="s">
        <v>364</v>
      </c>
      <c r="B20" s="304">
        <v>34</v>
      </c>
      <c r="C20" s="202">
        <v>211</v>
      </c>
    </row>
    <row r="21" spans="1:5" ht="28" x14ac:dyDescent="0.35">
      <c r="A21" s="202" t="s">
        <v>365</v>
      </c>
      <c r="B21" s="204" t="s">
        <v>6</v>
      </c>
      <c r="C21" s="202" t="s">
        <v>6</v>
      </c>
    </row>
    <row r="22" spans="1:5" ht="28.5" thickBot="1" x14ac:dyDescent="0.4">
      <c r="A22" s="202" t="s">
        <v>366</v>
      </c>
      <c r="B22" s="204">
        <v>-9</v>
      </c>
      <c r="C22" s="205">
        <v>-9</v>
      </c>
    </row>
    <row r="23" spans="1:5" x14ac:dyDescent="0.35">
      <c r="A23" s="206" t="s">
        <v>367</v>
      </c>
      <c r="B23" s="207">
        <f>SUM(B19:B22)</f>
        <v>2440</v>
      </c>
      <c r="C23" s="207">
        <f>SUM(C19:C22)</f>
        <v>1773</v>
      </c>
    </row>
    <row r="24" spans="1:5" x14ac:dyDescent="0.35">
      <c r="B24" s="190">
        <f>Ф1!C19</f>
        <v>2440</v>
      </c>
      <c r="C24" s="190">
        <f>Ф1!D19</f>
        <v>1773</v>
      </c>
    </row>
    <row r="26" spans="1:5" x14ac:dyDescent="0.35">
      <c r="A26" s="187" t="s">
        <v>369</v>
      </c>
    </row>
    <row r="27" spans="1:5" x14ac:dyDescent="0.35">
      <c r="A27" s="363"/>
      <c r="B27" s="364" t="s">
        <v>451</v>
      </c>
      <c r="C27" s="364" t="s">
        <v>368</v>
      </c>
    </row>
    <row r="28" spans="1:5" x14ac:dyDescent="0.35">
      <c r="A28" s="363"/>
      <c r="B28" s="364"/>
      <c r="C28" s="364"/>
      <c r="D28" s="187" t="s">
        <v>458</v>
      </c>
      <c r="E28" s="187" t="s">
        <v>459</v>
      </c>
    </row>
    <row r="29" spans="1:5" s="245" customFormat="1" x14ac:dyDescent="0.35">
      <c r="A29" s="243" t="s">
        <v>370</v>
      </c>
      <c r="B29" s="244">
        <f>B36</f>
        <v>116166</v>
      </c>
      <c r="C29" s="244">
        <f>C36</f>
        <v>0</v>
      </c>
    </row>
    <row r="30" spans="1:5" x14ac:dyDescent="0.35">
      <c r="A30" s="184" t="s">
        <v>452</v>
      </c>
      <c r="B30" s="213">
        <f>D30+E30</f>
        <v>30253</v>
      </c>
      <c r="C30" s="168" t="s">
        <v>6</v>
      </c>
      <c r="D30" s="168">
        <v>30000</v>
      </c>
      <c r="E30" s="168">
        <v>253</v>
      </c>
    </row>
    <row r="31" spans="1:5" x14ac:dyDescent="0.35">
      <c r="A31" s="184" t="s">
        <v>453</v>
      </c>
      <c r="B31" s="213">
        <f t="shared" ref="B31:B35" si="2">D31+E31</f>
        <v>9607</v>
      </c>
      <c r="C31" s="168" t="s">
        <v>6</v>
      </c>
      <c r="D31" s="168">
        <v>9527</v>
      </c>
      <c r="E31" s="168">
        <v>80</v>
      </c>
    </row>
    <row r="32" spans="1:5" x14ac:dyDescent="0.35">
      <c r="A32" s="184" t="s">
        <v>454</v>
      </c>
      <c r="B32" s="213">
        <f t="shared" si="2"/>
        <v>12448</v>
      </c>
      <c r="C32" s="168" t="s">
        <v>6</v>
      </c>
      <c r="D32" s="168">
        <v>12364</v>
      </c>
      <c r="E32" s="168">
        <v>84</v>
      </c>
    </row>
    <row r="33" spans="1:5" x14ac:dyDescent="0.35">
      <c r="A33" s="184" t="s">
        <v>455</v>
      </c>
      <c r="B33" s="213">
        <f t="shared" si="2"/>
        <v>28585</v>
      </c>
      <c r="C33" s="168" t="s">
        <v>6</v>
      </c>
      <c r="D33" s="168">
        <v>28530</v>
      </c>
      <c r="E33" s="168">
        <v>55</v>
      </c>
    </row>
    <row r="34" spans="1:5" x14ac:dyDescent="0.35">
      <c r="A34" s="184" t="s">
        <v>456</v>
      </c>
      <c r="B34" s="213">
        <f t="shared" si="2"/>
        <v>20264</v>
      </c>
      <c r="C34" s="168" t="s">
        <v>6</v>
      </c>
      <c r="D34" s="168">
        <v>20000</v>
      </c>
      <c r="E34" s="168">
        <v>264</v>
      </c>
    </row>
    <row r="35" spans="1:5" x14ac:dyDescent="0.35">
      <c r="A35" s="184" t="s">
        <v>457</v>
      </c>
      <c r="B35" s="213">
        <f t="shared" si="2"/>
        <v>15009</v>
      </c>
      <c r="C35" s="168" t="s">
        <v>6</v>
      </c>
      <c r="D35" s="168">
        <v>15000</v>
      </c>
      <c r="E35" s="168">
        <v>9</v>
      </c>
    </row>
    <row r="36" spans="1:5" s="245" customFormat="1" x14ac:dyDescent="0.35">
      <c r="A36" s="246" t="s">
        <v>339</v>
      </c>
      <c r="B36" s="247">
        <f>SUM(B30:B35)</f>
        <v>116166</v>
      </c>
      <c r="C36" s="247">
        <f t="shared" ref="C36:E36" si="3">SUM(C30:C35)</f>
        <v>0</v>
      </c>
      <c r="D36" s="247">
        <f t="shared" si="3"/>
        <v>115421</v>
      </c>
      <c r="E36" s="247">
        <f t="shared" si="3"/>
        <v>745</v>
      </c>
    </row>
    <row r="37" spans="1:5" x14ac:dyDescent="0.35">
      <c r="B37" s="190">
        <f>Ф1!C22</f>
        <v>116166</v>
      </c>
      <c r="C37" s="190">
        <f>Ф1!D22</f>
        <v>0</v>
      </c>
    </row>
    <row r="39" spans="1:5" ht="42" x14ac:dyDescent="0.35">
      <c r="A39" s="209"/>
      <c r="B39" s="180" t="s">
        <v>451</v>
      </c>
      <c r="C39" s="180" t="s">
        <v>368</v>
      </c>
    </row>
    <row r="40" spans="1:5" x14ac:dyDescent="0.35">
      <c r="A40" s="167" t="s">
        <v>371</v>
      </c>
      <c r="B40" s="213">
        <v>1098028</v>
      </c>
      <c r="C40" s="211">
        <v>612669</v>
      </c>
    </row>
    <row r="41" spans="1:5" ht="15" thickBot="1" x14ac:dyDescent="0.4">
      <c r="A41" s="217" t="s">
        <v>372</v>
      </c>
      <c r="B41" s="214">
        <v>32209</v>
      </c>
      <c r="C41" s="211">
        <v>33186</v>
      </c>
    </row>
    <row r="42" spans="1:5" x14ac:dyDescent="0.35">
      <c r="A42" s="210" t="s">
        <v>367</v>
      </c>
      <c r="B42" s="176">
        <f>SUM(B40:B41)</f>
        <v>1130237</v>
      </c>
      <c r="C42" s="176">
        <f>SUM(C40:C41)</f>
        <v>645855</v>
      </c>
    </row>
    <row r="43" spans="1:5" x14ac:dyDescent="0.35">
      <c r="B43" s="212">
        <f>Ф1!C23</f>
        <v>1130237</v>
      </c>
      <c r="C43" s="212">
        <f>Ф1!D23</f>
        <v>645855</v>
      </c>
    </row>
    <row r="45" spans="1:5" ht="42.5" thickBot="1" x14ac:dyDescent="0.4">
      <c r="A45" s="248"/>
      <c r="B45" s="177" t="s">
        <v>450</v>
      </c>
      <c r="C45" s="177" t="s">
        <v>362</v>
      </c>
    </row>
    <row r="46" spans="1:5" ht="28" x14ac:dyDescent="0.35">
      <c r="A46" s="167" t="s">
        <v>423</v>
      </c>
      <c r="B46" s="172"/>
      <c r="C46" s="172">
        <v>35991</v>
      </c>
    </row>
    <row r="47" spans="1:5" ht="15" thickBot="1" x14ac:dyDescent="0.4">
      <c r="A47" s="249" t="s">
        <v>424</v>
      </c>
      <c r="B47" s="172">
        <v>561</v>
      </c>
      <c r="C47" s="181">
        <v>269</v>
      </c>
    </row>
    <row r="48" spans="1:5" x14ac:dyDescent="0.35">
      <c r="A48" s="250" t="s">
        <v>367</v>
      </c>
      <c r="B48" s="175">
        <f>SUM(B46:B47)</f>
        <v>561</v>
      </c>
      <c r="C48" s="176">
        <f>SUM(C46:C47)</f>
        <v>36260</v>
      </c>
    </row>
    <row r="49" spans="1:5" x14ac:dyDescent="0.35">
      <c r="B49" s="190">
        <f>Ф1!C25</f>
        <v>561</v>
      </c>
      <c r="C49" s="190">
        <f>Ф1!D25</f>
        <v>36260</v>
      </c>
    </row>
    <row r="50" spans="1:5" ht="28.5" thickBot="1" x14ac:dyDescent="0.4">
      <c r="A50" s="209"/>
      <c r="B50" s="180" t="s">
        <v>451</v>
      </c>
      <c r="C50" s="216" t="s">
        <v>362</v>
      </c>
    </row>
    <row r="51" spans="1:5" ht="28" x14ac:dyDescent="0.35">
      <c r="A51" s="167" t="s">
        <v>373</v>
      </c>
      <c r="B51" s="174">
        <v>785</v>
      </c>
      <c r="C51" s="174">
        <v>592</v>
      </c>
    </row>
    <row r="52" spans="1:5" ht="15" thickBot="1" x14ac:dyDescent="0.4">
      <c r="A52" s="217" t="s">
        <v>374</v>
      </c>
      <c r="B52" s="174">
        <v>160</v>
      </c>
      <c r="C52" s="181">
        <v>10</v>
      </c>
    </row>
    <row r="53" spans="1:5" x14ac:dyDescent="0.35">
      <c r="A53" s="210" t="s">
        <v>367</v>
      </c>
      <c r="B53" s="182">
        <f>SUM(B51:B52)</f>
        <v>945</v>
      </c>
      <c r="C53" s="182">
        <f>SUM(C51:C52)</f>
        <v>602</v>
      </c>
    </row>
    <row r="54" spans="1:5" x14ac:dyDescent="0.35">
      <c r="B54" s="187">
        <f>Ф1!C24</f>
        <v>945</v>
      </c>
      <c r="C54" s="187">
        <f>Ф1!D24</f>
        <v>602</v>
      </c>
    </row>
    <row r="57" spans="1:5" ht="28.5" thickBot="1" x14ac:dyDescent="0.4">
      <c r="A57" s="173"/>
      <c r="B57" s="180" t="s">
        <v>451</v>
      </c>
      <c r="C57" s="171" t="s">
        <v>362</v>
      </c>
    </row>
    <row r="58" spans="1:5" x14ac:dyDescent="0.35">
      <c r="A58" s="167" t="s">
        <v>375</v>
      </c>
      <c r="B58" s="172">
        <v>200000</v>
      </c>
      <c r="C58" s="172">
        <v>200000</v>
      </c>
    </row>
    <row r="59" spans="1:5" ht="15" customHeight="1" thickBot="1" x14ac:dyDescent="0.4">
      <c r="A59" s="217" t="s">
        <v>376</v>
      </c>
      <c r="B59" s="172">
        <f>Ф1!C32</f>
        <v>418747</v>
      </c>
      <c r="C59" s="172">
        <v>404358</v>
      </c>
    </row>
    <row r="60" spans="1:5" x14ac:dyDescent="0.35">
      <c r="A60" s="210" t="s">
        <v>377</v>
      </c>
      <c r="B60" s="175">
        <f>SUM(B58:B59)</f>
        <v>618747</v>
      </c>
      <c r="C60" s="175">
        <f>SUM(C58:C59)</f>
        <v>604358</v>
      </c>
    </row>
    <row r="61" spans="1:5" x14ac:dyDescent="0.35">
      <c r="B61" s="190">
        <f>Ф1!C35</f>
        <v>618747</v>
      </c>
      <c r="C61" s="190">
        <f>Ф1!D35</f>
        <v>604358</v>
      </c>
    </row>
    <row r="63" spans="1:5" ht="42" x14ac:dyDescent="0.35">
      <c r="A63" s="360"/>
      <c r="B63" s="361" t="s">
        <v>451</v>
      </c>
      <c r="C63" s="361" t="s">
        <v>378</v>
      </c>
      <c r="D63" s="224" t="s">
        <v>362</v>
      </c>
      <c r="E63" s="210" t="s">
        <v>378</v>
      </c>
    </row>
    <row r="64" spans="1:5" ht="15" thickBot="1" x14ac:dyDescent="0.4">
      <c r="A64" s="360"/>
      <c r="B64" s="362"/>
      <c r="C64" s="362"/>
      <c r="D64" s="177"/>
      <c r="E64" s="236"/>
    </row>
    <row r="65" spans="1:6" x14ac:dyDescent="0.35">
      <c r="A65" s="217" t="s">
        <v>379</v>
      </c>
      <c r="B65" s="218">
        <v>67000</v>
      </c>
      <c r="C65" s="219">
        <v>0.33500000000000002</v>
      </c>
      <c r="D65" s="218">
        <v>67000</v>
      </c>
      <c r="E65" s="237">
        <v>0.33500000000000002</v>
      </c>
    </row>
    <row r="66" spans="1:6" x14ac:dyDescent="0.35">
      <c r="A66" s="217" t="s">
        <v>380</v>
      </c>
      <c r="B66" s="218">
        <v>67000</v>
      </c>
      <c r="C66" s="219">
        <v>0.33500000000000002</v>
      </c>
      <c r="D66" s="218">
        <v>67000</v>
      </c>
      <c r="E66" s="237">
        <v>0.33500000000000002</v>
      </c>
    </row>
    <row r="67" spans="1:6" ht="15" thickBot="1" x14ac:dyDescent="0.4">
      <c r="A67" s="217" t="s">
        <v>381</v>
      </c>
      <c r="B67" s="220">
        <v>66000</v>
      </c>
      <c r="C67" s="221">
        <v>0.33</v>
      </c>
      <c r="D67" s="220">
        <v>66000</v>
      </c>
      <c r="E67" s="238">
        <v>0.33</v>
      </c>
    </row>
    <row r="68" spans="1:6" x14ac:dyDescent="0.35">
      <c r="A68" s="210" t="s">
        <v>339</v>
      </c>
      <c r="B68" s="222">
        <v>200000</v>
      </c>
      <c r="C68" s="223">
        <v>1</v>
      </c>
      <c r="D68" s="222">
        <v>200000</v>
      </c>
      <c r="E68" s="239">
        <v>1</v>
      </c>
    </row>
    <row r="69" spans="1:6" x14ac:dyDescent="0.35">
      <c r="E69" s="225"/>
      <c r="F69" s="208"/>
    </row>
    <row r="70" spans="1:6" x14ac:dyDescent="0.35">
      <c r="A70" s="230" t="s">
        <v>411</v>
      </c>
      <c r="E70" s="225"/>
      <c r="F70" s="181"/>
    </row>
    <row r="71" spans="1:6" ht="56.5" thickBot="1" x14ac:dyDescent="0.4">
      <c r="A71" s="229"/>
      <c r="B71" s="171" t="s">
        <v>460</v>
      </c>
      <c r="C71" s="171" t="s">
        <v>461</v>
      </c>
      <c r="E71" s="225"/>
      <c r="F71" s="181"/>
    </row>
    <row r="72" spans="1:6" ht="16" thickBot="1" x14ac:dyDescent="0.4">
      <c r="A72" s="228" t="s">
        <v>382</v>
      </c>
      <c r="B72" s="215"/>
      <c r="C72" s="215"/>
      <c r="E72" s="225"/>
      <c r="F72" s="208"/>
    </row>
    <row r="73" spans="1:6" ht="28.5" thickBot="1" x14ac:dyDescent="0.4">
      <c r="A73" s="167" t="s">
        <v>383</v>
      </c>
      <c r="B73" s="208">
        <v>370785</v>
      </c>
      <c r="C73" s="208">
        <v>208402</v>
      </c>
      <c r="E73" s="230"/>
      <c r="F73" s="231"/>
    </row>
    <row r="74" spans="1:6" ht="28" x14ac:dyDescent="0.35">
      <c r="A74" s="167" t="s">
        <v>384</v>
      </c>
      <c r="B74" s="208">
        <v>5600</v>
      </c>
      <c r="C74" s="181">
        <v>577</v>
      </c>
    </row>
    <row r="75" spans="1:6" x14ac:dyDescent="0.35">
      <c r="A75" s="251" t="s">
        <v>413</v>
      </c>
      <c r="B75" s="208">
        <v>2060</v>
      </c>
      <c r="C75" s="181">
        <v>2020</v>
      </c>
    </row>
    <row r="76" spans="1:6" ht="15" thickBot="1" x14ac:dyDescent="0.4">
      <c r="A76" s="167" t="s">
        <v>385</v>
      </c>
      <c r="B76" s="181">
        <v>31466</v>
      </c>
      <c r="C76" s="208">
        <v>7784</v>
      </c>
    </row>
    <row r="77" spans="1:6" x14ac:dyDescent="0.35">
      <c r="A77" s="230" t="s">
        <v>339</v>
      </c>
      <c r="B77" s="226">
        <f>SUM(B73:B76)</f>
        <v>409911</v>
      </c>
      <c r="C77" s="226">
        <f>SUM(C73:C76)</f>
        <v>218783</v>
      </c>
    </row>
    <row r="78" spans="1:6" x14ac:dyDescent="0.35">
      <c r="B78" s="190">
        <f>Ф2!E8+Ф2!E15</f>
        <v>409911</v>
      </c>
      <c r="C78" s="190">
        <f>Ф2!F8+Ф2!F15</f>
        <v>218783</v>
      </c>
    </row>
    <row r="80" spans="1:6" x14ac:dyDescent="0.35">
      <c r="A80" s="230" t="s">
        <v>412</v>
      </c>
    </row>
    <row r="81" spans="1:9" ht="56.5" thickBot="1" x14ac:dyDescent="0.4">
      <c r="A81" s="209"/>
      <c r="B81" s="179" t="s">
        <v>460</v>
      </c>
      <c r="C81" s="302" t="s">
        <v>461</v>
      </c>
    </row>
    <row r="82" spans="1:9" ht="28" x14ac:dyDescent="0.35">
      <c r="A82" s="167" t="s">
        <v>386</v>
      </c>
      <c r="B82" s="253">
        <v>23936</v>
      </c>
      <c r="C82" s="253">
        <v>13027</v>
      </c>
    </row>
    <row r="83" spans="1:9" ht="28" x14ac:dyDescent="0.35">
      <c r="A83" s="167" t="s">
        <v>387</v>
      </c>
      <c r="B83" s="258">
        <v>-37992</v>
      </c>
      <c r="C83" s="258">
        <v>-11785</v>
      </c>
    </row>
    <row r="84" spans="1:9" ht="28" x14ac:dyDescent="0.35">
      <c r="A84" s="185" t="s">
        <v>388</v>
      </c>
      <c r="B84" s="254">
        <f>SUM(B82:B83)</f>
        <v>-14056</v>
      </c>
      <c r="C84" s="254">
        <f>SUM(C82:C83)</f>
        <v>1242</v>
      </c>
    </row>
    <row r="85" spans="1:9" x14ac:dyDescent="0.35">
      <c r="B85" s="255">
        <f>Ф2!E11</f>
        <v>-14056</v>
      </c>
      <c r="C85" s="255">
        <f>Ф2!F11</f>
        <v>1242</v>
      </c>
      <c r="E85" s="187">
        <v>2024</v>
      </c>
      <c r="G85" s="187">
        <v>2023</v>
      </c>
    </row>
    <row r="86" spans="1:9" x14ac:dyDescent="0.35">
      <c r="B86" s="256"/>
      <c r="C86" s="256"/>
      <c r="D86" s="305"/>
      <c r="E86" s="184" t="s">
        <v>390</v>
      </c>
      <c r="F86" s="168">
        <v>5234400</v>
      </c>
      <c r="G86" s="184" t="s">
        <v>390</v>
      </c>
      <c r="H86" s="168">
        <v>1955200</v>
      </c>
      <c r="I86" s="305" t="s">
        <v>390</v>
      </c>
    </row>
    <row r="87" spans="1:9" ht="34.5" x14ac:dyDescent="0.35">
      <c r="A87" s="227"/>
      <c r="B87" s="257"/>
      <c r="C87" s="257"/>
      <c r="D87" s="305"/>
      <c r="E87" s="184" t="s">
        <v>404</v>
      </c>
      <c r="F87" s="168">
        <v>107347</v>
      </c>
      <c r="H87" s="168"/>
    </row>
    <row r="88" spans="1:9" x14ac:dyDescent="0.35">
      <c r="A88" s="228" t="s">
        <v>389</v>
      </c>
      <c r="B88"/>
      <c r="C88"/>
      <c r="D88" s="305"/>
      <c r="E88" s="184" t="s">
        <v>405</v>
      </c>
      <c r="F88" s="168">
        <v>214692</v>
      </c>
      <c r="G88" s="184" t="s">
        <v>405</v>
      </c>
      <c r="H88" s="168">
        <v>222720</v>
      </c>
      <c r="I88" s="305" t="s">
        <v>405</v>
      </c>
    </row>
    <row r="89" spans="1:9" ht="56.5" thickBot="1" x14ac:dyDescent="0.4">
      <c r="A89" s="262"/>
      <c r="B89" s="263" t="s">
        <v>460</v>
      </c>
      <c r="C89" s="302" t="s">
        <v>461</v>
      </c>
      <c r="D89" s="305"/>
      <c r="E89" s="184" t="s">
        <v>414</v>
      </c>
      <c r="F89" s="168">
        <v>99000</v>
      </c>
      <c r="G89" s="184" t="s">
        <v>414</v>
      </c>
      <c r="H89" s="168">
        <v>99000</v>
      </c>
      <c r="I89" s="305" t="s">
        <v>414</v>
      </c>
    </row>
    <row r="90" spans="1:9" ht="46" x14ac:dyDescent="0.35">
      <c r="A90" s="259" t="s">
        <v>390</v>
      </c>
      <c r="B90" s="264">
        <f>ROUND(F86/1000,0)</f>
        <v>5234</v>
      </c>
      <c r="C90" s="264">
        <f>ROUND(H86/1000,0)</f>
        <v>1955</v>
      </c>
      <c r="D90" s="305"/>
      <c r="E90" s="184" t="s">
        <v>392</v>
      </c>
      <c r="F90" s="168"/>
      <c r="G90" s="184" t="s">
        <v>392</v>
      </c>
      <c r="H90" s="168">
        <v>160666.64000000001</v>
      </c>
      <c r="I90" s="305" t="s">
        <v>392</v>
      </c>
    </row>
    <row r="91" spans="1:9" ht="23" x14ac:dyDescent="0.35">
      <c r="A91" s="260" t="s">
        <v>404</v>
      </c>
      <c r="B91" s="264">
        <f t="shared" ref="B91:B105" si="4">ROUND(F87/1000,0)</f>
        <v>107</v>
      </c>
      <c r="C91" s="264">
        <f t="shared" ref="C91:C105" si="5">ROUND(H87/1000,0)</f>
        <v>0</v>
      </c>
      <c r="D91" s="305"/>
      <c r="E91" s="184" t="s">
        <v>393</v>
      </c>
      <c r="F91" s="168">
        <v>7156402</v>
      </c>
      <c r="G91" s="184" t="s">
        <v>393</v>
      </c>
      <c r="H91" s="168">
        <v>7423999</v>
      </c>
      <c r="I91" s="305" t="s">
        <v>393</v>
      </c>
    </row>
    <row r="92" spans="1:9" ht="23" x14ac:dyDescent="0.35">
      <c r="A92" s="260" t="s">
        <v>405</v>
      </c>
      <c r="B92" s="264">
        <f t="shared" si="4"/>
        <v>215</v>
      </c>
      <c r="C92" s="264">
        <f t="shared" si="5"/>
        <v>223</v>
      </c>
      <c r="E92" s="184" t="s">
        <v>394</v>
      </c>
      <c r="F92" s="168"/>
      <c r="G92" s="184" t="s">
        <v>394</v>
      </c>
      <c r="H92" s="168">
        <v>232001.6</v>
      </c>
      <c r="I92" s="305" t="s">
        <v>394</v>
      </c>
    </row>
    <row r="93" spans="1:9" ht="23" x14ac:dyDescent="0.35">
      <c r="A93" s="260" t="s">
        <v>414</v>
      </c>
      <c r="B93" s="264">
        <f t="shared" si="4"/>
        <v>99</v>
      </c>
      <c r="C93" s="264">
        <f t="shared" si="5"/>
        <v>99</v>
      </c>
      <c r="D93" s="305"/>
      <c r="E93" s="184" t="s">
        <v>395</v>
      </c>
      <c r="F93" s="168">
        <v>225434</v>
      </c>
      <c r="G93" s="184" t="s">
        <v>395</v>
      </c>
      <c r="H93" s="168">
        <v>233873</v>
      </c>
      <c r="I93" s="305" t="s">
        <v>395</v>
      </c>
    </row>
    <row r="94" spans="1:9" ht="28" x14ac:dyDescent="0.35">
      <c r="A94" s="260" t="s">
        <v>392</v>
      </c>
      <c r="B94" s="264">
        <f t="shared" si="4"/>
        <v>0</v>
      </c>
      <c r="C94" s="264">
        <f t="shared" si="5"/>
        <v>161</v>
      </c>
      <c r="D94" s="305"/>
      <c r="E94" s="184" t="s">
        <v>396</v>
      </c>
      <c r="F94" s="168">
        <v>372845</v>
      </c>
      <c r="G94" s="184" t="s">
        <v>396</v>
      </c>
      <c r="H94" s="168">
        <v>386779</v>
      </c>
      <c r="I94" s="305" t="s">
        <v>396</v>
      </c>
    </row>
    <row r="95" spans="1:9" ht="34.5" x14ac:dyDescent="0.35">
      <c r="A95" s="260" t="s">
        <v>393</v>
      </c>
      <c r="B95" s="264">
        <f>ROUND(F91/1000,0)</f>
        <v>7156</v>
      </c>
      <c r="C95" s="264">
        <f t="shared" si="5"/>
        <v>7424</v>
      </c>
      <c r="E95" s="184" t="s">
        <v>397</v>
      </c>
      <c r="F95" s="168"/>
      <c r="G95" s="184" t="s">
        <v>397</v>
      </c>
      <c r="H95" s="168">
        <v>111189.05</v>
      </c>
      <c r="I95" s="305" t="s">
        <v>397</v>
      </c>
    </row>
    <row r="96" spans="1:9" ht="23" x14ac:dyDescent="0.35">
      <c r="A96" s="260" t="s">
        <v>394</v>
      </c>
      <c r="B96" s="264">
        <f t="shared" si="4"/>
        <v>0</v>
      </c>
      <c r="C96" s="264">
        <f t="shared" si="5"/>
        <v>232</v>
      </c>
      <c r="D96" s="305"/>
      <c r="E96" s="184" t="s">
        <v>407</v>
      </c>
      <c r="F96" s="168">
        <v>393320.98</v>
      </c>
      <c r="G96" s="184" t="s">
        <v>391</v>
      </c>
      <c r="H96" s="168">
        <v>158500.75</v>
      </c>
      <c r="I96" s="305" t="s">
        <v>391</v>
      </c>
    </row>
    <row r="97" spans="1:9" x14ac:dyDescent="0.35">
      <c r="A97" s="260" t="s">
        <v>395</v>
      </c>
      <c r="B97" s="264">
        <f t="shared" si="4"/>
        <v>225</v>
      </c>
      <c r="C97" s="264">
        <f t="shared" si="5"/>
        <v>234</v>
      </c>
      <c r="D97" s="305"/>
      <c r="E97" s="184" t="s">
        <v>398</v>
      </c>
      <c r="F97" s="168">
        <v>226794</v>
      </c>
      <c r="G97" s="184" t="s">
        <v>398</v>
      </c>
      <c r="H97" s="168">
        <v>228407.5</v>
      </c>
      <c r="I97" s="305" t="s">
        <v>398</v>
      </c>
    </row>
    <row r="98" spans="1:9" ht="23" x14ac:dyDescent="0.35">
      <c r="A98" s="260" t="s">
        <v>396</v>
      </c>
      <c r="B98" s="264">
        <f t="shared" si="4"/>
        <v>373</v>
      </c>
      <c r="C98" s="264">
        <f t="shared" si="5"/>
        <v>387</v>
      </c>
      <c r="D98" s="305"/>
      <c r="E98" s="184" t="s">
        <v>399</v>
      </c>
      <c r="F98" s="168">
        <v>420662.48</v>
      </c>
      <c r="G98" s="184" t="s">
        <v>399</v>
      </c>
      <c r="H98" s="168">
        <v>7157.58</v>
      </c>
      <c r="I98" s="305" t="s">
        <v>399</v>
      </c>
    </row>
    <row r="99" spans="1:9" x14ac:dyDescent="0.35">
      <c r="A99" s="260" t="s">
        <v>397</v>
      </c>
      <c r="B99" s="264">
        <f t="shared" si="4"/>
        <v>0</v>
      </c>
      <c r="C99" s="264">
        <f t="shared" si="5"/>
        <v>111</v>
      </c>
      <c r="D99" s="305"/>
      <c r="E99" s="184" t="s">
        <v>415</v>
      </c>
      <c r="F99" s="168">
        <v>225000</v>
      </c>
      <c r="G99" s="184" t="s">
        <v>415</v>
      </c>
      <c r="H99" s="168">
        <v>276000</v>
      </c>
      <c r="I99" s="305" t="s">
        <v>415</v>
      </c>
    </row>
    <row r="100" spans="1:9" x14ac:dyDescent="0.35">
      <c r="A100" s="260" t="s">
        <v>407</v>
      </c>
      <c r="B100" s="264">
        <f t="shared" si="4"/>
        <v>393</v>
      </c>
      <c r="C100" s="264">
        <f t="shared" si="5"/>
        <v>159</v>
      </c>
      <c r="D100" s="305"/>
      <c r="E100" s="184" t="s">
        <v>416</v>
      </c>
      <c r="F100" s="168">
        <v>120700</v>
      </c>
    </row>
    <row r="101" spans="1:9" x14ac:dyDescent="0.35">
      <c r="A101" s="260" t="s">
        <v>398</v>
      </c>
      <c r="B101" s="264">
        <f t="shared" si="4"/>
        <v>227</v>
      </c>
      <c r="C101" s="264">
        <f t="shared" si="5"/>
        <v>228</v>
      </c>
      <c r="D101" s="305"/>
      <c r="E101" s="184" t="s">
        <v>417</v>
      </c>
      <c r="F101" s="168">
        <v>450000</v>
      </c>
    </row>
    <row r="102" spans="1:9" x14ac:dyDescent="0.35">
      <c r="A102" s="260" t="s">
        <v>399</v>
      </c>
      <c r="B102" s="264">
        <f t="shared" si="4"/>
        <v>421</v>
      </c>
      <c r="C102" s="264">
        <f t="shared" si="5"/>
        <v>7</v>
      </c>
      <c r="E102" s="210" t="s">
        <v>339</v>
      </c>
      <c r="F102" s="232">
        <v>7699</v>
      </c>
      <c r="H102" s="183">
        <v>7698746.5800000001</v>
      </c>
    </row>
    <row r="103" spans="1:9" x14ac:dyDescent="0.35">
      <c r="A103" s="260" t="s">
        <v>415</v>
      </c>
      <c r="B103" s="264">
        <f t="shared" si="4"/>
        <v>225</v>
      </c>
      <c r="C103" s="264">
        <f t="shared" si="5"/>
        <v>276</v>
      </c>
    </row>
    <row r="104" spans="1:9" x14ac:dyDescent="0.35">
      <c r="A104" s="260" t="s">
        <v>416</v>
      </c>
      <c r="B104" s="264">
        <f t="shared" si="4"/>
        <v>121</v>
      </c>
      <c r="C104" s="264">
        <f t="shared" si="5"/>
        <v>0</v>
      </c>
    </row>
    <row r="105" spans="1:9" x14ac:dyDescent="0.35">
      <c r="A105" s="261" t="s">
        <v>417</v>
      </c>
      <c r="B105" s="265">
        <f t="shared" si="4"/>
        <v>450</v>
      </c>
      <c r="C105" s="265">
        <f t="shared" si="5"/>
        <v>0</v>
      </c>
    </row>
    <row r="106" spans="1:9" x14ac:dyDescent="0.35">
      <c r="A106" s="266" t="s">
        <v>339</v>
      </c>
      <c r="B106" s="267">
        <f>SUM(B90:B105)</f>
        <v>15246</v>
      </c>
      <c r="C106" s="267">
        <f>SUM(C90:C105)</f>
        <v>11496</v>
      </c>
    </row>
    <row r="107" spans="1:9" x14ac:dyDescent="0.35">
      <c r="B107" s="190">
        <f>Ф2!E13</f>
        <v>-15246</v>
      </c>
      <c r="C107" s="190">
        <f>Ф2!F13</f>
        <v>-11496</v>
      </c>
      <c r="D107" s="184" t="s">
        <v>401</v>
      </c>
      <c r="E107" s="184" t="s">
        <v>401</v>
      </c>
      <c r="F107" s="168">
        <v>730192.38</v>
      </c>
      <c r="G107" s="305" t="s">
        <v>401</v>
      </c>
      <c r="H107" s="168">
        <v>343165.83</v>
      </c>
    </row>
    <row r="108" spans="1:9" x14ac:dyDescent="0.35">
      <c r="C108" s="190">
        <f>SUM(C106:C107)</f>
        <v>0</v>
      </c>
      <c r="D108" s="184" t="s">
        <v>402</v>
      </c>
      <c r="E108" s="184" t="s">
        <v>402</v>
      </c>
      <c r="F108" s="168">
        <v>3000000</v>
      </c>
      <c r="G108" s="305" t="s">
        <v>402</v>
      </c>
      <c r="H108" s="168">
        <v>1680000</v>
      </c>
    </row>
    <row r="109" spans="1:9" x14ac:dyDescent="0.35">
      <c r="A109" s="228" t="s">
        <v>400</v>
      </c>
      <c r="B109"/>
      <c r="C109"/>
      <c r="D109" s="184" t="s">
        <v>403</v>
      </c>
      <c r="E109" s="184" t="s">
        <v>403</v>
      </c>
      <c r="F109" s="168">
        <v>35000</v>
      </c>
      <c r="G109" s="305"/>
      <c r="H109" s="168"/>
    </row>
    <row r="110" spans="1:9" ht="56.5" thickBot="1" x14ac:dyDescent="0.4">
      <c r="A110" s="268"/>
      <c r="B110" s="252" t="s">
        <v>460</v>
      </c>
      <c r="C110" s="302" t="s">
        <v>461</v>
      </c>
      <c r="D110" s="184" t="s">
        <v>404</v>
      </c>
      <c r="E110" s="184" t="s">
        <v>404</v>
      </c>
      <c r="F110" s="168">
        <v>391141</v>
      </c>
      <c r="G110" s="305"/>
      <c r="H110" s="168"/>
    </row>
    <row r="111" spans="1:9" x14ac:dyDescent="0.35">
      <c r="A111" s="242" t="s">
        <v>401</v>
      </c>
      <c r="B111" s="269">
        <f>ROUND(F107/1000,0)</f>
        <v>730</v>
      </c>
      <c r="C111" s="269">
        <f>ROUND(H107/1000,0)</f>
        <v>343</v>
      </c>
      <c r="D111" s="184" t="s">
        <v>405</v>
      </c>
      <c r="E111" s="184" t="s">
        <v>405</v>
      </c>
      <c r="F111" s="168">
        <v>596018</v>
      </c>
      <c r="G111" s="305" t="s">
        <v>405</v>
      </c>
      <c r="H111" s="168">
        <v>219144</v>
      </c>
    </row>
    <row r="112" spans="1:9" x14ac:dyDescent="0.35">
      <c r="A112" s="242" t="s">
        <v>402</v>
      </c>
      <c r="B112" s="306">
        <f t="shared" ref="B112:B132" si="6">ROUND(F108/1000,0)</f>
        <v>3000</v>
      </c>
      <c r="C112" s="306">
        <f t="shared" ref="C112:C115" si="7">ROUND(H108/1000,0)</f>
        <v>1680</v>
      </c>
      <c r="D112" s="184" t="s">
        <v>406</v>
      </c>
      <c r="E112" s="184" t="s">
        <v>406</v>
      </c>
      <c r="F112" s="168">
        <v>260000</v>
      </c>
      <c r="G112" s="305" t="s">
        <v>406</v>
      </c>
      <c r="H112" s="168">
        <v>120000</v>
      </c>
    </row>
    <row r="113" spans="1:8" ht="23" x14ac:dyDescent="0.35">
      <c r="A113" s="242" t="s">
        <v>403</v>
      </c>
      <c r="B113" s="269">
        <f t="shared" si="6"/>
        <v>35</v>
      </c>
      <c r="C113" s="269">
        <f t="shared" si="7"/>
        <v>0</v>
      </c>
      <c r="D113" s="184" t="s">
        <v>418</v>
      </c>
      <c r="E113" s="184" t="s">
        <v>418</v>
      </c>
      <c r="F113" s="168">
        <v>1139416</v>
      </c>
      <c r="G113" s="305" t="s">
        <v>418</v>
      </c>
      <c r="H113" s="168">
        <v>254686</v>
      </c>
    </row>
    <row r="114" spans="1:8" ht="34.5" x14ac:dyDescent="0.35">
      <c r="A114" s="242" t="s">
        <v>404</v>
      </c>
      <c r="B114" s="269">
        <f t="shared" si="6"/>
        <v>391</v>
      </c>
      <c r="C114" s="269">
        <f t="shared" si="7"/>
        <v>0</v>
      </c>
      <c r="D114" s="184" t="s">
        <v>419</v>
      </c>
      <c r="E114" s="184" t="s">
        <v>419</v>
      </c>
      <c r="F114" s="168">
        <v>2295079.1800000002</v>
      </c>
      <c r="G114" s="305" t="s">
        <v>419</v>
      </c>
      <c r="H114" s="168">
        <v>457007.92</v>
      </c>
    </row>
    <row r="115" spans="1:8" ht="57.5" x14ac:dyDescent="0.35">
      <c r="A115" s="242" t="s">
        <v>405</v>
      </c>
      <c r="B115" s="269">
        <f t="shared" si="6"/>
        <v>596</v>
      </c>
      <c r="C115" s="269">
        <f t="shared" si="7"/>
        <v>219</v>
      </c>
      <c r="D115" s="184" t="s">
        <v>392</v>
      </c>
      <c r="E115" s="184" t="s">
        <v>392</v>
      </c>
      <c r="F115" s="168">
        <v>943000</v>
      </c>
      <c r="G115" s="305" t="s">
        <v>392</v>
      </c>
      <c r="H115" s="168">
        <v>500000</v>
      </c>
    </row>
    <row r="116" spans="1:8" ht="23" x14ac:dyDescent="0.35">
      <c r="A116" s="242" t="s">
        <v>406</v>
      </c>
      <c r="B116" s="269">
        <f t="shared" si="6"/>
        <v>260</v>
      </c>
      <c r="C116" s="269">
        <f>ROUND(H112/1000,0)</f>
        <v>120</v>
      </c>
      <c r="D116" s="184" t="s">
        <v>393</v>
      </c>
      <c r="E116" s="184" t="s">
        <v>393</v>
      </c>
      <c r="F116" s="168">
        <v>34011214</v>
      </c>
      <c r="G116" s="305" t="s">
        <v>393</v>
      </c>
      <c r="H116" s="168">
        <v>16657094</v>
      </c>
    </row>
    <row r="117" spans="1:8" ht="23" x14ac:dyDescent="0.35">
      <c r="A117" s="242" t="s">
        <v>418</v>
      </c>
      <c r="B117" s="269">
        <f t="shared" si="6"/>
        <v>1139</v>
      </c>
      <c r="C117" s="269">
        <f t="shared" ref="C117:C132" si="8">ROUND(H113/1000,0)</f>
        <v>255</v>
      </c>
      <c r="D117" s="184" t="s">
        <v>394</v>
      </c>
      <c r="E117" s="184" t="s">
        <v>394</v>
      </c>
      <c r="F117" s="168">
        <v>484869.99</v>
      </c>
      <c r="G117" s="305" t="s">
        <v>394</v>
      </c>
      <c r="H117" s="168">
        <v>140999.94</v>
      </c>
    </row>
    <row r="118" spans="1:8" ht="23" x14ac:dyDescent="0.35">
      <c r="A118" s="242" t="s">
        <v>419</v>
      </c>
      <c r="B118" s="269">
        <f t="shared" si="6"/>
        <v>2295</v>
      </c>
      <c r="C118" s="269">
        <f t="shared" si="8"/>
        <v>457</v>
      </c>
      <c r="D118" s="184" t="s">
        <v>465</v>
      </c>
      <c r="E118" s="184" t="s">
        <v>464</v>
      </c>
      <c r="F118" s="168">
        <v>223270.59</v>
      </c>
      <c r="G118" s="305" t="s">
        <v>462</v>
      </c>
      <c r="H118" s="168">
        <v>221545.59</v>
      </c>
    </row>
    <row r="119" spans="1:8" ht="23" x14ac:dyDescent="0.35">
      <c r="A119" s="242" t="s">
        <v>392</v>
      </c>
      <c r="B119" s="269">
        <f t="shared" si="6"/>
        <v>943</v>
      </c>
      <c r="C119" s="269">
        <f t="shared" si="8"/>
        <v>500</v>
      </c>
      <c r="D119" s="184" t="s">
        <v>395</v>
      </c>
      <c r="E119" s="184" t="s">
        <v>395</v>
      </c>
      <c r="F119" s="168">
        <v>576375</v>
      </c>
      <c r="G119" s="305" t="s">
        <v>395</v>
      </c>
      <c r="H119" s="168">
        <v>190907</v>
      </c>
    </row>
    <row r="120" spans="1:8" x14ac:dyDescent="0.35">
      <c r="A120" s="242" t="s">
        <v>393</v>
      </c>
      <c r="B120" s="269">
        <f t="shared" si="6"/>
        <v>34011</v>
      </c>
      <c r="C120" s="269">
        <f t="shared" si="8"/>
        <v>16657</v>
      </c>
      <c r="D120" s="184" t="s">
        <v>396</v>
      </c>
      <c r="E120" s="184" t="s">
        <v>396</v>
      </c>
      <c r="F120" s="168">
        <v>2372845</v>
      </c>
      <c r="G120" s="305" t="s">
        <v>396</v>
      </c>
      <c r="H120" s="168">
        <v>1247443</v>
      </c>
    </row>
    <row r="121" spans="1:8" ht="23" x14ac:dyDescent="0.35">
      <c r="A121" s="242" t="s">
        <v>394</v>
      </c>
      <c r="B121" s="269">
        <f t="shared" si="6"/>
        <v>485</v>
      </c>
      <c r="C121" s="269">
        <f t="shared" si="8"/>
        <v>141</v>
      </c>
      <c r="D121" s="184" t="s">
        <v>407</v>
      </c>
      <c r="E121" s="184" t="s">
        <v>407</v>
      </c>
      <c r="F121" s="168">
        <v>116325.8</v>
      </c>
      <c r="G121" s="305" t="s">
        <v>391</v>
      </c>
      <c r="H121" s="168">
        <v>31514</v>
      </c>
    </row>
    <row r="122" spans="1:8" ht="34.5" x14ac:dyDescent="0.35">
      <c r="A122" s="242" t="s">
        <v>421</v>
      </c>
      <c r="B122" s="269">
        <f t="shared" si="6"/>
        <v>223</v>
      </c>
      <c r="C122" s="269">
        <f>ROUND(H118/1000,0)-1</f>
        <v>221</v>
      </c>
      <c r="D122" s="184" t="s">
        <v>397</v>
      </c>
      <c r="E122" s="184" t="s">
        <v>397</v>
      </c>
      <c r="F122" s="168">
        <v>207380.85</v>
      </c>
      <c r="G122" s="305"/>
      <c r="H122" s="168"/>
    </row>
    <row r="123" spans="1:8" ht="23" x14ac:dyDescent="0.35">
      <c r="A123" s="242" t="s">
        <v>395</v>
      </c>
      <c r="B123" s="269">
        <f t="shared" si="6"/>
        <v>576</v>
      </c>
      <c r="C123" s="269">
        <f t="shared" si="8"/>
        <v>191</v>
      </c>
      <c r="D123" s="184" t="s">
        <v>420</v>
      </c>
      <c r="E123" s="184" t="s">
        <v>420</v>
      </c>
      <c r="F123" s="168">
        <v>69418.2</v>
      </c>
      <c r="G123" s="305" t="s">
        <v>420</v>
      </c>
      <c r="H123" s="168">
        <v>54366.13</v>
      </c>
    </row>
    <row r="124" spans="1:8" x14ac:dyDescent="0.35">
      <c r="A124" s="242" t="s">
        <v>396</v>
      </c>
      <c r="B124" s="269">
        <f t="shared" si="6"/>
        <v>2373</v>
      </c>
      <c r="C124" s="269">
        <f t="shared" si="8"/>
        <v>1247</v>
      </c>
      <c r="D124" s="184" t="s">
        <v>408</v>
      </c>
      <c r="E124" s="184" t="s">
        <v>408</v>
      </c>
      <c r="F124" s="168">
        <v>1898988.79</v>
      </c>
      <c r="G124" s="305" t="s">
        <v>408</v>
      </c>
      <c r="H124" s="168">
        <v>298390.26</v>
      </c>
    </row>
    <row r="125" spans="1:8" ht="23" x14ac:dyDescent="0.35">
      <c r="A125" s="242" t="s">
        <v>407</v>
      </c>
      <c r="B125" s="269">
        <f t="shared" si="6"/>
        <v>116</v>
      </c>
      <c r="C125" s="269">
        <f t="shared" si="8"/>
        <v>32</v>
      </c>
      <c r="D125" s="184" t="s">
        <v>398</v>
      </c>
      <c r="E125" s="184" t="s">
        <v>398</v>
      </c>
      <c r="F125" s="168">
        <v>67395.72</v>
      </c>
      <c r="G125" s="305" t="s">
        <v>398</v>
      </c>
      <c r="H125" s="241">
        <v>575</v>
      </c>
    </row>
    <row r="126" spans="1:8" x14ac:dyDescent="0.35">
      <c r="A126" s="242" t="s">
        <v>397</v>
      </c>
      <c r="B126" s="269">
        <f t="shared" si="6"/>
        <v>207</v>
      </c>
      <c r="C126" s="269">
        <f t="shared" si="8"/>
        <v>0</v>
      </c>
      <c r="D126" s="184" t="s">
        <v>409</v>
      </c>
      <c r="E126" s="184" t="s">
        <v>409</v>
      </c>
      <c r="F126" s="168">
        <v>685595</v>
      </c>
      <c r="G126" s="305" t="s">
        <v>409</v>
      </c>
      <c r="H126" s="168">
        <v>401671</v>
      </c>
    </row>
    <row r="127" spans="1:8" ht="23" x14ac:dyDescent="0.35">
      <c r="A127" s="242" t="s">
        <v>420</v>
      </c>
      <c r="B127" s="269">
        <f>ROUND(F123/1000,0)+1</f>
        <v>70</v>
      </c>
      <c r="C127" s="269">
        <f t="shared" si="8"/>
        <v>54</v>
      </c>
      <c r="D127" s="184"/>
      <c r="E127" s="184" t="s">
        <v>410</v>
      </c>
      <c r="F127" s="241"/>
      <c r="G127" s="305" t="s">
        <v>410</v>
      </c>
      <c r="H127" s="168">
        <v>11988.62</v>
      </c>
    </row>
    <row r="128" spans="1:8" ht="34.5" x14ac:dyDescent="0.35">
      <c r="A128" s="242" t="s">
        <v>408</v>
      </c>
      <c r="B128" s="269">
        <f t="shared" si="6"/>
        <v>1899</v>
      </c>
      <c r="C128" s="269">
        <f t="shared" si="8"/>
        <v>298</v>
      </c>
      <c r="D128" s="242" t="s">
        <v>422</v>
      </c>
      <c r="E128" s="242" t="s">
        <v>422</v>
      </c>
      <c r="F128" s="241">
        <v>9783.23</v>
      </c>
      <c r="G128" s="305" t="s">
        <v>463</v>
      </c>
      <c r="H128" s="168">
        <v>63991.74</v>
      </c>
    </row>
    <row r="129" spans="1:6" x14ac:dyDescent="0.35">
      <c r="A129" s="242" t="s">
        <v>398</v>
      </c>
      <c r="B129" s="269">
        <f>ROUND(F125/1000,0)+1</f>
        <v>68</v>
      </c>
      <c r="C129" s="269">
        <f t="shared" si="8"/>
        <v>1</v>
      </c>
      <c r="F129" s="168"/>
    </row>
    <row r="130" spans="1:6" x14ac:dyDescent="0.35">
      <c r="A130" s="242" t="s">
        <v>409</v>
      </c>
      <c r="B130" s="269">
        <f t="shared" si="6"/>
        <v>686</v>
      </c>
      <c r="C130" s="269">
        <f t="shared" si="8"/>
        <v>402</v>
      </c>
      <c r="E130" s="184"/>
      <c r="F130" s="168"/>
    </row>
    <row r="131" spans="1:6" x14ac:dyDescent="0.35">
      <c r="A131" s="242" t="s">
        <v>410</v>
      </c>
      <c r="B131" s="269">
        <f t="shared" si="6"/>
        <v>0</v>
      </c>
      <c r="C131" s="269">
        <f t="shared" si="8"/>
        <v>12</v>
      </c>
      <c r="E131" s="184"/>
      <c r="F131" s="168"/>
    </row>
    <row r="132" spans="1:6" x14ac:dyDescent="0.35">
      <c r="A132" s="242" t="s">
        <v>422</v>
      </c>
      <c r="B132" s="269">
        <f t="shared" si="6"/>
        <v>10</v>
      </c>
      <c r="C132" s="269">
        <f t="shared" si="8"/>
        <v>64</v>
      </c>
      <c r="E132" s="184"/>
      <c r="F132" s="168"/>
    </row>
    <row r="133" spans="1:6" x14ac:dyDescent="0.35">
      <c r="A133" s="270" t="s">
        <v>339</v>
      </c>
      <c r="B133" s="271">
        <f>SUM(B111:B132)</f>
        <v>50113</v>
      </c>
      <c r="C133" s="271">
        <f>SUM(C111:C132)</f>
        <v>22894</v>
      </c>
      <c r="E133" s="184"/>
      <c r="F133" s="168"/>
    </row>
    <row r="134" spans="1:6" x14ac:dyDescent="0.35">
      <c r="B134" s="190">
        <f>Ф2!E14</f>
        <v>-50113</v>
      </c>
      <c r="C134" s="190">
        <f>Ф2!F14</f>
        <v>-22894</v>
      </c>
      <c r="E134" s="184"/>
      <c r="F134" s="241"/>
    </row>
    <row r="135" spans="1:6" x14ac:dyDescent="0.35">
      <c r="E135" s="184"/>
      <c r="F135" s="241"/>
    </row>
    <row r="136" spans="1:6" x14ac:dyDescent="0.35">
      <c r="E136" s="184"/>
      <c r="F136" s="168"/>
    </row>
    <row r="137" spans="1:6" x14ac:dyDescent="0.35">
      <c r="E137" s="184"/>
      <c r="F137" s="168"/>
    </row>
  </sheetData>
  <mergeCells count="8">
    <mergeCell ref="B10:D10"/>
    <mergeCell ref="E10:G10"/>
    <mergeCell ref="A63:A64"/>
    <mergeCell ref="B63:B64"/>
    <mergeCell ref="C63:C64"/>
    <mergeCell ref="A27:A28"/>
    <mergeCell ref="B27:B28"/>
    <mergeCell ref="C27:C2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Ф1</vt:lpstr>
      <vt:lpstr>Ф2</vt:lpstr>
      <vt:lpstr>Ф3</vt:lpstr>
      <vt:lpstr>Ф4</vt:lpstr>
      <vt:lpstr>ОСВ 3 кв</vt:lpstr>
      <vt:lpstr>Расшифровки</vt:lpstr>
      <vt:lpstr>Ф4!Область_печати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Irina</cp:lastModifiedBy>
  <cp:lastPrinted>2022-06-04T08:14:21Z</cp:lastPrinted>
  <dcterms:created xsi:type="dcterms:W3CDTF">2022-05-04T17:19:45Z</dcterms:created>
  <dcterms:modified xsi:type="dcterms:W3CDTF">2024-10-23T17:11:17Z</dcterms:modified>
</cp:coreProperties>
</file>