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Buh\Отчетность\Квартальные отчеты\для биржи\2024\3 кв 2024\"/>
    </mc:Choice>
  </mc:AlternateContent>
  <bookViews>
    <workbookView xWindow="0" yWindow="0" windowWidth="15360" windowHeight="8205" tabRatio="65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OLE_LINK1" localSheetId="1">Ф2!$F$23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" l="1"/>
  <c r="D23" i="3"/>
  <c r="D48" i="3" l="1"/>
  <c r="D47" i="3"/>
  <c r="D46" i="3"/>
  <c r="D43" i="3"/>
  <c r="D39" i="3"/>
  <c r="D35" i="3"/>
  <c r="D34" i="3"/>
  <c r="D33" i="3"/>
  <c r="D32" i="3"/>
  <c r="D29" i="3"/>
  <c r="D27" i="3"/>
  <c r="D26" i="3"/>
  <c r="D25" i="3"/>
  <c r="D22" i="3"/>
  <c r="D21" i="3"/>
  <c r="D20" i="3"/>
  <c r="D19" i="3"/>
  <c r="D18" i="3"/>
  <c r="D15" i="3"/>
  <c r="D14" i="3"/>
  <c r="D13" i="3"/>
  <c r="D12" i="3"/>
  <c r="D11" i="3"/>
  <c r="D10" i="3"/>
  <c r="D9" i="3"/>
  <c r="E23" i="2" l="1"/>
  <c r="E10" i="1" l="1"/>
  <c r="E16" i="1"/>
  <c r="F29" i="2" l="1"/>
  <c r="E29" i="2" l="1"/>
  <c r="E43" i="1"/>
  <c r="H14" i="4" l="1"/>
  <c r="H12" i="4"/>
  <c r="H10" i="4"/>
  <c r="C23" i="3" l="1"/>
  <c r="C46" i="3" l="1"/>
  <c r="C43" i="3"/>
  <c r="C42" i="3"/>
  <c r="C41" i="3" l="1"/>
  <c r="C40" i="3"/>
  <c r="C39" i="3"/>
  <c r="C35" i="3"/>
  <c r="C34" i="3"/>
  <c r="C33" i="3"/>
  <c r="C32" i="3"/>
  <c r="C29" i="3"/>
  <c r="C27" i="3"/>
  <c r="C26" i="3"/>
  <c r="C25" i="3"/>
  <c r="C15" i="3" l="1"/>
  <c r="C13" i="3"/>
  <c r="C22" i="3"/>
  <c r="C21" i="3"/>
  <c r="C20" i="3"/>
  <c r="C19" i="3"/>
  <c r="C18" i="3"/>
  <c r="C14" i="3"/>
  <c r="C10" i="3" l="1"/>
  <c r="C11" i="3"/>
  <c r="C12" i="3"/>
  <c r="C9" i="3"/>
  <c r="F12" i="2" l="1"/>
  <c r="F15" i="2"/>
  <c r="F36" i="1" l="1"/>
  <c r="F37" i="1"/>
  <c r="F38" i="1"/>
  <c r="F39" i="1"/>
  <c r="F40" i="1"/>
  <c r="F35" i="1"/>
  <c r="F27" i="1"/>
  <c r="F28" i="1"/>
  <c r="F29" i="1"/>
  <c r="F30" i="1"/>
  <c r="F31" i="1"/>
  <c r="F32" i="1"/>
  <c r="F26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9" i="1"/>
  <c r="F24" i="1" l="1"/>
  <c r="E15" i="1"/>
  <c r="E40" i="1"/>
  <c r="E18" i="2" l="1"/>
  <c r="E31" i="1" l="1"/>
  <c r="E19" i="2" l="1"/>
  <c r="E20" i="2" l="1"/>
  <c r="E16" i="2" l="1"/>
  <c r="C47" i="3"/>
  <c r="E10" i="2" l="1"/>
  <c r="E19" i="1" l="1"/>
  <c r="E28" i="1"/>
  <c r="E22" i="1" l="1"/>
  <c r="E21" i="1"/>
  <c r="E17" i="2"/>
  <c r="E29" i="1" l="1"/>
  <c r="E20" i="1" l="1"/>
  <c r="E11" i="2" l="1"/>
  <c r="E18" i="1" l="1"/>
  <c r="E27" i="1" l="1"/>
  <c r="E14" i="2"/>
  <c r="E13" i="2"/>
  <c r="E30" i="1"/>
  <c r="E9" i="2" l="1"/>
  <c r="E24" i="2"/>
  <c r="E13" i="1"/>
  <c r="E23" i="1"/>
  <c r="E27" i="2"/>
  <c r="E21" i="2" l="1"/>
  <c r="E32" i="1"/>
  <c r="E9" i="1"/>
  <c r="E26" i="1"/>
  <c r="E17" i="1" l="1"/>
  <c r="E25" i="2" l="1"/>
  <c r="F33" i="1" l="1"/>
  <c r="C48" i="3" l="1"/>
  <c r="I17" i="4" l="1"/>
  <c r="H20" i="4"/>
  <c r="I20" i="4" l="1"/>
  <c r="I8" i="4"/>
  <c r="I13" i="4"/>
  <c r="C44" i="3" l="1"/>
  <c r="H11" i="4" l="1"/>
  <c r="I21" i="4" l="1"/>
  <c r="C36" i="3" l="1"/>
  <c r="C16" i="3" l="1"/>
  <c r="C28" i="3" s="1"/>
  <c r="C30" i="3" l="1"/>
  <c r="C45" i="3" s="1"/>
  <c r="F41" i="1" l="1"/>
  <c r="D44" i="3" l="1"/>
  <c r="D36" i="3"/>
  <c r="D16" i="3"/>
  <c r="D28" i="3" s="1"/>
  <c r="D30" i="3" s="1"/>
  <c r="D45" i="3" l="1"/>
  <c r="D49" i="3" s="1"/>
  <c r="E20" i="4"/>
  <c r="E23" i="4" s="1"/>
  <c r="F20" i="4"/>
  <c r="F23" i="4" s="1"/>
  <c r="G15" i="4"/>
  <c r="F15" i="4"/>
  <c r="E15" i="4"/>
  <c r="D15" i="4"/>
  <c r="C15" i="4"/>
  <c r="I12" i="4" l="1"/>
  <c r="I19" i="4"/>
  <c r="I18" i="4"/>
  <c r="I11" i="4"/>
  <c r="F42" i="1" l="1"/>
  <c r="G20" i="4" l="1"/>
  <c r="D20" i="4"/>
  <c r="D23" i="4" s="1"/>
  <c r="C20" i="4"/>
  <c r="I10" i="4"/>
  <c r="I9" i="4"/>
  <c r="C23" i="4" l="1"/>
  <c r="G23" i="4"/>
  <c r="H15" i="4" l="1"/>
  <c r="I14" i="4"/>
  <c r="I15" i="4" s="1"/>
  <c r="H23" i="4" l="1"/>
  <c r="I22" i="4"/>
  <c r="I23" i="4" s="1"/>
  <c r="E41" i="1" l="1"/>
  <c r="E12" i="2" l="1"/>
  <c r="C49" i="3" l="1"/>
  <c r="E33" i="1"/>
  <c r="E42" i="1" s="1"/>
  <c r="E15" i="2"/>
  <c r="E22" i="2" s="1"/>
  <c r="E24" i="1" l="1"/>
  <c r="E26" i="2" l="1"/>
  <c r="E28" i="2" s="1"/>
  <c r="F18" i="2" l="1"/>
  <c r="F19" i="2" l="1"/>
  <c r="F16" i="2" l="1"/>
  <c r="F17" i="2" l="1"/>
  <c r="F23" i="2" l="1"/>
  <c r="F20" i="2" l="1"/>
  <c r="F24" i="2" l="1"/>
  <c r="F21" i="2"/>
  <c r="F22" i="2" l="1"/>
  <c r="F27" i="2"/>
  <c r="F25" i="2" l="1"/>
  <c r="F26" i="2" s="1"/>
  <c r="F28" i="2" s="1"/>
</calcChain>
</file>

<file path=xl/sharedStrings.xml><?xml version="1.0" encoding="utf-8"?>
<sst xmlns="http://schemas.openxmlformats.org/spreadsheetml/2006/main" count="183" uniqueCount="127">
  <si>
    <t>Приме-чание</t>
  </si>
  <si>
    <t>АКТИВЫ</t>
  </si>
  <si>
    <t>Денежные средства и их эквиваленты</t>
  </si>
  <si>
    <t>Счета и депозиты в банках и прочих финансовых институтах</t>
  </si>
  <si>
    <t>Инвестиционные ценные бумаги:</t>
  </si>
  <si>
    <t>Кредиты, выданные клиентам, и долгосрочная дебиторская задолженность от реализации недвижимости в рассрочку</t>
  </si>
  <si>
    <t>Дебиторская задолженность по финансовой аренде</t>
  </si>
  <si>
    <t>Текущий налоговый актив</t>
  </si>
  <si>
    <t>Активы, подлежащие передаче по договорам финансовой аренды</t>
  </si>
  <si>
    <t>Основные средства</t>
  </si>
  <si>
    <t>Инвестиционная собственность</t>
  </si>
  <si>
    <t>Прочие активы</t>
  </si>
  <si>
    <t>Всего активов</t>
  </si>
  <si>
    <t>СОБСТВЕННЫЙ КАПИТАЛ И ОБЯЗАТЕЛЬСТВА</t>
  </si>
  <si>
    <t>Прочие привлеченные средства</t>
  </si>
  <si>
    <t xml:space="preserve">Государственные субсидии </t>
  </si>
  <si>
    <t>Доходы будущих периодов и резервы по выданным гарантиям</t>
  </si>
  <si>
    <t>Отложенное налоговое обязательство</t>
  </si>
  <si>
    <t>Прочие обязательства</t>
  </si>
  <si>
    <t>Всего обязательств</t>
  </si>
  <si>
    <t>Собственный капитал</t>
  </si>
  <si>
    <t>Акционерный капитал</t>
  </si>
  <si>
    <t>Эмиссионный доход</t>
  </si>
  <si>
    <t>Собственные акции, выкупленные у акционеров</t>
  </si>
  <si>
    <t>Дополнительно оплаченный капитал</t>
  </si>
  <si>
    <t>Резервный капитал</t>
  </si>
  <si>
    <t xml:space="preserve">Нераспределенная прибыль </t>
  </si>
  <si>
    <t>Всего собственного капитала</t>
  </si>
  <si>
    <t>Всего собственного капитала и обязательств</t>
  </si>
  <si>
    <t>Балансовая стоимость на одну акцию, в тенге</t>
  </si>
  <si>
    <t>(в тыс. тенге)</t>
  </si>
  <si>
    <t>Прочие процентные доходы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</si>
  <si>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</si>
  <si>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</si>
  <si>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</si>
  <si>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</si>
  <si>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расход</t>
  </si>
  <si>
    <t xml:space="preserve">Чистый доход от операций с иностранной валютой </t>
  </si>
  <si>
    <t xml:space="preserve">Операционный доход </t>
  </si>
  <si>
    <t>Расходы на персонал</t>
  </si>
  <si>
    <t>Прибыль до налогообложения</t>
  </si>
  <si>
    <t>Прибыль и общий совокупный доход за период</t>
  </si>
  <si>
    <t>Базовая и разводненная прибыль на акцию, в тенге</t>
  </si>
  <si>
    <t>18(б)</t>
  </si>
  <si>
    <t>ДВИЖЕНИЕ ДЕНЕЖНЫХ СРЕДСТВ ОТ ОПЕРАЦИОННОЙ ДЕЯТЕЛЬНОСТИ</t>
  </si>
  <si>
    <t xml:space="preserve"> 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</si>
  <si>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</si>
  <si>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</si>
  <si>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</si>
  <si>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</si>
  <si>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 (расходам)</t>
  </si>
  <si>
    <t xml:space="preserve">Расходы на персонал выплаченные </t>
  </si>
  <si>
    <t>Прочие общие и административные расходы выплаченные</t>
  </si>
  <si>
    <t>(Увеличение)/уменьшение операционных активов</t>
  </si>
  <si>
    <t xml:space="preserve">Финансовые активы, оцениваемые по справедливой стоимости, изменения которой отражаются в составе прибыли или убытка за период </t>
  </si>
  <si>
    <t xml:space="preserve">Дебиторская задолженность по финансовой аренде </t>
  </si>
  <si>
    <t>Увеличение/(уменьшение) операционных обязательств</t>
  </si>
  <si>
    <t>Государственные субсидии</t>
  </si>
  <si>
    <t>Доходы будущих периодов по выданным гарантиям</t>
  </si>
  <si>
    <t xml:space="preserve">Увеличение/(уменьшение) денежных средств от операционной деятельности до уплаты вознаграждения и подоходного налога </t>
  </si>
  <si>
    <t>Подоходный налог уплаченный</t>
  </si>
  <si>
    <t>Потоки денежных средств, использованные в операционной деятельности</t>
  </si>
  <si>
    <t>ДВИЖЕНИЕ ДЕНЕЖНЫХ СРЕДСТВ ОТ ИНВЕСТИЦИОННОЙ ДЕЯТЕЛЬНОСТИ</t>
  </si>
  <si>
    <t xml:space="preserve">Приобретение инвестиционных ценных бумаг, оцениваемых по амортизированной стоимости </t>
  </si>
  <si>
    <t>Погашение инвестиционных ценных бумаг, оцениваемых по амортизированной стоимости</t>
  </si>
  <si>
    <t>Продажа инвестиционной собственности</t>
  </si>
  <si>
    <t>Потоки денежных средств, от/(использованных в)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</si>
  <si>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</si>
  <si>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</si>
  <si>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Поступления от выпуска долговых ценных бумаг</t>
  </si>
  <si>
    <t>Дивиденды выплаченные</t>
  </si>
  <si>
    <r>
      <t>Потоки денежных средств, использованные в финансовой деятельности</t>
    </r>
    <r>
      <rPr>
        <sz val="10"/>
        <color theme="1"/>
        <rFont val="Times New Roman"/>
        <family val="1"/>
        <charset val="204"/>
      </rPr>
      <t xml:space="preserve">  </t>
    </r>
  </si>
  <si>
    <t>Чистое увеличение/(уменьшение) денежных средств и их эквивалентов</t>
  </si>
  <si>
    <t>Влияние изменений обменных курсов на величину денежных средств и их эквивалентов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</si>
  <si>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</si>
  <si>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периода</t>
  </si>
  <si>
    <r>
      <t>Денежные средства и их эквиваленты на конец периода</t>
    </r>
    <r>
      <rPr>
        <sz val="10"/>
        <color theme="1"/>
        <rFont val="Times New Roman"/>
        <family val="1"/>
        <charset val="204"/>
      </rPr>
      <t xml:space="preserve"> (Примечание 9)</t>
    </r>
  </si>
  <si>
    <t>__________</t>
  </si>
  <si>
    <t>подпись</t>
  </si>
  <si>
    <t>Сагимкулова Б.Д.</t>
  </si>
  <si>
    <t>Место для печати</t>
  </si>
  <si>
    <t>Наименование статьи</t>
  </si>
  <si>
    <t>Примечание</t>
  </si>
  <si>
    <t xml:space="preserve">Собственные акции, выкупленные 
у акционеров
</t>
  </si>
  <si>
    <t>Общий совокупный доход</t>
  </si>
  <si>
    <t xml:space="preserve">Дивиденды объявленные и выплаченные </t>
  </si>
  <si>
    <t>Взносы в капитал (выпуск акций), связанные с объединением бизнеса</t>
  </si>
  <si>
    <t>(Накопленные убытки)/ нераспреде-ленная прибыль</t>
  </si>
  <si>
    <t xml:space="preserve">Всего </t>
  </si>
  <si>
    <t xml:space="preserve">Сокращенный промежуточный отчет о финансовом положении </t>
  </si>
  <si>
    <t>Сокращенный промежуточный отчет о прибыли или убытке и прочем совокупном доходе</t>
  </si>
  <si>
    <t>Сокращенный промежуточный отчет о движении денежных средств</t>
  </si>
  <si>
    <t xml:space="preserve">Сокращенный промежуточный отчет об изменениях в собственном капитале </t>
  </si>
  <si>
    <t>Прибыль за период, не аудировано</t>
  </si>
  <si>
    <t>Общий совокупный доход за период, не аудировано</t>
  </si>
  <si>
    <t>Средства в банках и прочих финансовых институтах</t>
  </si>
  <si>
    <t xml:space="preserve">Управляющий директор                   </t>
  </si>
  <si>
    <t xml:space="preserve">Главный бухгалтер           </t>
  </si>
  <si>
    <t>Токтаркожа А.Т.</t>
  </si>
  <si>
    <t>Оцениваемые по справедливой стоимости, изменения которой отражаются в составе прибыли или убытка</t>
  </si>
  <si>
    <t>Оцениваемые по амортизированной стоимости</t>
  </si>
  <si>
    <t>Долговые ценные бумаги выпущенные</t>
  </si>
  <si>
    <t>Процентные доходы, рассчитанные с использованием метода эффективной ставки вознаграждения</t>
  </si>
  <si>
    <t xml:space="preserve">Прочие операционные доходы/(расходы) </t>
  </si>
  <si>
    <t>Расход по походном налогу</t>
  </si>
  <si>
    <t>Общие и административные расходы</t>
  </si>
  <si>
    <t>Покупка и продажа основных средств и нематериальных активов</t>
  </si>
  <si>
    <t xml:space="preserve">
31 декабря 
2023 года
</t>
  </si>
  <si>
    <t>Погашение прочих привлеченных средств</t>
  </si>
  <si>
    <t xml:space="preserve">Остаток  на 1 января 2023 года  </t>
  </si>
  <si>
    <t>Остаток по состоянию на 1 января 2024 года</t>
  </si>
  <si>
    <t>Признание дисконта от первоначального признания инвестиционных ценных бумаг,оцениваемых по амортизированной стоимости, за вычетом налогов</t>
  </si>
  <si>
    <t>Долгосрочные активы, предназначенные для продажи</t>
  </si>
  <si>
    <t>Обязательство перед Акционером</t>
  </si>
  <si>
    <t>Чистая доход от операций по прочим финансовым инструментам, оцениваемым по справедливой стоимости, изменения которой отражаются в составе прибыли или убытка</t>
  </si>
  <si>
    <t>Доходы от выданных гарантий</t>
  </si>
  <si>
    <t xml:space="preserve">Доходы от воcстановления обесценения долговым финансовым инструментам  </t>
  </si>
  <si>
    <t>АО "Казахстанская Жилищная Компания" по состоянию на 30 сентября 2024 года</t>
  </si>
  <si>
    <t xml:space="preserve">
Не аудировано
30 сентября 2024 года
</t>
  </si>
  <si>
    <t>Не аудировано
за три месяца, закончившихся 30 сентября 2024 года</t>
  </si>
  <si>
    <t>Не аудировано
за три месяца, закончившихся 30 сентября 2023 года</t>
  </si>
  <si>
    <t>Остаток по состоянию на 30 сентября 2023 года, не аудировано</t>
  </si>
  <si>
    <t>Остаток по состоянию на 30 сентября 2024 года, не аудировано</t>
  </si>
  <si>
    <t>Доходы/(расходы) по резервам  по выданным гарантиям</t>
  </si>
  <si>
    <t>Чистая прибыль (убыток) от операций с финансовыми производными инструментами</t>
  </si>
  <si>
    <t>Поступление прочих привлеченных средств</t>
  </si>
  <si>
    <t>АО "Казахстанская Жилищная Компания" за девять месяцев, закончившихся 30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</si>
</sst>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₸_-;\-* #,##0.00\ _₸_-;_-* &quot;-&quot;??\ _₸_-;_-@_-"/>
    <numFmt numFmtId="165" formatCode="_(* #,##0_);_(* \(#,##0\);_(* &quot;-&quot;??_);_(@_)"/>
    <numFmt numFmtId="166" formatCode="#,##0;[Red]\ \(#,##0\);\ _-* \-??_?_.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2"/>
    </font>
    <font>
      <sz val="8"/>
      <name val="Arial"/>
      <family val="2"/>
    </font>
    <font>
      <sz val="10"/>
      <name val="Times New Roman"/>
      <family val="2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</font>
    <font>
      <sz val="10"/>
      <name val="Arial Cyr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7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4" fillId="0" borderId="0" xfId="0" applyNumberFormat="1" applyFont="1" applyFill="1" applyAlignment="1"/>
    <xf numFmtId="0" fontId="4" fillId="0" borderId="0" xfId="1" applyNumberFormat="1" applyFont="1" applyFill="1" applyAlignment="1">
      <alignment vertical="center" wrapText="1"/>
    </xf>
    <xf numFmtId="0" fontId="9" fillId="0" borderId="0" xfId="2" applyFont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Protection="1">
      <protection locked="0"/>
    </xf>
    <xf numFmtId="0" fontId="12" fillId="0" borderId="0" xfId="3" applyFont="1" applyFill="1" applyProtection="1">
      <protection locked="0"/>
    </xf>
    <xf numFmtId="0" fontId="5" fillId="0" borderId="0" xfId="1"/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vertical="center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12" fillId="0" borderId="1" xfId="4" applyFont="1" applyBorder="1" applyAlignment="1" applyProtection="1">
      <alignment horizontal="center" vertical="center" wrapText="1"/>
      <protection locked="0"/>
    </xf>
    <xf numFmtId="0" fontId="13" fillId="0" borderId="0" xfId="4" applyFill="1" applyProtection="1">
      <protection locked="0"/>
    </xf>
    <xf numFmtId="0" fontId="13" fillId="0" borderId="0" xfId="4" applyFill="1" applyProtection="1"/>
    <xf numFmtId="0" fontId="14" fillId="0" borderId="0" xfId="4" applyFont="1" applyFill="1" applyProtection="1"/>
    <xf numFmtId="0" fontId="10" fillId="0" borderId="1" xfId="4" applyFont="1" applyBorder="1" applyAlignment="1" applyProtection="1">
      <alignment horizontal="center" vertical="center" wrapText="1"/>
      <protection locked="0"/>
    </xf>
    <xf numFmtId="0" fontId="15" fillId="0" borderId="1" xfId="4" applyFont="1" applyBorder="1" applyAlignment="1" applyProtection="1">
      <alignment vertical="top" wrapText="1"/>
    </xf>
    <xf numFmtId="0" fontId="16" fillId="0" borderId="1" xfId="4" applyFont="1" applyBorder="1" applyAlignment="1" applyProtection="1">
      <alignment vertical="top" wrapText="1"/>
    </xf>
    <xf numFmtId="0" fontId="7" fillId="0" borderId="1" xfId="4" applyFont="1" applyBorder="1" applyProtection="1"/>
    <xf numFmtId="0" fontId="9" fillId="0" borderId="1" xfId="0" applyFont="1" applyBorder="1"/>
    <xf numFmtId="0" fontId="16" fillId="0" borderId="1" xfId="4" applyFont="1" applyBorder="1" applyAlignment="1" applyProtection="1">
      <alignment wrapText="1"/>
    </xf>
    <xf numFmtId="0" fontId="7" fillId="0" borderId="1" xfId="4" applyFont="1" applyBorder="1" applyAlignment="1" applyProtection="1"/>
    <xf numFmtId="49" fontId="16" fillId="0" borderId="0" xfId="6" applyNumberFormat="1" applyFont="1" applyFill="1" applyProtection="1">
      <protection locked="0"/>
    </xf>
    <xf numFmtId="3" fontId="13" fillId="0" borderId="0" xfId="4" applyNumberFormat="1" applyFill="1" applyProtection="1">
      <protection locked="0"/>
    </xf>
    <xf numFmtId="4" fontId="9" fillId="0" borderId="0" xfId="4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 wrapText="1"/>
      <protection locked="0"/>
    </xf>
    <xf numFmtId="4" fontId="0" fillId="0" borderId="0" xfId="0" applyNumberFormat="1"/>
    <xf numFmtId="164" fontId="0" fillId="0" borderId="0" xfId="7" applyFont="1"/>
    <xf numFmtId="0" fontId="1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4" fillId="0" borderId="0" xfId="0" applyNumberFormat="1" applyFont="1" applyFill="1" applyAlignment="1">
      <alignment horizontal="center"/>
    </xf>
    <xf numFmtId="0" fontId="7" fillId="0" borderId="0" xfId="0" applyFont="1" applyFill="1" applyAlignment="1" applyProtection="1">
      <alignment horizontal="left" wrapText="1"/>
      <protection locked="0"/>
    </xf>
    <xf numFmtId="0" fontId="12" fillId="0" borderId="0" xfId="4" applyFont="1" applyFill="1" applyAlignment="1" applyProtection="1">
      <alignment horizontal="center"/>
      <protection locked="0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9" fillId="0" borderId="0" xfId="2" applyFont="1" applyFill="1" applyAlignment="1">
      <alignment horizontal="center" wrapText="1"/>
    </xf>
    <xf numFmtId="0" fontId="5" fillId="0" borderId="0" xfId="1" applyFill="1"/>
    <xf numFmtId="0" fontId="6" fillId="0" borderId="0" xfId="1" applyFont="1" applyFill="1" applyAlignment="1">
      <alignment horizontal="left"/>
    </xf>
    <xf numFmtId="0" fontId="3" fillId="0" borderId="0" xfId="0" applyFont="1" applyFill="1" applyAlignment="1">
      <alignment vertical="center" wrapText="1"/>
    </xf>
    <xf numFmtId="0" fontId="12" fillId="0" borderId="1" xfId="4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10" fillId="0" borderId="0" xfId="0" applyFont="1" applyFill="1" applyAlignment="1">
      <alignment horizontal="left"/>
    </xf>
    <xf numFmtId="0" fontId="16" fillId="2" borderId="1" xfId="4" applyFont="1" applyFill="1" applyBorder="1" applyAlignment="1" applyProtection="1">
      <alignment vertical="top" wrapText="1"/>
    </xf>
    <xf numFmtId="165" fontId="0" fillId="0" borderId="0" xfId="0" applyNumberFormat="1"/>
    <xf numFmtId="0" fontId="12" fillId="0" borderId="1" xfId="4" applyFont="1" applyFill="1" applyBorder="1" applyAlignment="1" applyProtection="1">
      <alignment horizontal="center" vertical="center"/>
      <protection locked="0"/>
    </xf>
    <xf numFmtId="0" fontId="10" fillId="0" borderId="1" xfId="4" applyFont="1" applyFill="1" applyBorder="1" applyAlignment="1" applyProtection="1">
      <alignment horizontal="center" vertical="center" wrapText="1"/>
      <protection locked="0"/>
    </xf>
    <xf numFmtId="0" fontId="10" fillId="0" borderId="1" xfId="4" applyFont="1" applyFill="1" applyBorder="1" applyAlignment="1" applyProtection="1">
      <alignment horizontal="center"/>
      <protection locked="0"/>
    </xf>
    <xf numFmtId="0" fontId="9" fillId="0" borderId="1" xfId="4" applyFont="1" applyFill="1" applyBorder="1" applyAlignment="1" applyProtection="1">
      <alignment horizontal="center"/>
      <protection locked="0"/>
    </xf>
    <xf numFmtId="0" fontId="14" fillId="0" borderId="1" xfId="4" applyFont="1" applyFill="1" applyBorder="1" applyAlignment="1" applyProtection="1">
      <alignment horizontal="center"/>
      <protection locked="0"/>
    </xf>
    <xf numFmtId="49" fontId="12" fillId="0" borderId="0" xfId="4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left"/>
    </xf>
    <xf numFmtId="3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4" fontId="0" fillId="2" borderId="0" xfId="0" applyNumberFormat="1" applyFill="1"/>
    <xf numFmtId="0" fontId="1" fillId="0" borderId="1" xfId="8" applyFont="1" applyFill="1" applyBorder="1" applyAlignment="1">
      <alignment vertical="center" wrapText="1"/>
    </xf>
    <xf numFmtId="0" fontId="18" fillId="0" borderId="1" xfId="8" applyFill="1" applyBorder="1"/>
    <xf numFmtId="0" fontId="18" fillId="0" borderId="0" xfId="8" applyFill="1"/>
    <xf numFmtId="164" fontId="0" fillId="0" borderId="0" xfId="9" applyFont="1"/>
    <xf numFmtId="164" fontId="18" fillId="0" borderId="0" xfId="8" applyNumberFormat="1"/>
    <xf numFmtId="0" fontId="18" fillId="0" borderId="0" xfId="8"/>
    <xf numFmtId="165" fontId="12" fillId="0" borderId="1" xfId="4" applyNumberFormat="1" applyFont="1" applyFill="1" applyBorder="1" applyAlignment="1" applyProtection="1">
      <alignment horizontal="center" vertical="center"/>
      <protection locked="0"/>
    </xf>
    <xf numFmtId="165" fontId="12" fillId="0" borderId="1" xfId="4" applyNumberFormat="1" applyFont="1" applyFill="1" applyBorder="1" applyAlignment="1" applyProtection="1">
      <alignment horizontal="center" vertical="center"/>
    </xf>
    <xf numFmtId="165" fontId="10" fillId="0" borderId="1" xfId="4" applyNumberFormat="1" applyFont="1" applyFill="1" applyBorder="1" applyAlignment="1" applyProtection="1">
      <alignment horizontal="center" vertical="center"/>
    </xf>
    <xf numFmtId="165" fontId="9" fillId="0" borderId="1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165" fontId="9" fillId="0" borderId="1" xfId="4" applyNumberFormat="1" applyFont="1" applyFill="1" applyBorder="1" applyAlignment="1" applyProtection="1">
      <alignment horizontal="center" vertical="center"/>
    </xf>
    <xf numFmtId="0" fontId="12" fillId="0" borderId="0" xfId="4" applyFont="1" applyFill="1" applyAlignment="1" applyProtection="1">
      <alignment horizontal="center"/>
      <protection locked="0"/>
    </xf>
    <xf numFmtId="3" fontId="4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vertical="center" wrapText="1"/>
    </xf>
    <xf numFmtId="166" fontId="10" fillId="0" borderId="1" xfId="5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1" fillId="0" borderId="3" xfId="8" applyFont="1" applyBorder="1" applyAlignment="1">
      <alignment horizontal="left" vertical="center" wrapText="1"/>
    </xf>
    <xf numFmtId="0" fontId="1" fillId="0" borderId="4" xfId="8" applyFont="1" applyBorder="1" applyAlignment="1">
      <alignment horizontal="left" vertical="center" wrapText="1"/>
    </xf>
    <xf numFmtId="0" fontId="1" fillId="0" borderId="2" xfId="8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/>
    </xf>
    <xf numFmtId="0" fontId="12" fillId="0" borderId="0" xfId="4" applyFont="1" applyFill="1" applyAlignment="1" applyProtection="1">
      <alignment horizontal="center"/>
      <protection locked="0"/>
    </xf>
    <xf numFmtId="3" fontId="12" fillId="0" borderId="1" xfId="5" applyNumberFormat="1" applyFont="1" applyFill="1" applyBorder="1" applyAlignment="1" applyProtection="1">
      <alignment horizontal="right"/>
    </xf>
    <xf numFmtId="3" fontId="10" fillId="0" borderId="1" xfId="5" applyNumberFormat="1" applyFont="1" applyFill="1" applyBorder="1" applyAlignment="1" applyProtection="1">
      <alignment horizontal="right"/>
      <protection locked="0"/>
    </xf>
    <xf numFmtId="3" fontId="1" fillId="0" borderId="1" xfId="8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/>
    </xf>
  </cellXfs>
  <cellStyles count="10">
    <cellStyle name="Обычный" xfId="0" builtinId="0"/>
    <cellStyle name="Обычный 2 2" xfId="4"/>
    <cellStyle name="Обычный 23" xfId="1"/>
    <cellStyle name="Обычный 3" xfId="5"/>
    <cellStyle name="Обычный 4" xfId="2"/>
    <cellStyle name="Обычный 91" xfId="8"/>
    <cellStyle name="Обычный_Брокеры ежекв (вход)" xfId="3"/>
    <cellStyle name="Обычный_Приложения к Правилам по ИК_рус" xfId="6"/>
    <cellStyle name="Финансовый" xfId="7" builtinId="3"/>
    <cellStyle name="Финансовый 2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79;&#1072;%209%20&#1084;&#1077;&#1089;.%202024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91;&#1076;&#1080;&#1090;/&#1040;&#1091;&#1076;&#1080;&#1090;%202024/6%20&#1084;&#1077;&#1089;.2024/&#1054;&#1058;&#1063;&#1045;&#1058;/&#1040;&#1091;&#1076;&#1080;&#1090;%206%20&#1084;&#1077;&#1089;.2024%20&#8212;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9;&#1087;&#1088;&#1072;&#1074;&#1083;&#1077;&#1085;&#1095;&#1077;&#1089;&#1082;&#1072;&#1103;%20&#1086;&#1090;&#1095;&#1077;&#1090;&#1085;&#1086;&#1089;&#1090;&#1100;/2024/01.10.2024/&#1059;&#1087;&#1088;&#1072;&#1074;&#1083;&#1077;&#1085;&#1095;&#1077;&#1089;&#1082;&#1072;&#1103;%20&#1086;&#1090;&#1095;&#1077;&#1090;&#1085;&#1086;&#1089;&#1090;&#1100;%20&#1085;&#1072;%2001.10.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89;&#1095;&#1077;&#1090;%20&#1073;&#1072;&#1083;&#1072;&#1085;&#1089;.&#1089;&#1090;&#1086;&#1080;&#1084;&#1086;&#1089;&#1090;&#1080;%201-&#1086;&#1081;%20&#1072;&#1082;&#1094;&#1080;&#1080;_01.10.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0;&#1074;&#1072;&#1088;&#1090;&#1072;&#1083;&#1100;&#1085;&#1099;&#1077;%20&#1086;&#1090;&#1095;&#1077;&#1090;&#1099;/&#1076;&#1083;&#1103;%20&#1073;&#1080;&#1088;&#1078;&#1080;/2023/3%20&#1082;&#1074;.%202023/&#1060;1-4%20&#1085;&#1072;%2001.10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4;&#1090;&#1095;&#1077;&#1090;%20&#1086;%20&#1076;&#1074;&#1080;&#1078;&#1077;&#1085;&#1080;&#1080;%20&#1076;&#1077;&#1085;&#1077;&#1075;/2024/&#1089;&#1077;&#1085;&#1090;&#1103;&#1073;&#1088;&#1100;/&#1060;3%203%20&#108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4"/>
      <sheetName val="TDSheet"/>
      <sheetName val="прочие доходы"/>
      <sheetName val="1054"/>
      <sheetName val="1259"/>
      <sheetName val="РЕПО доход"/>
      <sheetName val="2035"/>
      <sheetName val="2046"/>
      <sheetName val="1877"/>
      <sheetName val="2305"/>
      <sheetName val="паркинг"/>
      <sheetName val="1662"/>
      <sheetName val="ОС НМА"/>
      <sheetName val="Лист1"/>
      <sheetName val="2819"/>
    </sheetNames>
    <sheetDataSet>
      <sheetData sheetId="0">
        <row r="6">
          <cell r="N6">
            <v>313226906</v>
          </cell>
        </row>
        <row r="106">
          <cell r="N106">
            <v>70373685</v>
          </cell>
        </row>
        <row r="121">
          <cell r="N121">
            <v>895271730</v>
          </cell>
        </row>
        <row r="1036">
          <cell r="N1036">
            <v>39920251</v>
          </cell>
        </row>
        <row r="1063">
          <cell r="N1063">
            <v>13170421</v>
          </cell>
        </row>
        <row r="1070">
          <cell r="N1070">
            <v>37277584</v>
          </cell>
        </row>
        <row r="1089">
          <cell r="N1089">
            <v>130884846</v>
          </cell>
        </row>
        <row r="1120">
          <cell r="N1120">
            <v>10535538</v>
          </cell>
        </row>
        <row r="1131">
          <cell r="N1131">
            <v>6123150</v>
          </cell>
        </row>
        <row r="1143">
          <cell r="N1143">
            <v>477068</v>
          </cell>
        </row>
        <row r="1168">
          <cell r="N1168">
            <v>3705310</v>
          </cell>
        </row>
        <row r="1254">
          <cell r="N1254">
            <v>112875</v>
          </cell>
        </row>
        <row r="1350">
          <cell r="N1350">
            <v>64609360</v>
          </cell>
        </row>
        <row r="1351">
          <cell r="N1351">
            <v>830532</v>
          </cell>
        </row>
        <row r="1712">
          <cell r="N1712">
            <v>0</v>
          </cell>
        </row>
        <row r="1718">
          <cell r="N1718">
            <v>755782721</v>
          </cell>
        </row>
        <row r="1862">
          <cell r="N1862">
            <v>308263267</v>
          </cell>
        </row>
        <row r="1952">
          <cell r="N1952">
            <v>12423643</v>
          </cell>
        </row>
        <row r="1954">
          <cell r="N1954">
            <v>16949669</v>
          </cell>
        </row>
        <row r="1960">
          <cell r="N1960">
            <v>3977048</v>
          </cell>
        </row>
        <row r="1996">
          <cell r="N1996">
            <v>0</v>
          </cell>
        </row>
        <row r="2013">
          <cell r="N2013">
            <v>245349970</v>
          </cell>
        </row>
        <row r="2054">
          <cell r="N2054">
            <v>235395083</v>
          </cell>
        </row>
        <row r="2065">
          <cell r="N2065">
            <v>8474030</v>
          </cell>
        </row>
        <row r="2362">
          <cell r="N2362">
            <v>41046363</v>
          </cell>
        </row>
        <row r="2375">
          <cell r="N2375">
            <v>4522869</v>
          </cell>
        </row>
        <row r="2390">
          <cell r="N2390">
            <v>4042082</v>
          </cell>
        </row>
        <row r="2398">
          <cell r="N2398">
            <v>3256414</v>
          </cell>
        </row>
        <row r="2406">
          <cell r="N2406">
            <v>3558306</v>
          </cell>
        </row>
        <row r="2415">
          <cell r="N2415">
            <v>5053521</v>
          </cell>
        </row>
        <row r="2420">
          <cell r="N2420">
            <v>70776932</v>
          </cell>
        </row>
        <row r="2869">
          <cell r="N2869">
            <v>22894421</v>
          </cell>
        </row>
        <row r="2871">
          <cell r="N2871">
            <v>14136</v>
          </cell>
        </row>
        <row r="2877">
          <cell r="N2877">
            <v>-78767027</v>
          </cell>
        </row>
        <row r="2971">
          <cell r="N2971">
            <v>21005</v>
          </cell>
        </row>
        <row r="2984">
          <cell r="N2984">
            <v>-320497</v>
          </cell>
        </row>
        <row r="3016">
          <cell r="N3016">
            <v>2123463</v>
          </cell>
        </row>
        <row r="3023">
          <cell r="N3023">
            <v>0</v>
          </cell>
        </row>
        <row r="3026">
          <cell r="N3026">
            <v>-247392</v>
          </cell>
        </row>
        <row r="3072">
          <cell r="N3072">
            <v>510</v>
          </cell>
        </row>
        <row r="3079">
          <cell r="N3079">
            <v>1733</v>
          </cell>
        </row>
        <row r="3082">
          <cell r="N3082">
            <v>-178402</v>
          </cell>
        </row>
        <row r="3087">
          <cell r="N3087">
            <v>1082015</v>
          </cell>
        </row>
        <row r="3090">
          <cell r="N3090">
            <v>7901496</v>
          </cell>
        </row>
        <row r="3095">
          <cell r="N3095">
            <v>-15544542</v>
          </cell>
        </row>
        <row r="3101">
          <cell r="N3101">
            <v>6100815</v>
          </cell>
        </row>
        <row r="3350">
          <cell r="N3350">
            <v>-447234</v>
          </cell>
        </row>
        <row r="3697">
          <cell r="N3697">
            <v>-72444</v>
          </cell>
        </row>
        <row r="3736">
          <cell r="N3736">
            <v>-4337609</v>
          </cell>
        </row>
        <row r="3737">
          <cell r="N3737">
            <v>-2767362</v>
          </cell>
        </row>
        <row r="3764">
          <cell r="N3764">
            <v>-7004</v>
          </cell>
        </row>
        <row r="3767">
          <cell r="N3767">
            <v>-40635</v>
          </cell>
        </row>
        <row r="4019">
          <cell r="N4019">
            <v>1906532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мечания"/>
      <sheetName val="прочие доходы"/>
      <sheetName val="Ф1"/>
      <sheetName val="Ф2"/>
      <sheetName val="Ф3"/>
      <sheetName val="Ф4"/>
      <sheetName val="ОСВ (2)"/>
      <sheetName val="ЦБ"/>
      <sheetName val="ОСВ"/>
      <sheetName val="Лист1"/>
      <sheetName val="2869"/>
    </sheetNames>
    <sheetDataSet>
      <sheetData sheetId="0">
        <row r="115">
          <cell r="D115">
            <v>4192306</v>
          </cell>
        </row>
      </sheetData>
      <sheetData sheetId="1"/>
      <sheetData sheetId="2">
        <row r="6">
          <cell r="F6">
            <v>305418549</v>
          </cell>
        </row>
        <row r="7">
          <cell r="F7">
            <v>69064444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834169819</v>
          </cell>
        </row>
        <row r="11">
          <cell r="F11">
            <v>0</v>
          </cell>
        </row>
        <row r="12">
          <cell r="F12">
            <v>11028026</v>
          </cell>
        </row>
        <row r="13">
          <cell r="F13">
            <v>105681741</v>
          </cell>
        </row>
        <row r="14">
          <cell r="F14">
            <v>138842941</v>
          </cell>
        </row>
        <row r="15">
          <cell r="F15">
            <v>9603172</v>
          </cell>
        </row>
        <row r="16">
          <cell r="F16">
            <v>300471</v>
          </cell>
        </row>
        <row r="17">
          <cell r="F17">
            <v>3795842</v>
          </cell>
        </row>
        <row r="18">
          <cell r="F18">
            <v>6586560</v>
          </cell>
        </row>
        <row r="19">
          <cell r="F19">
            <v>125389</v>
          </cell>
        </row>
        <row r="20">
          <cell r="F20">
            <v>1578063</v>
          </cell>
        </row>
        <row r="23">
          <cell r="F23">
            <v>807471686</v>
          </cell>
        </row>
        <row r="24">
          <cell r="F24">
            <v>244788616</v>
          </cell>
        </row>
        <row r="25">
          <cell r="F25">
            <v>138309016</v>
          </cell>
        </row>
        <row r="26">
          <cell r="F26">
            <v>24922025</v>
          </cell>
        </row>
        <row r="27">
          <cell r="F27">
            <v>4691377</v>
          </cell>
        </row>
        <row r="28">
          <cell r="F28">
            <v>14330174</v>
          </cell>
        </row>
        <row r="29">
          <cell r="F29">
            <v>6757273</v>
          </cell>
        </row>
        <row r="32">
          <cell r="F32">
            <v>193432016</v>
          </cell>
        </row>
        <row r="33">
          <cell r="F33">
            <v>12661</v>
          </cell>
        </row>
        <row r="34">
          <cell r="F34">
            <v>-2597522</v>
          </cell>
        </row>
        <row r="35">
          <cell r="F35">
            <v>3389392</v>
          </cell>
        </row>
        <row r="36">
          <cell r="F36">
            <v>2734447</v>
          </cell>
        </row>
        <row r="37">
          <cell r="F37">
            <v>47953856</v>
          </cell>
        </row>
      </sheetData>
      <sheetData sheetId="3"/>
      <sheetData sheetId="4"/>
      <sheetData sheetId="5"/>
      <sheetData sheetId="6">
        <row r="1851">
          <cell r="I1851">
            <v>-13545129265.954975</v>
          </cell>
        </row>
      </sheetData>
      <sheetData sheetId="7">
        <row r="217">
          <cell r="N217">
            <v>-10118555649.482971</v>
          </cell>
        </row>
      </sheetData>
      <sheetData sheetId="8">
        <row r="2">
          <cell r="A2" t="str">
            <v>Оборотно сальдовая ведомость(детальный)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ГБК"/>
      <sheetName val="ОСВ"/>
    </sheetNames>
    <sheetDataSet>
      <sheetData sheetId="0">
        <row r="36">
          <cell r="E36">
            <v>477068</v>
          </cell>
        </row>
        <row r="76">
          <cell r="E76">
            <v>4925049</v>
          </cell>
        </row>
      </sheetData>
      <sheetData sheetId="1">
        <row r="75">
          <cell r="G75">
            <v>27312733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E10">
            <v>13752.199844115672</v>
          </cell>
        </row>
        <row r="30">
          <cell r="E30">
            <v>1549.1293130937049</v>
          </cell>
        </row>
        <row r="37">
          <cell r="E37">
            <v>1444.4737236446076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 refreshError="1"/>
      <sheetData sheetId="1">
        <row r="16">
          <cell r="E16">
            <v>5480928</v>
          </cell>
        </row>
        <row r="17">
          <cell r="E17">
            <v>1863758</v>
          </cell>
        </row>
        <row r="18">
          <cell r="E18">
            <v>-250354</v>
          </cell>
        </row>
        <row r="19">
          <cell r="E19">
            <v>1255149</v>
          </cell>
        </row>
        <row r="20">
          <cell r="E20">
            <v>-10159706</v>
          </cell>
        </row>
        <row r="21">
          <cell r="E21">
            <v>-13967865</v>
          </cell>
        </row>
        <row r="23">
          <cell r="E23">
            <v>845024</v>
          </cell>
        </row>
        <row r="24">
          <cell r="E24">
            <v>-2103809</v>
          </cell>
        </row>
        <row r="25">
          <cell r="E25">
            <v>-1300437</v>
          </cell>
        </row>
        <row r="27">
          <cell r="E27">
            <v>296289</v>
          </cell>
        </row>
      </sheetData>
      <sheetData sheetId="2">
        <row r="2">
          <cell r="A2" t="str">
            <v>Сокращенный промежуточный отчет о движении денежных средств</v>
          </cell>
        </row>
        <row r="3">
          <cell r="A3" t="str">
            <v>АО "Казахстанская Жилищная Компания" за девять месяцев, закончившихся 30 сентября 2023 года</v>
          </cell>
        </row>
        <row r="5">
          <cell r="D5" t="str">
            <v>(в тыс. тенге)</v>
          </cell>
        </row>
        <row r="6">
          <cell r="A6" t="str">
            <v>Наименование статьи</v>
          </cell>
          <cell r="B6" t="str">
            <v>Примечание</v>
          </cell>
          <cell r="C6" t="str">
            <v>Не аудировано
девять месяцев, закончившихся 30 сентября 2023 года</v>
          </cell>
          <cell r="D6" t="str">
            <v>Не аудировано
девять месяцев, закончившихся 30 сентября 2022 года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</row>
        <row r="8">
          <cell r="A8" t="str">
            <v>ДВИЖЕНИЕ ДЕНЕЖНЫХ СРЕДСТВ ОТ ОПЕРАЦИОННОЙ ДЕЯТЕЛЬНОСТИ</v>
          </cell>
          <cell r="D8" t="str">
            <v xml:space="preserve"> </v>
          </cell>
        </row>
        <row r="9">
          <cell r="A9" t="str">
            <v>Процентные доходы полученные</v>
          </cell>
          <cell r="C9">
            <v>71132560</v>
          </cell>
          <cell r="D9">
            <v>63886377</v>
          </cell>
        </row>
        <row r="10">
          <cell r="A10" t="str">
            <v>Процентные расходы выплаченные</v>
          </cell>
          <cell r="C10">
            <v>-41678713</v>
          </cell>
          <cell r="D10">
            <v>-41834504</v>
          </cell>
        </row>
        <row r="11">
          <cell r="A11" t="str">
            <v>Комиссионные доходы полученные</v>
          </cell>
          <cell r="C11">
            <v>42113</v>
          </cell>
          <cell r="D11">
            <v>19924</v>
          </cell>
        </row>
        <row r="12">
          <cell r="A12" t="str">
            <v>Комиссионные расходы выплаченные</v>
          </cell>
          <cell r="C12">
            <v>-293811</v>
          </cell>
          <cell r="D12">
            <v>-432593</v>
          </cell>
        </row>
        <row r="13">
          <cell r="A13" t="str">
            <v>Поступления по прочим доходам (расходам)</v>
          </cell>
          <cell r="C13">
            <v>203402</v>
          </cell>
          <cell r="D13">
            <v>-444466</v>
          </cell>
        </row>
        <row r="14">
          <cell r="A14" t="str">
            <v xml:space="preserve">Расходы на персонал выплаченные </v>
          </cell>
          <cell r="C14">
            <v>-1963087</v>
          </cell>
          <cell r="D14">
            <v>-1964736</v>
          </cell>
        </row>
        <row r="15">
          <cell r="A15" t="str">
            <v>Прочие общие и административные расходы выплаченные</v>
          </cell>
          <cell r="C15">
            <v>-1554489</v>
          </cell>
          <cell r="D15">
            <v>-1647730</v>
          </cell>
        </row>
        <row r="16">
          <cell r="C16">
            <v>25887975</v>
          </cell>
          <cell r="D16">
            <v>17582272</v>
          </cell>
        </row>
        <row r="17">
          <cell r="A17" t="str">
            <v>(Увеличение)/уменьшение операционных активов</v>
          </cell>
        </row>
        <row r="18">
          <cell r="A18" t="str">
            <v>Счета и депозиты в банках и прочих финансовых институтах</v>
          </cell>
          <cell r="C18">
            <v>635386</v>
          </cell>
          <cell r="D18">
            <v>13268975</v>
          </cell>
        </row>
        <row r="19">
          <cell r="A19" t="str">
            <v xml:space="preserve">Финансовые активы, оцениваемые по справедливой стоимости, изменения которой отражаются в составе прибыли или убытка за период </v>
          </cell>
          <cell r="C19">
            <v>1367690</v>
          </cell>
          <cell r="D19">
            <v>968</v>
          </cell>
        </row>
        <row r="20">
          <cell r="A20" t="str">
            <v>Кредиты, выданные клиентам, и долгосрочная дебиторская задолженность от реализации недвижимости в рассрочку</v>
          </cell>
          <cell r="C20">
            <v>32748407</v>
          </cell>
          <cell r="D20">
            <v>10959675</v>
          </cell>
        </row>
        <row r="21">
          <cell r="A21" t="str">
            <v>Активы, подлежащие передаче по договорам финансовой аренды</v>
          </cell>
          <cell r="C21">
            <v>-675299</v>
          </cell>
          <cell r="D21">
            <v>-8779389</v>
          </cell>
        </row>
        <row r="22">
          <cell r="A22" t="str">
            <v>Незавершенное строительство</v>
          </cell>
          <cell r="C22">
            <v>-14585</v>
          </cell>
          <cell r="D22">
            <v>-14660</v>
          </cell>
        </row>
        <row r="23">
          <cell r="A23" t="str">
            <v xml:space="preserve">Дебиторская задолженность по финансовой аренде </v>
          </cell>
          <cell r="C23">
            <v>10839005</v>
          </cell>
          <cell r="D23">
            <v>12525662</v>
          </cell>
        </row>
        <row r="24">
          <cell r="A24" t="str">
            <v>Прочие активы</v>
          </cell>
          <cell r="C24">
            <v>927540</v>
          </cell>
          <cell r="D24">
            <v>-845209</v>
          </cell>
        </row>
        <row r="25">
          <cell r="A25" t="str">
            <v>Увеличение/(уменьшение) операционных обязательств</v>
          </cell>
        </row>
        <row r="26">
          <cell r="A26" t="str">
            <v>Государственные субсидии</v>
          </cell>
          <cell r="C26">
            <v>-810990</v>
          </cell>
          <cell r="D26">
            <v>-1137617</v>
          </cell>
        </row>
        <row r="27">
          <cell r="A27" t="str">
            <v>Доходы будущих периодов по выданным гарантиям</v>
          </cell>
          <cell r="C27">
            <v>1084606</v>
          </cell>
          <cell r="D27">
            <v>1596173</v>
          </cell>
        </row>
        <row r="28">
          <cell r="A28" t="str">
            <v>Прочие обязательства</v>
          </cell>
          <cell r="C28">
            <v>-2393</v>
          </cell>
          <cell r="D28">
            <v>-74636</v>
          </cell>
        </row>
        <row r="29">
          <cell r="A29" t="str">
            <v xml:space="preserve">Увеличение/(уменьшение) денежных средств от операционной деятельности до уплаты вознаграждения и подоходного налога </v>
          </cell>
          <cell r="C29">
            <v>71987342</v>
          </cell>
          <cell r="D29">
            <v>45082214</v>
          </cell>
        </row>
        <row r="30">
          <cell r="A30" t="str">
            <v>Подоходный налог уплаченный</v>
          </cell>
          <cell r="C30">
            <v>-4782239</v>
          </cell>
          <cell r="D30">
            <v>-90862</v>
          </cell>
        </row>
        <row r="31">
          <cell r="A31" t="str">
            <v>Потоки денежных средств, использованные в операционной деятельности</v>
          </cell>
          <cell r="C31">
            <v>67205103</v>
          </cell>
          <cell r="D31">
            <v>44991352</v>
          </cell>
        </row>
        <row r="32">
          <cell r="A32" t="str">
            <v>ДВИЖЕНИЕ ДЕНЕЖНЫХ СРЕДСТВ ОТ ИНВЕСТИЦИОННОЙ ДЕЯТЕЛЬНОСТИ</v>
          </cell>
        </row>
        <row r="33">
          <cell r="A33" t="str">
            <v xml:space="preserve">Приобретение инвестиционных ценных бумаг, оцениваемых по амортизированной стоимости </v>
          </cell>
          <cell r="C33">
            <v>-100588954</v>
          </cell>
          <cell r="D33">
            <v>-262511416</v>
          </cell>
        </row>
        <row r="34">
          <cell r="A34" t="str">
            <v>Погашение инвестиционных ценных бумаг, оцениваемых по амортизированной стоимости</v>
          </cell>
          <cell r="C34">
            <v>43462098</v>
          </cell>
          <cell r="D34">
            <v>357751019</v>
          </cell>
        </row>
        <row r="35">
          <cell r="A35" t="str">
            <v>Покупка и продажа основных средств и нематериальных активов</v>
          </cell>
          <cell r="C35">
            <v>-438025</v>
          </cell>
          <cell r="D35">
            <v>-176226</v>
          </cell>
        </row>
        <row r="36">
          <cell r="A36" t="str">
            <v>Продажа инвестиционной собственности</v>
          </cell>
        </row>
        <row r="37">
          <cell r="A37" t="str">
            <v>Потоки денежных средств, от/(использованных в) инвестиционной деятельности</v>
          </cell>
          <cell r="C37">
            <v>-57564881</v>
          </cell>
          <cell r="D37">
            <v>95063377</v>
          </cell>
        </row>
        <row r="39">
          <cell r="A39" t="str">
            <v>ДВИЖЕНИЕ ДЕНЕЖНЫХ СРЕДСТВ ОТ ФИНАНСОВОЙ ДЕЯТЕЛЬНОСТИ</v>
          </cell>
        </row>
        <row r="40">
          <cell r="A40" t="str">
            <v>Выкуп/погашение долговых ценных бумаг выпущенных</v>
          </cell>
          <cell r="C40">
            <v>39339</v>
          </cell>
        </row>
        <row r="41">
          <cell r="A41" t="str">
            <v>Погашение прочих привлеченных средств</v>
          </cell>
          <cell r="C41">
            <v>-1459</v>
          </cell>
        </row>
        <row r="42">
          <cell r="A42" t="str">
            <v>Поступления от выпуска долговых ценных бумаг</v>
          </cell>
          <cell r="D42">
            <v>2379890</v>
          </cell>
        </row>
        <row r="43">
          <cell r="A43" t="str">
            <v>Дивиденды выплаченные</v>
          </cell>
          <cell r="C43">
            <v>-26584469</v>
          </cell>
          <cell r="D43">
            <v>-3622294</v>
          </cell>
        </row>
        <row r="44">
          <cell r="A44" t="str">
            <v xml:space="preserve">Потоки денежных средств, использованные в финансовой деятельности  </v>
          </cell>
          <cell r="C44">
            <v>-26546589</v>
          </cell>
          <cell r="D44">
            <v>-1242404</v>
          </cell>
        </row>
        <row r="46">
          <cell r="A46" t="str">
            <v>Чистое увеличение/(уменьшение) денежных средств и их эквивалентов</v>
          </cell>
          <cell r="C46">
            <v>-16906367</v>
          </cell>
          <cell r="D46">
            <v>138812325</v>
          </cell>
        </row>
        <row r="47">
          <cell r="A47" t="str">
            <v>Влияние изменений обменных курсов на величину денежных средств и их эквивалентов</v>
          </cell>
          <cell r="C47">
            <v>14405</v>
          </cell>
          <cell r="D47">
            <v>-42371</v>
          </cell>
        </row>
        <row r="48">
          <cell r="A48" t="str">
            <v>Влияние изменений ожидаемых кредитных убытков на денежные средства и их эквиваленты</v>
          </cell>
          <cell r="C48">
            <v>81766</v>
          </cell>
          <cell r="D48">
            <v>-7635</v>
          </cell>
        </row>
        <row r="49">
          <cell r="A49" t="str">
            <v>Денежные средства и их эквиваленты на начало периода</v>
          </cell>
          <cell r="C49">
            <v>245237171</v>
          </cell>
          <cell r="D49">
            <v>100684841</v>
          </cell>
        </row>
        <row r="50">
          <cell r="A50" t="str">
            <v>Денежные средства и их эквиваленты на конец периода (Примечание 9)</v>
          </cell>
          <cell r="C50">
            <v>228426975</v>
          </cell>
          <cell r="D50">
            <v>239447160</v>
          </cell>
        </row>
        <row r="54">
          <cell r="A54" t="str">
            <v xml:space="preserve">Управляющий директор                   </v>
          </cell>
          <cell r="C54" t="str">
            <v>__________</v>
          </cell>
          <cell r="D54" t="str">
            <v>Сагимкулова Б.Д.</v>
          </cell>
        </row>
        <row r="55">
          <cell r="C55" t="str">
            <v>подпись</v>
          </cell>
        </row>
        <row r="57">
          <cell r="A57" t="str">
            <v xml:space="preserve">Главный бухгалтер           </v>
          </cell>
          <cell r="C57" t="str">
            <v>__________</v>
          </cell>
          <cell r="D57" t="str">
            <v>Токтаркожа А.Т.</v>
          </cell>
        </row>
        <row r="58">
          <cell r="C58" t="str">
            <v>подпись</v>
          </cell>
        </row>
        <row r="60">
          <cell r="A60" t="str">
            <v>Место для печати</v>
          </cell>
        </row>
      </sheetData>
      <sheetData sheetId="3">
        <row r="19">
          <cell r="H19">
            <v>25467548</v>
          </cell>
        </row>
        <row r="21">
          <cell r="H21">
            <v>-31275846</v>
          </cell>
        </row>
        <row r="22">
          <cell r="H22">
            <v>-8826419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3"/>
      <sheetName val="Лист1"/>
      <sheetName val="Лист2"/>
    </sheetNames>
    <sheetDataSet>
      <sheetData sheetId="0">
        <row r="12">
          <cell r="T12">
            <v>67293981</v>
          </cell>
        </row>
        <row r="22">
          <cell r="T22">
            <v>-41519617</v>
          </cell>
        </row>
        <row r="28">
          <cell r="T28">
            <v>22754</v>
          </cell>
        </row>
        <row r="34">
          <cell r="T34">
            <v>-298144</v>
          </cell>
        </row>
        <row r="38">
          <cell r="T38">
            <v>1108562</v>
          </cell>
        </row>
        <row r="42">
          <cell r="T42">
            <v>-2472428</v>
          </cell>
        </row>
        <row r="48">
          <cell r="T48">
            <v>-3433496</v>
          </cell>
        </row>
        <row r="55">
          <cell r="T55">
            <v>-1562097</v>
          </cell>
        </row>
        <row r="58">
          <cell r="T58">
            <v>-1251</v>
          </cell>
        </row>
        <row r="65">
          <cell r="T65">
            <v>528</v>
          </cell>
        </row>
        <row r="68">
          <cell r="T68">
            <v>6430204</v>
          </cell>
        </row>
        <row r="73">
          <cell r="T73">
            <v>11063199</v>
          </cell>
        </row>
        <row r="75">
          <cell r="T75">
            <v>-3688813</v>
          </cell>
        </row>
        <row r="84">
          <cell r="T84">
            <v>-15339</v>
          </cell>
        </row>
        <row r="90">
          <cell r="T90">
            <v>-464877</v>
          </cell>
        </row>
        <row r="104">
          <cell r="T104">
            <v>-293690</v>
          </cell>
        </row>
        <row r="110">
          <cell r="T110">
            <v>1132506</v>
          </cell>
        </row>
        <row r="113">
          <cell r="T113">
            <v>-169142</v>
          </cell>
        </row>
        <row r="115">
          <cell r="T115">
            <v>-76422</v>
          </cell>
        </row>
        <row r="123">
          <cell r="T123">
            <v>-7544</v>
          </cell>
        </row>
        <row r="128">
          <cell r="T128">
            <v>-365903872.00111002</v>
          </cell>
        </row>
        <row r="129">
          <cell r="T129">
            <v>188868690</v>
          </cell>
        </row>
        <row r="131">
          <cell r="T131">
            <v>511483</v>
          </cell>
        </row>
        <row r="134">
          <cell r="T134">
            <v>-366783</v>
          </cell>
        </row>
        <row r="143">
          <cell r="T143">
            <v>-180000000</v>
          </cell>
        </row>
        <row r="144">
          <cell r="T144">
            <v>181153662</v>
          </cell>
        </row>
        <row r="145">
          <cell r="T145">
            <v>185404659</v>
          </cell>
        </row>
        <row r="152">
          <cell r="T152">
            <v>-2528131</v>
          </cell>
        </row>
        <row r="159">
          <cell r="T159">
            <v>-33986554</v>
          </cell>
        </row>
        <row r="163">
          <cell r="T163">
            <v>38519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3"/>
  <sheetViews>
    <sheetView tabSelected="1" topLeftCell="A19" zoomScale="85" zoomScaleNormal="85" workbookViewId="0">
      <selection activeCell="N47" sqref="N47"/>
    </sheetView>
  </sheetViews>
  <sheetFormatPr defaultRowHeight="15" x14ac:dyDescent="0.25"/>
  <cols>
    <col min="1" max="1" width="21.5703125" customWidth="1"/>
    <col min="2" max="2" width="24.42578125" customWidth="1"/>
    <col min="3" max="3" width="27.42578125" customWidth="1"/>
    <col min="5" max="6" width="21.5703125" style="41" customWidth="1"/>
    <col min="7" max="7" width="15.42578125" bestFit="1" customWidth="1"/>
    <col min="8" max="8" width="10.28515625" bestFit="1" customWidth="1"/>
  </cols>
  <sheetData>
    <row r="3" spans="1:9" x14ac:dyDescent="0.25">
      <c r="A3" s="99" t="s">
        <v>89</v>
      </c>
      <c r="B3" s="99"/>
      <c r="C3" s="99"/>
      <c r="D3" s="99"/>
      <c r="E3" s="99"/>
      <c r="F3" s="99"/>
      <c r="G3" s="6"/>
      <c r="H3" s="6"/>
      <c r="I3" s="6"/>
    </row>
    <row r="4" spans="1:9" ht="15" customHeight="1" x14ac:dyDescent="0.25">
      <c r="A4" s="106" t="s">
        <v>117</v>
      </c>
      <c r="B4" s="106"/>
      <c r="C4" s="106"/>
      <c r="D4" s="106"/>
      <c r="E4" s="106"/>
      <c r="F4" s="106"/>
      <c r="G4" s="7"/>
      <c r="H4" s="7"/>
      <c r="I4" s="5"/>
    </row>
    <row r="5" spans="1:9" x14ac:dyDescent="0.25">
      <c r="F5" s="37" t="s">
        <v>30</v>
      </c>
    </row>
    <row r="6" spans="1:9" ht="63.75" x14ac:dyDescent="0.25">
      <c r="A6" s="96" t="s">
        <v>81</v>
      </c>
      <c r="B6" s="96"/>
      <c r="C6" s="96"/>
      <c r="D6" s="2" t="s">
        <v>0</v>
      </c>
      <c r="E6" s="38" t="s">
        <v>118</v>
      </c>
      <c r="F6" s="38" t="s">
        <v>107</v>
      </c>
    </row>
    <row r="7" spans="1:9" x14ac:dyDescent="0.25">
      <c r="A7" s="100">
        <v>1</v>
      </c>
      <c r="B7" s="101"/>
      <c r="C7" s="102"/>
      <c r="D7" s="2">
        <v>2</v>
      </c>
      <c r="E7" s="38">
        <v>3</v>
      </c>
      <c r="F7" s="38">
        <v>4</v>
      </c>
    </row>
    <row r="8" spans="1:9" x14ac:dyDescent="0.25">
      <c r="A8" s="97" t="s">
        <v>1</v>
      </c>
      <c r="B8" s="97"/>
      <c r="C8" s="97"/>
      <c r="D8" s="4"/>
      <c r="E8" s="45"/>
      <c r="F8" s="39"/>
    </row>
    <row r="9" spans="1:9" x14ac:dyDescent="0.25">
      <c r="A9" s="95" t="s">
        <v>2</v>
      </c>
      <c r="B9" s="95"/>
      <c r="C9" s="95"/>
      <c r="D9" s="4">
        <v>9</v>
      </c>
      <c r="E9" s="40">
        <f>'[1]01.10.2024'!$N$6</f>
        <v>313226906</v>
      </c>
      <c r="F9" s="40">
        <f>[2]Ф1!F6</f>
        <v>305418549</v>
      </c>
      <c r="I9" s="36"/>
    </row>
    <row r="10" spans="1:9" x14ac:dyDescent="0.25">
      <c r="A10" s="95" t="s">
        <v>95</v>
      </c>
      <c r="B10" s="95"/>
      <c r="C10" s="95"/>
      <c r="D10" s="4">
        <v>10</v>
      </c>
      <c r="E10" s="40">
        <f>'[1]01.10.2024'!$N$106-1</f>
        <v>70373684</v>
      </c>
      <c r="F10" s="40">
        <f>[2]Ф1!F7</f>
        <v>69064444</v>
      </c>
      <c r="I10" s="36"/>
    </row>
    <row r="11" spans="1:9" x14ac:dyDescent="0.25">
      <c r="A11" s="95" t="s">
        <v>4</v>
      </c>
      <c r="B11" s="95"/>
      <c r="C11" s="95"/>
      <c r="D11" s="4"/>
      <c r="E11" s="40">
        <v>0</v>
      </c>
      <c r="F11" s="40">
        <f>[2]Ф1!F8</f>
        <v>0</v>
      </c>
      <c r="I11" s="36"/>
    </row>
    <row r="12" spans="1:9" ht="25.5" customHeight="1" x14ac:dyDescent="0.25">
      <c r="A12" s="95" t="s">
        <v>99</v>
      </c>
      <c r="B12" s="95"/>
      <c r="C12" s="95"/>
      <c r="D12" s="4"/>
      <c r="E12" s="41">
        <v>0</v>
      </c>
      <c r="F12" s="40">
        <f>[2]Ф1!F9</f>
        <v>0</v>
      </c>
      <c r="I12" s="36"/>
    </row>
    <row r="13" spans="1:9" x14ac:dyDescent="0.25">
      <c r="A13" s="95" t="s">
        <v>100</v>
      </c>
      <c r="B13" s="95"/>
      <c r="C13" s="95"/>
      <c r="D13" s="4">
        <v>11</v>
      </c>
      <c r="E13" s="40">
        <f>'[1]01.10.2024'!$N$121</f>
        <v>895271730</v>
      </c>
      <c r="F13" s="40">
        <f>[2]Ф1!F10</f>
        <v>834169819</v>
      </c>
      <c r="I13" s="36"/>
    </row>
    <row r="14" spans="1:9" ht="27" customHeight="1" x14ac:dyDescent="0.25">
      <c r="A14" s="95" t="s">
        <v>5</v>
      </c>
      <c r="B14" s="95"/>
      <c r="C14" s="95"/>
      <c r="D14" s="4">
        <v>12</v>
      </c>
      <c r="E14" s="41">
        <v>0</v>
      </c>
      <c r="F14" s="40">
        <f>[2]Ф1!F11</f>
        <v>0</v>
      </c>
      <c r="I14" s="36"/>
    </row>
    <row r="15" spans="1:9" ht="24" customHeight="1" x14ac:dyDescent="0.25">
      <c r="A15" s="103" t="s">
        <v>99</v>
      </c>
      <c r="B15" s="104"/>
      <c r="C15" s="105"/>
      <c r="D15" s="4"/>
      <c r="E15" s="40">
        <f>'[1]01.10.2024'!$N$1063</f>
        <v>13170421</v>
      </c>
      <c r="F15" s="40">
        <f>[2]Ф1!F12</f>
        <v>11028026</v>
      </c>
      <c r="G15" s="70"/>
      <c r="I15" s="36"/>
    </row>
    <row r="16" spans="1:9" x14ac:dyDescent="0.25">
      <c r="A16" s="103" t="s">
        <v>100</v>
      </c>
      <c r="B16" s="104"/>
      <c r="C16" s="105"/>
      <c r="D16" s="4"/>
      <c r="E16" s="40">
        <f>'[1]01.10.2024'!$N$1036+'[1]01.10.2024'!$N$1070+1</f>
        <v>77197836</v>
      </c>
      <c r="F16" s="40">
        <f>[2]Ф1!F13</f>
        <v>105681741</v>
      </c>
      <c r="I16" s="36"/>
    </row>
    <row r="17" spans="1:9" x14ac:dyDescent="0.25">
      <c r="A17" s="95" t="s">
        <v>6</v>
      </c>
      <c r="B17" s="95"/>
      <c r="C17" s="95"/>
      <c r="D17" s="4">
        <v>13</v>
      </c>
      <c r="E17" s="40">
        <f>'[1]01.10.2024'!$N$1089</f>
        <v>130884846</v>
      </c>
      <c r="F17" s="40">
        <f>[2]Ф1!F14</f>
        <v>138842941</v>
      </c>
      <c r="I17" s="36"/>
    </row>
    <row r="18" spans="1:9" x14ac:dyDescent="0.25">
      <c r="A18" s="95" t="s">
        <v>7</v>
      </c>
      <c r="B18" s="95"/>
      <c r="C18" s="95"/>
      <c r="D18" s="4"/>
      <c r="E18" s="40">
        <f>'[1]01.10.2024'!$N$1120</f>
        <v>10535538</v>
      </c>
      <c r="F18" s="40">
        <f>[2]Ф1!F15</f>
        <v>9603172</v>
      </c>
      <c r="I18" s="36"/>
    </row>
    <row r="19" spans="1:9" x14ac:dyDescent="0.25">
      <c r="A19" s="98" t="s">
        <v>8</v>
      </c>
      <c r="B19" s="98"/>
      <c r="C19" s="98"/>
      <c r="D19" s="4"/>
      <c r="E19" s="40">
        <f>'[1]01.10.2024'!$N$1351</f>
        <v>830532</v>
      </c>
      <c r="F19" s="40">
        <f>[2]Ф1!F16</f>
        <v>300471</v>
      </c>
      <c r="I19" s="36"/>
    </row>
    <row r="20" spans="1:9" x14ac:dyDescent="0.25">
      <c r="A20" s="95" t="s">
        <v>9</v>
      </c>
      <c r="B20" s="95"/>
      <c r="C20" s="95"/>
      <c r="D20" s="4"/>
      <c r="E20" s="40">
        <f>'[1]01.10.2024'!$N$1168</f>
        <v>3705310</v>
      </c>
      <c r="F20" s="40">
        <f>[2]Ф1!F17</f>
        <v>3795842</v>
      </c>
      <c r="I20" s="36"/>
    </row>
    <row r="21" spans="1:9" x14ac:dyDescent="0.25">
      <c r="A21" s="95" t="s">
        <v>10</v>
      </c>
      <c r="B21" s="95"/>
      <c r="C21" s="95"/>
      <c r="D21" s="4"/>
      <c r="E21" s="40">
        <f>'[1]01.10.2024'!$N$1131</f>
        <v>6123150</v>
      </c>
      <c r="F21" s="40">
        <f>[2]Ф1!F18</f>
        <v>6586560</v>
      </c>
      <c r="I21" s="36"/>
    </row>
    <row r="22" spans="1:9" x14ac:dyDescent="0.25">
      <c r="A22" s="95" t="s">
        <v>112</v>
      </c>
      <c r="B22" s="95"/>
      <c r="C22" s="95"/>
      <c r="D22" s="4"/>
      <c r="E22" s="40">
        <f>'[1]01.10.2024'!$N$1712</f>
        <v>0</v>
      </c>
      <c r="F22" s="40">
        <f>[2]Ф1!F19</f>
        <v>125389</v>
      </c>
      <c r="I22" s="36"/>
    </row>
    <row r="23" spans="1:9" x14ac:dyDescent="0.25">
      <c r="A23" s="95" t="s">
        <v>11</v>
      </c>
      <c r="B23" s="95"/>
      <c r="C23" s="95"/>
      <c r="D23" s="4"/>
      <c r="E23" s="40">
        <f>'[1]01.10.2024'!$N$1254+'[1]01.10.2024'!$N$1350-'[1]01.10.2024'!$N$1351+'[1]01.10.2024'!$N$1143</f>
        <v>64368771</v>
      </c>
      <c r="F23" s="40">
        <f>[2]Ф1!F20</f>
        <v>1578063</v>
      </c>
      <c r="G23" s="70"/>
      <c r="I23" s="36"/>
    </row>
    <row r="24" spans="1:9" x14ac:dyDescent="0.25">
      <c r="A24" s="97" t="s">
        <v>12</v>
      </c>
      <c r="B24" s="97"/>
      <c r="C24" s="97"/>
      <c r="D24" s="4"/>
      <c r="E24" s="88">
        <f>SUM(E9:E23)</f>
        <v>1585688724</v>
      </c>
      <c r="F24" s="88">
        <f>SUM(F9:F23)</f>
        <v>1486195017</v>
      </c>
      <c r="H24" s="70"/>
      <c r="I24" s="36"/>
    </row>
    <row r="25" spans="1:9" x14ac:dyDescent="0.25">
      <c r="A25" s="97" t="s">
        <v>13</v>
      </c>
      <c r="B25" s="97"/>
      <c r="C25" s="97"/>
      <c r="D25" s="4"/>
      <c r="E25" s="89"/>
      <c r="F25" s="90"/>
      <c r="I25" s="36"/>
    </row>
    <row r="26" spans="1:9" x14ac:dyDescent="0.25">
      <c r="A26" s="95" t="s">
        <v>101</v>
      </c>
      <c r="B26" s="95"/>
      <c r="C26" s="95"/>
      <c r="D26" s="4">
        <v>14</v>
      </c>
      <c r="E26" s="40">
        <f>'[1]01.10.2024'!$N$1718</f>
        <v>755782721</v>
      </c>
      <c r="F26" s="40">
        <f>[2]Ф1!F23</f>
        <v>807471686</v>
      </c>
      <c r="I26" s="36"/>
    </row>
    <row r="27" spans="1:9" x14ac:dyDescent="0.25">
      <c r="A27" s="95" t="s">
        <v>14</v>
      </c>
      <c r="B27" s="95"/>
      <c r="C27" s="95"/>
      <c r="D27" s="4">
        <v>15</v>
      </c>
      <c r="E27" s="40">
        <f>'[1]01.10.2024'!$N$1862</f>
        <v>308263267</v>
      </c>
      <c r="F27" s="40">
        <f>[2]Ф1!F24</f>
        <v>244788616</v>
      </c>
      <c r="I27" s="36"/>
    </row>
    <row r="28" spans="1:9" x14ac:dyDescent="0.25">
      <c r="A28" s="95" t="s">
        <v>15</v>
      </c>
      <c r="B28" s="95"/>
      <c r="C28" s="95"/>
      <c r="D28" s="4">
        <v>16</v>
      </c>
      <c r="E28" s="40">
        <f>'[1]01.10.2024'!$N$2054+'[1]01.10.2024'!$N$2065</f>
        <v>243869113</v>
      </c>
      <c r="F28" s="40">
        <f>[2]Ф1!F25</f>
        <v>138309016</v>
      </c>
      <c r="I28" s="36"/>
    </row>
    <row r="29" spans="1:9" x14ac:dyDescent="0.25">
      <c r="A29" s="95" t="s">
        <v>16</v>
      </c>
      <c r="B29" s="95"/>
      <c r="C29" s="95"/>
      <c r="D29" s="4">
        <v>17</v>
      </c>
      <c r="E29" s="40">
        <f>'[1]01.10.2024'!$N$1954</f>
        <v>16949669</v>
      </c>
      <c r="F29" s="40">
        <f>[2]Ф1!F26</f>
        <v>24922025</v>
      </c>
      <c r="I29" s="36"/>
    </row>
    <row r="30" spans="1:9" x14ac:dyDescent="0.25">
      <c r="A30" s="95" t="s">
        <v>113</v>
      </c>
      <c r="B30" s="95"/>
      <c r="C30" s="95"/>
      <c r="D30" s="4"/>
      <c r="E30" s="40">
        <f>'[1]01.10.2024'!$N$1996</f>
        <v>0</v>
      </c>
      <c r="F30" s="40">
        <f>[2]Ф1!F27</f>
        <v>4691377</v>
      </c>
      <c r="I30" s="36"/>
    </row>
    <row r="31" spans="1:9" x14ac:dyDescent="0.25">
      <c r="A31" s="95" t="s">
        <v>17</v>
      </c>
      <c r="B31" s="95"/>
      <c r="C31" s="95"/>
      <c r="D31" s="4"/>
      <c r="E31" s="40">
        <f>'[1]01.10.2024'!$N$1952</f>
        <v>12423643</v>
      </c>
      <c r="F31" s="40">
        <f>[2]Ф1!F28</f>
        <v>14330174</v>
      </c>
      <c r="I31" s="36"/>
    </row>
    <row r="32" spans="1:9" x14ac:dyDescent="0.25">
      <c r="A32" s="95" t="s">
        <v>18</v>
      </c>
      <c r="B32" s="95"/>
      <c r="C32" s="95"/>
      <c r="D32" s="4"/>
      <c r="E32" s="40">
        <f>'[1]01.10.2024'!$N$1960+'[1]01.10.2024'!$N$2013-'[1]01.10.2024'!$N$2054-'[1]01.10.2024'!$N$2065-E30</f>
        <v>5457905</v>
      </c>
      <c r="F32" s="40">
        <f>[2]Ф1!F29</f>
        <v>6757273</v>
      </c>
      <c r="I32" s="36"/>
    </row>
    <row r="33" spans="1:9" x14ac:dyDescent="0.25">
      <c r="A33" s="97" t="s">
        <v>19</v>
      </c>
      <c r="B33" s="97"/>
      <c r="C33" s="97"/>
      <c r="D33" s="4"/>
      <c r="E33" s="88">
        <f>SUM(E26:E32)</f>
        <v>1342746318</v>
      </c>
      <c r="F33" s="88">
        <f>SUM(F26:F32)</f>
        <v>1241270167</v>
      </c>
      <c r="H33" s="70"/>
      <c r="I33" s="36"/>
    </row>
    <row r="34" spans="1:9" x14ac:dyDescent="0.25">
      <c r="A34" s="97" t="s">
        <v>20</v>
      </c>
      <c r="B34" s="97"/>
      <c r="C34" s="97"/>
      <c r="D34" s="4">
        <v>18</v>
      </c>
      <c r="E34" s="90"/>
      <c r="F34" s="90"/>
      <c r="I34" s="36"/>
    </row>
    <row r="35" spans="1:9" x14ac:dyDescent="0.25">
      <c r="A35" s="95" t="s">
        <v>21</v>
      </c>
      <c r="B35" s="95"/>
      <c r="C35" s="95"/>
      <c r="D35" s="4"/>
      <c r="E35" s="40">
        <v>193432016</v>
      </c>
      <c r="F35" s="40">
        <f>[2]Ф1!F32</f>
        <v>193432016</v>
      </c>
      <c r="I35" s="36"/>
    </row>
    <row r="36" spans="1:9" x14ac:dyDescent="0.25">
      <c r="A36" s="95" t="s">
        <v>22</v>
      </c>
      <c r="B36" s="95"/>
      <c r="C36" s="95"/>
      <c r="D36" s="4"/>
      <c r="E36" s="40">
        <v>12661</v>
      </c>
      <c r="F36" s="40">
        <f>[2]Ф1!F33</f>
        <v>12661</v>
      </c>
      <c r="I36" s="36"/>
    </row>
    <row r="37" spans="1:9" x14ac:dyDescent="0.25">
      <c r="A37" s="95" t="s">
        <v>23</v>
      </c>
      <c r="B37" s="95"/>
      <c r="C37" s="95"/>
      <c r="D37" s="4"/>
      <c r="E37" s="40">
        <v>-2597522</v>
      </c>
      <c r="F37" s="40">
        <f>[2]Ф1!F34</f>
        <v>-2597522</v>
      </c>
      <c r="I37" s="36"/>
    </row>
    <row r="38" spans="1:9" x14ac:dyDescent="0.25">
      <c r="A38" s="95" t="s">
        <v>24</v>
      </c>
      <c r="B38" s="95"/>
      <c r="C38" s="95"/>
      <c r="D38" s="4"/>
      <c r="E38" s="40">
        <v>3389392</v>
      </c>
      <c r="F38" s="40">
        <f>[2]Ф1!F35</f>
        <v>3389392</v>
      </c>
      <c r="I38" s="36"/>
    </row>
    <row r="39" spans="1:9" x14ac:dyDescent="0.25">
      <c r="A39" s="95" t="s">
        <v>25</v>
      </c>
      <c r="B39" s="95"/>
      <c r="C39" s="95"/>
      <c r="D39" s="4"/>
      <c r="E39" s="40">
        <v>2734447</v>
      </c>
      <c r="F39" s="40">
        <f>[2]Ф1!F36</f>
        <v>2734447</v>
      </c>
      <c r="I39" s="36"/>
    </row>
    <row r="40" spans="1:9" x14ac:dyDescent="0.25">
      <c r="A40" s="95" t="s">
        <v>26</v>
      </c>
      <c r="B40" s="95"/>
      <c r="C40" s="95"/>
      <c r="D40" s="4"/>
      <c r="E40" s="40">
        <f>'[1]01.10.2024'!$N$2362+[3]Ф1!$E$76</f>
        <v>45971412</v>
      </c>
      <c r="F40" s="40">
        <f>[2]Ф1!F37</f>
        <v>47953856</v>
      </c>
      <c r="I40" s="36"/>
    </row>
    <row r="41" spans="1:9" x14ac:dyDescent="0.25">
      <c r="A41" s="97" t="s">
        <v>27</v>
      </c>
      <c r="B41" s="97"/>
      <c r="C41" s="97"/>
      <c r="D41" s="4"/>
      <c r="E41" s="88">
        <f>SUM(E35:E40)</f>
        <v>242942406</v>
      </c>
      <c r="F41" s="88">
        <f>SUM(F35:F40)</f>
        <v>244924850</v>
      </c>
      <c r="H41" s="70"/>
      <c r="I41" s="36"/>
    </row>
    <row r="42" spans="1:9" x14ac:dyDescent="0.25">
      <c r="A42" s="97" t="s">
        <v>28</v>
      </c>
      <c r="B42" s="97"/>
      <c r="C42" s="97"/>
      <c r="D42" s="4"/>
      <c r="E42" s="88">
        <f>E33+E41</f>
        <v>1585688724</v>
      </c>
      <c r="F42" s="88">
        <f>F33+F41</f>
        <v>1486195017</v>
      </c>
      <c r="H42" s="70"/>
      <c r="I42" s="36"/>
    </row>
    <row r="43" spans="1:9" x14ac:dyDescent="0.25">
      <c r="A43" s="97" t="s">
        <v>29</v>
      </c>
      <c r="B43" s="97"/>
      <c r="C43" s="97"/>
      <c r="D43" s="4"/>
      <c r="E43" s="46">
        <f>[4]Лист1!$E$10</f>
        <v>13752.199844115672</v>
      </c>
      <c r="F43" s="46">
        <v>13868</v>
      </c>
      <c r="I43" s="36"/>
    </row>
    <row r="44" spans="1:9" x14ac:dyDescent="0.25">
      <c r="E44" s="47"/>
    </row>
    <row r="45" spans="1:9" x14ac:dyDescent="0.25">
      <c r="F45" s="47"/>
    </row>
    <row r="46" spans="1:9" x14ac:dyDescent="0.25">
      <c r="A46" s="94" t="s">
        <v>96</v>
      </c>
      <c r="B46" s="94"/>
      <c r="C46" s="8" t="s">
        <v>77</v>
      </c>
      <c r="D46" s="9" t="s">
        <v>79</v>
      </c>
      <c r="F46" s="47"/>
      <c r="G46" s="5"/>
    </row>
    <row r="47" spans="1:9" x14ac:dyDescent="0.25">
      <c r="A47" s="12"/>
      <c r="B47" s="12"/>
      <c r="C47" s="8" t="s">
        <v>78</v>
      </c>
      <c r="D47" s="9"/>
      <c r="G47" s="5"/>
    </row>
    <row r="49" spans="1:7" x14ac:dyDescent="0.25">
      <c r="A49" s="11" t="s">
        <v>97</v>
      </c>
      <c r="B49" s="11"/>
      <c r="C49" s="8" t="s">
        <v>77</v>
      </c>
      <c r="D49" s="9" t="s">
        <v>98</v>
      </c>
      <c r="G49" s="10"/>
    </row>
    <row r="50" spans="1:7" x14ac:dyDescent="0.25">
      <c r="A50" s="11"/>
      <c r="B50" s="11"/>
      <c r="C50" s="8" t="s">
        <v>78</v>
      </c>
      <c r="D50" s="9"/>
      <c r="G50" s="11"/>
    </row>
    <row r="51" spans="1:7" x14ac:dyDescent="0.25">
      <c r="A51" s="11"/>
      <c r="B51" s="11"/>
      <c r="C51" s="11"/>
      <c r="D51" s="9"/>
      <c r="G51" s="11"/>
    </row>
    <row r="52" spans="1:7" x14ac:dyDescent="0.25">
      <c r="A52" s="13"/>
      <c r="B52" s="12"/>
      <c r="C52" s="14"/>
      <c r="D52" s="9"/>
      <c r="G52" s="5"/>
    </row>
    <row r="53" spans="1:7" x14ac:dyDescent="0.25">
      <c r="A53" s="13" t="s">
        <v>80</v>
      </c>
      <c r="B53" s="12"/>
      <c r="C53" s="15"/>
      <c r="D53" s="16"/>
      <c r="G53" s="5"/>
    </row>
  </sheetData>
  <mergeCells count="41">
    <mergeCell ref="A41:C41"/>
    <mergeCell ref="A42:C42"/>
    <mergeCell ref="A22:C22"/>
    <mergeCell ref="A23:C23"/>
    <mergeCell ref="A24:C24"/>
    <mergeCell ref="A25:C25"/>
    <mergeCell ref="A26:C26"/>
    <mergeCell ref="A30:C30"/>
    <mergeCell ref="A38:C38"/>
    <mergeCell ref="A39:C39"/>
    <mergeCell ref="A27:C27"/>
    <mergeCell ref="A28:C28"/>
    <mergeCell ref="A29:C29"/>
    <mergeCell ref="A31:C31"/>
    <mergeCell ref="A32:C32"/>
    <mergeCell ref="A3:F3"/>
    <mergeCell ref="A7:C7"/>
    <mergeCell ref="A34:C34"/>
    <mergeCell ref="A35:C35"/>
    <mergeCell ref="A40:C40"/>
    <mergeCell ref="A21:C21"/>
    <mergeCell ref="A15:C15"/>
    <mergeCell ref="A16:C16"/>
    <mergeCell ref="A4:F4"/>
    <mergeCell ref="A33:C33"/>
    <mergeCell ref="A46:B46"/>
    <mergeCell ref="A20:C20"/>
    <mergeCell ref="A6:C6"/>
    <mergeCell ref="A8:C8"/>
    <mergeCell ref="A9:C9"/>
    <mergeCell ref="A10:C10"/>
    <mergeCell ref="A11:C11"/>
    <mergeCell ref="A12:C12"/>
    <mergeCell ref="A13:C13"/>
    <mergeCell ref="A14:C14"/>
    <mergeCell ref="A17:C17"/>
    <mergeCell ref="A18:C18"/>
    <mergeCell ref="A19:C19"/>
    <mergeCell ref="A43:C43"/>
    <mergeCell ref="A37:C37"/>
    <mergeCell ref="A36:C36"/>
  </mergeCells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zoomScaleNormal="100" workbookViewId="0">
      <selection activeCell="G8" sqref="G8"/>
    </sheetView>
  </sheetViews>
  <sheetFormatPr defaultRowHeight="15" x14ac:dyDescent="0.25"/>
  <cols>
    <col min="1" max="1" width="20.42578125" customWidth="1"/>
    <col min="2" max="2" width="13.28515625" customWidth="1"/>
    <col min="3" max="3" width="28.7109375" customWidth="1"/>
    <col min="4" max="4" width="8.5703125" customWidth="1"/>
    <col min="5" max="6" width="18.7109375" style="41" customWidth="1"/>
    <col min="7" max="7" width="12.42578125" customWidth="1"/>
    <col min="8" max="8" width="10.7109375" bestFit="1" customWidth="1"/>
  </cols>
  <sheetData>
    <row r="3" spans="1:9" x14ac:dyDescent="0.25">
      <c r="A3" s="110" t="s">
        <v>90</v>
      </c>
      <c r="B3" s="110"/>
      <c r="C3" s="110"/>
      <c r="D3" s="110"/>
      <c r="E3" s="110"/>
      <c r="F3" s="110"/>
      <c r="G3" s="19"/>
      <c r="H3" s="19"/>
    </row>
    <row r="4" spans="1:9" x14ac:dyDescent="0.25">
      <c r="A4" s="110" t="s">
        <v>126</v>
      </c>
      <c r="B4" s="110"/>
      <c r="C4" s="110"/>
      <c r="D4" s="110"/>
      <c r="E4" s="110"/>
      <c r="F4" s="110"/>
      <c r="G4" s="19"/>
      <c r="H4" s="19"/>
    </row>
    <row r="5" spans="1:9" x14ac:dyDescent="0.25">
      <c r="C5" s="18"/>
      <c r="D5" s="18"/>
      <c r="E5" s="50"/>
      <c r="F5" s="42"/>
      <c r="G5" s="18"/>
      <c r="H5" s="18"/>
    </row>
    <row r="6" spans="1:9" x14ac:dyDescent="0.25">
      <c r="F6" s="37" t="s">
        <v>30</v>
      </c>
    </row>
    <row r="7" spans="1:9" ht="51" x14ac:dyDescent="0.25">
      <c r="A7" s="96" t="s">
        <v>81</v>
      </c>
      <c r="B7" s="96"/>
      <c r="C7" s="96"/>
      <c r="D7" s="3" t="s">
        <v>0</v>
      </c>
      <c r="E7" s="48" t="s">
        <v>119</v>
      </c>
      <c r="F7" s="48" t="s">
        <v>120</v>
      </c>
      <c r="G7" s="1"/>
    </row>
    <row r="8" spans="1:9" x14ac:dyDescent="0.25">
      <c r="A8" s="107">
        <v>1</v>
      </c>
      <c r="B8" s="108"/>
      <c r="C8" s="109"/>
      <c r="D8" s="2">
        <v>2</v>
      </c>
      <c r="E8" s="38">
        <v>3</v>
      </c>
      <c r="F8" s="38">
        <v>4</v>
      </c>
      <c r="G8" s="17"/>
    </row>
    <row r="9" spans="1:9" ht="25.5" customHeight="1" x14ac:dyDescent="0.25">
      <c r="A9" s="95" t="s">
        <v>102</v>
      </c>
      <c r="B9" s="95"/>
      <c r="C9" s="95"/>
      <c r="D9" s="4"/>
      <c r="E9" s="40">
        <f>'[1]01.10.2024'!$N$2375+'[1]01.10.2024'!$N$2390+'[1]01.10.2024'!$N$2406+'[1]01.10.2024'!$N$2415+'[1]01.10.2024'!$N$2420+'[1]01.10.2024'!$N$2869+'[1]01.10.2024'!$N$2871</f>
        <v>110862267</v>
      </c>
      <c r="F9" s="40">
        <v>113794671</v>
      </c>
      <c r="G9" s="91"/>
      <c r="I9" s="35"/>
    </row>
    <row r="10" spans="1:9" x14ac:dyDescent="0.25">
      <c r="A10" s="95" t="s">
        <v>31</v>
      </c>
      <c r="B10" s="95"/>
      <c r="C10" s="95"/>
      <c r="D10" s="4"/>
      <c r="E10" s="40">
        <f>'[1]01.10.2024'!$N$2398+'[1]01.10.2024'!$N$3101</f>
        <v>9357229</v>
      </c>
      <c r="F10" s="40">
        <v>9811186</v>
      </c>
      <c r="G10" s="91"/>
      <c r="I10" s="35"/>
    </row>
    <row r="11" spans="1:9" x14ac:dyDescent="0.25">
      <c r="A11" s="95" t="s">
        <v>32</v>
      </c>
      <c r="B11" s="95"/>
      <c r="C11" s="95"/>
      <c r="D11" s="4"/>
      <c r="E11" s="40">
        <f>'[1]01.10.2024'!$N$2877</f>
        <v>-78767027</v>
      </c>
      <c r="F11" s="40">
        <v>-79854925</v>
      </c>
      <c r="G11" s="91"/>
      <c r="I11" s="35"/>
    </row>
    <row r="12" spans="1:9" x14ac:dyDescent="0.25">
      <c r="A12" s="97" t="s">
        <v>33</v>
      </c>
      <c r="B12" s="97"/>
      <c r="C12" s="97"/>
      <c r="D12" s="4">
        <v>4</v>
      </c>
      <c r="E12" s="46">
        <f>SUM(E9:E11)</f>
        <v>41452469</v>
      </c>
      <c r="F12" s="46">
        <f>SUM(F9:F11)</f>
        <v>43750932</v>
      </c>
      <c r="G12" s="91"/>
      <c r="I12" s="35"/>
    </row>
    <row r="13" spans="1:9" x14ac:dyDescent="0.25">
      <c r="A13" s="95" t="s">
        <v>34</v>
      </c>
      <c r="B13" s="95"/>
      <c r="C13" s="95"/>
      <c r="D13" s="4"/>
      <c r="E13" s="40">
        <f>'[1]01.10.2024'!$N$2971</f>
        <v>21005</v>
      </c>
      <c r="F13" s="40">
        <v>58820</v>
      </c>
      <c r="G13" s="91"/>
      <c r="I13" s="35"/>
    </row>
    <row r="14" spans="1:9" x14ac:dyDescent="0.25">
      <c r="A14" s="95" t="s">
        <v>35</v>
      </c>
      <c r="B14" s="95"/>
      <c r="C14" s="95"/>
      <c r="D14" s="4"/>
      <c r="E14" s="40">
        <f>'[1]01.10.2024'!$N$2984</f>
        <v>-320497</v>
      </c>
      <c r="F14" s="40">
        <v>-301181</v>
      </c>
      <c r="G14" s="91"/>
      <c r="I14" s="35"/>
    </row>
    <row r="15" spans="1:9" x14ac:dyDescent="0.25">
      <c r="A15" s="97" t="s">
        <v>36</v>
      </c>
      <c r="B15" s="97"/>
      <c r="C15" s="97"/>
      <c r="D15" s="4"/>
      <c r="E15" s="46">
        <f>SUM(E13:E14)</f>
        <v>-299492</v>
      </c>
      <c r="F15" s="46">
        <f>SUM(F13:F14)</f>
        <v>-242361</v>
      </c>
      <c r="G15" s="91"/>
      <c r="I15" s="35"/>
    </row>
    <row r="16" spans="1:9" x14ac:dyDescent="0.25">
      <c r="A16" s="95" t="s">
        <v>37</v>
      </c>
      <c r="B16" s="95"/>
      <c r="C16" s="95"/>
      <c r="D16" s="4"/>
      <c r="E16" s="40">
        <f>'[1]01.10.2024'!$N$3026+'[1]01.10.2024'!$N$3079</f>
        <v>-245659</v>
      </c>
      <c r="F16" s="40">
        <f>[5]Ф2!$E$16</f>
        <v>5480928</v>
      </c>
      <c r="G16" s="91"/>
      <c r="I16" s="35"/>
    </row>
    <row r="17" spans="1:9" ht="40.5" customHeight="1" x14ac:dyDescent="0.25">
      <c r="A17" s="95" t="s">
        <v>114</v>
      </c>
      <c r="B17" s="95"/>
      <c r="C17" s="95"/>
      <c r="D17" s="4"/>
      <c r="E17" s="40">
        <f>'[1]01.10.2024'!$N$3016+'[1]01.10.2024'!$N$3082+'[1]01.10.2024'!$N$3072</f>
        <v>1945571</v>
      </c>
      <c r="F17" s="40">
        <f>[5]Ф2!$E$17</f>
        <v>1863758</v>
      </c>
      <c r="G17" s="91"/>
      <c r="I17" s="35"/>
    </row>
    <row r="18" spans="1:9" s="73" customFormat="1" ht="26.25" customHeight="1" x14ac:dyDescent="0.25">
      <c r="A18" s="114" t="s">
        <v>124</v>
      </c>
      <c r="B18" s="114"/>
      <c r="C18" s="114"/>
      <c r="D18" s="72"/>
      <c r="E18" s="40">
        <f>'[1]01.10.2024'!$N$3023</f>
        <v>0</v>
      </c>
      <c r="F18" s="40">
        <f>[5]Ф2!$E$18</f>
        <v>-250354</v>
      </c>
      <c r="G18" s="91"/>
      <c r="I18" s="74"/>
    </row>
    <row r="19" spans="1:9" x14ac:dyDescent="0.25">
      <c r="A19" s="95" t="s">
        <v>115</v>
      </c>
      <c r="B19" s="95"/>
      <c r="C19" s="95"/>
      <c r="D19" s="4">
        <v>6</v>
      </c>
      <c r="E19" s="40">
        <f>'[1]01.10.2024'!$N$3087</f>
        <v>1082015</v>
      </c>
      <c r="F19" s="40">
        <f>[5]Ф2!$E$19</f>
        <v>1255149</v>
      </c>
      <c r="G19" s="91"/>
      <c r="I19" s="35"/>
    </row>
    <row r="20" spans="1:9" ht="26.25" customHeight="1" x14ac:dyDescent="0.25">
      <c r="A20" s="111" t="s">
        <v>123</v>
      </c>
      <c r="B20" s="112"/>
      <c r="C20" s="113"/>
      <c r="D20" s="4"/>
      <c r="E20" s="40">
        <f>'[1]01.10.2024'!$N$3090</f>
        <v>7901496</v>
      </c>
      <c r="F20" s="40">
        <f>[5]Ф2!$E$20</f>
        <v>-10159706</v>
      </c>
      <c r="G20" s="91"/>
      <c r="I20" s="35"/>
    </row>
    <row r="21" spans="1:9" ht="15" customHeight="1" x14ac:dyDescent="0.25">
      <c r="A21" s="95" t="s">
        <v>103</v>
      </c>
      <c r="B21" s="95"/>
      <c r="C21" s="95"/>
      <c r="D21" s="4">
        <v>7</v>
      </c>
      <c r="E21" s="40">
        <f>'[1]01.10.2024'!$N$3095-'[1]01.10.2024'!$N$3101</f>
        <v>-21645357</v>
      </c>
      <c r="F21" s="40">
        <f>[5]Ф2!$E$21</f>
        <v>-13967865</v>
      </c>
      <c r="G21" s="91"/>
      <c r="I21" s="35"/>
    </row>
    <row r="22" spans="1:9" ht="25.5" customHeight="1" x14ac:dyDescent="0.25">
      <c r="A22" s="97" t="s">
        <v>38</v>
      </c>
      <c r="B22" s="97"/>
      <c r="C22" s="97"/>
      <c r="D22" s="4"/>
      <c r="E22" s="46">
        <f>SUM(E16:E21)+E12+E15</f>
        <v>30191043</v>
      </c>
      <c r="F22" s="46">
        <f>SUM(F16:F21)+F12+F15</f>
        <v>27730481</v>
      </c>
      <c r="G22" s="91"/>
      <c r="I22" s="35"/>
    </row>
    <row r="23" spans="1:9" ht="25.5" customHeight="1" x14ac:dyDescent="0.25">
      <c r="A23" s="95" t="s">
        <v>116</v>
      </c>
      <c r="B23" s="95"/>
      <c r="C23" s="95"/>
      <c r="D23" s="4">
        <v>5</v>
      </c>
      <c r="E23" s="40">
        <f>'[1]01.10.2024'!$N$3350+1</f>
        <v>-447233</v>
      </c>
      <c r="F23" s="40">
        <f>[5]Ф2!$E$23</f>
        <v>845024</v>
      </c>
      <c r="G23" s="91"/>
      <c r="I23" s="35"/>
    </row>
    <row r="24" spans="1:9" x14ac:dyDescent="0.25">
      <c r="A24" s="95" t="s">
        <v>39</v>
      </c>
      <c r="B24" s="95"/>
      <c r="C24" s="95"/>
      <c r="D24" s="4"/>
      <c r="E24" s="40">
        <f>'[1]01.10.2024'!$N$3737-'[1]01.10.2024'!$N$3764-'[1]01.10.2024'!$N$3767</f>
        <v>-2719723</v>
      </c>
      <c r="F24" s="40">
        <f>[5]Ф2!$E$24</f>
        <v>-2103809</v>
      </c>
      <c r="G24" s="91"/>
      <c r="I24" s="35"/>
    </row>
    <row r="25" spans="1:9" x14ac:dyDescent="0.25">
      <c r="A25" s="95" t="s">
        <v>105</v>
      </c>
      <c r="B25" s="95"/>
      <c r="C25" s="95"/>
      <c r="D25" s="4"/>
      <c r="E25" s="40">
        <f>'[1]01.10.2024'!$N$3736-E24</f>
        <v>-1617886</v>
      </c>
      <c r="F25" s="40">
        <f>[5]Ф2!$E$25</f>
        <v>-1300437</v>
      </c>
      <c r="G25" s="91"/>
      <c r="I25" s="35"/>
    </row>
    <row r="26" spans="1:9" x14ac:dyDescent="0.25">
      <c r="A26" s="97" t="s">
        <v>40</v>
      </c>
      <c r="B26" s="97"/>
      <c r="C26" s="97"/>
      <c r="D26" s="4"/>
      <c r="E26" s="46">
        <f>SUM(E23:E25)+E22</f>
        <v>25406201</v>
      </c>
      <c r="F26" s="46">
        <f>SUM(F23:F25)+F22</f>
        <v>25171259</v>
      </c>
      <c r="G26" s="91"/>
      <c r="I26" s="35"/>
    </row>
    <row r="27" spans="1:9" x14ac:dyDescent="0.25">
      <c r="A27" s="95" t="s">
        <v>104</v>
      </c>
      <c r="B27" s="95"/>
      <c r="C27" s="95"/>
      <c r="D27" s="4">
        <v>8</v>
      </c>
      <c r="E27" s="40">
        <f>'[1]01.10.2024'!$N$4019</f>
        <v>1906532</v>
      </c>
      <c r="F27" s="40">
        <f>[5]Ф2!$E$27</f>
        <v>296289</v>
      </c>
      <c r="G27" s="91"/>
      <c r="I27" s="35"/>
    </row>
    <row r="28" spans="1:9" x14ac:dyDescent="0.25">
      <c r="A28" s="97" t="s">
        <v>41</v>
      </c>
      <c r="B28" s="97"/>
      <c r="C28" s="97"/>
      <c r="D28" s="4"/>
      <c r="E28" s="92">
        <f>E26+E27</f>
        <v>27312733</v>
      </c>
      <c r="F28" s="92">
        <f>F26+F27</f>
        <v>25467548</v>
      </c>
      <c r="G28" s="91"/>
      <c r="I28" s="35"/>
    </row>
    <row r="29" spans="1:9" x14ac:dyDescent="0.25">
      <c r="A29" s="95" t="s">
        <v>42</v>
      </c>
      <c r="B29" s="95"/>
      <c r="C29" s="95"/>
      <c r="D29" s="4" t="s">
        <v>43</v>
      </c>
      <c r="E29" s="40">
        <f>[4]Лист1!$E$30</f>
        <v>1549.1293130937049</v>
      </c>
      <c r="F29" s="93">
        <f>[4]Лист1!$E$37</f>
        <v>1444.4737236446076</v>
      </c>
      <c r="G29" s="91"/>
      <c r="I29" s="35"/>
    </row>
    <row r="31" spans="1:9" x14ac:dyDescent="0.25">
      <c r="E31" s="53"/>
    </row>
    <row r="32" spans="1:9" ht="26.25" customHeight="1" x14ac:dyDescent="0.25">
      <c r="E32" s="53"/>
    </row>
    <row r="33" spans="1:4" x14ac:dyDescent="0.25">
      <c r="A33" s="94" t="s">
        <v>96</v>
      </c>
      <c r="B33" s="94"/>
      <c r="C33" s="8" t="s">
        <v>77</v>
      </c>
      <c r="D33" s="9" t="s">
        <v>79</v>
      </c>
    </row>
    <row r="34" spans="1:4" x14ac:dyDescent="0.25">
      <c r="A34" s="12"/>
      <c r="B34" s="12"/>
      <c r="C34" s="8" t="s">
        <v>78</v>
      </c>
      <c r="D34" s="9"/>
    </row>
    <row r="35" spans="1:4" x14ac:dyDescent="0.25">
      <c r="A35" s="13"/>
      <c r="B35" s="12"/>
      <c r="C35" s="14"/>
      <c r="D35" s="9"/>
    </row>
    <row r="36" spans="1:4" x14ac:dyDescent="0.25">
      <c r="A36" s="11" t="s">
        <v>97</v>
      </c>
      <c r="B36" s="11"/>
      <c r="C36" s="8" t="s">
        <v>77</v>
      </c>
      <c r="D36" s="9" t="s">
        <v>98</v>
      </c>
    </row>
    <row r="37" spans="1:4" x14ac:dyDescent="0.25">
      <c r="A37" s="11"/>
      <c r="B37" s="11"/>
      <c r="C37" s="8" t="s">
        <v>78</v>
      </c>
      <c r="D37" s="9"/>
    </row>
    <row r="38" spans="1:4" x14ac:dyDescent="0.25">
      <c r="A38" s="11"/>
      <c r="B38" s="11"/>
      <c r="C38" s="11"/>
      <c r="D38" s="9"/>
    </row>
    <row r="39" spans="1:4" x14ac:dyDescent="0.25">
      <c r="A39" s="13" t="s">
        <v>80</v>
      </c>
      <c r="B39" s="12"/>
      <c r="C39" s="15"/>
      <c r="D39" s="16"/>
    </row>
  </sheetData>
  <mergeCells count="26">
    <mergeCell ref="A3:F3"/>
    <mergeCell ref="A4:F4"/>
    <mergeCell ref="A17:C17"/>
    <mergeCell ref="A19:C19"/>
    <mergeCell ref="A21:C21"/>
    <mergeCell ref="A11:C11"/>
    <mergeCell ref="A12:C12"/>
    <mergeCell ref="A13:C13"/>
    <mergeCell ref="A14:C14"/>
    <mergeCell ref="A15:C15"/>
    <mergeCell ref="A16:C16"/>
    <mergeCell ref="A7:C7"/>
    <mergeCell ref="A20:C20"/>
    <mergeCell ref="A18:C18"/>
    <mergeCell ref="A33:B33"/>
    <mergeCell ref="A8:C8"/>
    <mergeCell ref="A9:C9"/>
    <mergeCell ref="A10:C10"/>
    <mergeCell ref="A27:C27"/>
    <mergeCell ref="A28:C28"/>
    <mergeCell ref="A25:C25"/>
    <mergeCell ref="A26:C26"/>
    <mergeCell ref="A24:C24"/>
    <mergeCell ref="A29:C29"/>
    <mergeCell ref="A22:C22"/>
    <mergeCell ref="A23:C23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topLeftCell="A34" zoomScale="85" zoomScaleNormal="85" workbookViewId="0">
      <selection activeCell="A61" sqref="A61"/>
    </sheetView>
  </sheetViews>
  <sheetFormatPr defaultRowHeight="15" x14ac:dyDescent="0.25"/>
  <cols>
    <col min="1" max="1" width="71.140625" style="41" customWidth="1"/>
    <col min="2" max="2" width="12.5703125" style="41" bestFit="1" customWidth="1"/>
    <col min="3" max="4" width="21.42578125" style="41" customWidth="1"/>
    <col min="5" max="5" width="13.85546875" style="41" customWidth="1"/>
    <col min="6" max="6" width="9.140625" style="41"/>
    <col min="7" max="7" width="10.85546875" bestFit="1" customWidth="1"/>
    <col min="8" max="8" width="16.28515625" customWidth="1"/>
  </cols>
  <sheetData>
    <row r="2" spans="1:8" x14ac:dyDescent="0.25">
      <c r="A2" s="115" t="s">
        <v>91</v>
      </c>
      <c r="B2" s="115"/>
      <c r="C2" s="115"/>
      <c r="D2" s="115"/>
    </row>
    <row r="3" spans="1:8" x14ac:dyDescent="0.25">
      <c r="A3" s="116" t="s">
        <v>126</v>
      </c>
      <c r="B3" s="116"/>
      <c r="C3" s="116"/>
      <c r="D3" s="116"/>
    </row>
    <row r="4" spans="1:8" x14ac:dyDescent="0.25">
      <c r="A4" s="44"/>
      <c r="B4" s="44"/>
      <c r="C4" s="44"/>
      <c r="D4" s="87"/>
    </row>
    <row r="5" spans="1:8" x14ac:dyDescent="0.25">
      <c r="A5" s="57"/>
      <c r="B5" s="51"/>
      <c r="C5" s="51"/>
      <c r="D5" s="37" t="s">
        <v>30</v>
      </c>
    </row>
    <row r="6" spans="1:8" ht="51" x14ac:dyDescent="0.25">
      <c r="A6" s="58" t="s">
        <v>81</v>
      </c>
      <c r="B6" s="58" t="s">
        <v>82</v>
      </c>
      <c r="C6" s="52" t="s">
        <v>119</v>
      </c>
      <c r="D6" s="52" t="s">
        <v>120</v>
      </c>
    </row>
    <row r="7" spans="1:8" x14ac:dyDescent="0.25">
      <c r="A7" s="58">
        <v>1</v>
      </c>
      <c r="B7" s="58">
        <v>2</v>
      </c>
      <c r="C7" s="52">
        <v>3</v>
      </c>
      <c r="D7" s="52">
        <v>4</v>
      </c>
    </row>
    <row r="8" spans="1:8" x14ac:dyDescent="0.25">
      <c r="A8" s="45" t="s">
        <v>44</v>
      </c>
      <c r="B8" s="59"/>
      <c r="C8" s="45"/>
      <c r="D8" s="45" t="s">
        <v>45</v>
      </c>
    </row>
    <row r="9" spans="1:8" x14ac:dyDescent="0.25">
      <c r="A9" s="39" t="s">
        <v>46</v>
      </c>
      <c r="B9" s="39"/>
      <c r="C9" s="40">
        <f>[6]Ф3!$T$12</f>
        <v>67293981</v>
      </c>
      <c r="D9" s="40">
        <f>VLOOKUP(A9,[5]Ф3!$A:$D,3,FALSE)</f>
        <v>71132560</v>
      </c>
      <c r="E9" s="53"/>
      <c r="G9" s="36"/>
      <c r="H9" s="71"/>
    </row>
    <row r="10" spans="1:8" x14ac:dyDescent="0.25">
      <c r="A10" s="39" t="s">
        <v>47</v>
      </c>
      <c r="B10" s="39"/>
      <c r="C10" s="40">
        <f>[6]Ф3!$T$22</f>
        <v>-41519617</v>
      </c>
      <c r="D10" s="40">
        <f>VLOOKUP(A10,[5]Ф3!$A:$D,3,FALSE)</f>
        <v>-41678713</v>
      </c>
      <c r="E10" s="53"/>
      <c r="G10" s="36"/>
      <c r="H10" s="71"/>
    </row>
    <row r="11" spans="1:8" x14ac:dyDescent="0.25">
      <c r="A11" s="39" t="s">
        <v>48</v>
      </c>
      <c r="B11" s="39"/>
      <c r="C11" s="40">
        <f>[6]Ф3!$T$28</f>
        <v>22754</v>
      </c>
      <c r="D11" s="40">
        <f>VLOOKUP(A11,[5]Ф3!$A:$D,3,FALSE)</f>
        <v>42113</v>
      </c>
      <c r="E11" s="53"/>
      <c r="G11" s="36"/>
      <c r="H11" s="71"/>
    </row>
    <row r="12" spans="1:8" x14ac:dyDescent="0.25">
      <c r="A12" s="39" t="s">
        <v>49</v>
      </c>
      <c r="B12" s="39"/>
      <c r="C12" s="40">
        <f>[6]Ф3!$T$34</f>
        <v>-298144</v>
      </c>
      <c r="D12" s="40">
        <f>VLOOKUP(A12,[5]Ф3!$A:$D,3,FALSE)</f>
        <v>-293811</v>
      </c>
      <c r="E12" s="53"/>
      <c r="G12" s="36"/>
      <c r="H12" s="71"/>
    </row>
    <row r="13" spans="1:8" x14ac:dyDescent="0.25">
      <c r="A13" s="39" t="s">
        <v>50</v>
      </c>
      <c r="B13" s="39"/>
      <c r="C13" s="40">
        <f>[6]Ф3!$T$38+[6]Ф3!$T$55</f>
        <v>-453535</v>
      </c>
      <c r="D13" s="40">
        <f>VLOOKUP(A13,[5]Ф3!$A:$D,3,FALSE)</f>
        <v>203402</v>
      </c>
      <c r="E13" s="53"/>
      <c r="G13" s="36"/>
      <c r="H13" s="71"/>
    </row>
    <row r="14" spans="1:8" x14ac:dyDescent="0.25">
      <c r="A14" s="39" t="s">
        <v>51</v>
      </c>
      <c r="B14" s="39"/>
      <c r="C14" s="40">
        <f>[6]Ф3!$T$42</f>
        <v>-2472428</v>
      </c>
      <c r="D14" s="40">
        <f>VLOOKUP(A14,[5]Ф3!$A:$D,3,FALSE)</f>
        <v>-1963087</v>
      </c>
      <c r="E14" s="53"/>
      <c r="G14" s="36"/>
      <c r="H14" s="71"/>
    </row>
    <row r="15" spans="1:8" x14ac:dyDescent="0.25">
      <c r="A15" s="39" t="s">
        <v>52</v>
      </c>
      <c r="B15" s="39"/>
      <c r="C15" s="40">
        <f>[6]Ф3!$T$48-[6]Ф3!$T$55</f>
        <v>-1871399</v>
      </c>
      <c r="D15" s="40">
        <f>VLOOKUP(A15,[5]Ф3!$A:$D,3,FALSE)</f>
        <v>-1554489</v>
      </c>
      <c r="E15" s="53"/>
      <c r="G15" s="36"/>
      <c r="H15" s="71"/>
    </row>
    <row r="16" spans="1:8" x14ac:dyDescent="0.25">
      <c r="A16" s="45"/>
      <c r="B16" s="45"/>
      <c r="C16" s="117">
        <f>SUM(C9:C15)</f>
        <v>20701612</v>
      </c>
      <c r="D16" s="117">
        <f>SUM(D9:D15)</f>
        <v>25887975</v>
      </c>
      <c r="E16" s="53"/>
      <c r="G16" s="36"/>
      <c r="H16" s="71"/>
    </row>
    <row r="17" spans="1:8" x14ac:dyDescent="0.25">
      <c r="A17" s="45" t="s">
        <v>53</v>
      </c>
      <c r="B17" s="45"/>
      <c r="C17" s="120"/>
      <c r="D17" s="40"/>
      <c r="E17" s="53"/>
      <c r="G17" s="36"/>
      <c r="H17" s="71"/>
    </row>
    <row r="18" spans="1:8" x14ac:dyDescent="0.25">
      <c r="A18" s="39" t="s">
        <v>3</v>
      </c>
      <c r="B18" s="39"/>
      <c r="C18" s="40">
        <f>[6]Ф3!$T$58</f>
        <v>-1251</v>
      </c>
      <c r="D18" s="40">
        <f>VLOOKUP(A18,[5]Ф3!$A:$D,3,FALSE)</f>
        <v>635386</v>
      </c>
      <c r="E18" s="53"/>
      <c r="G18" s="36"/>
      <c r="H18" s="71"/>
    </row>
    <row r="19" spans="1:8" ht="25.5" x14ac:dyDescent="0.25">
      <c r="A19" s="39" t="s">
        <v>54</v>
      </c>
      <c r="B19" s="39"/>
      <c r="C19" s="40">
        <f>[6]Ф3!$T$65</f>
        <v>528</v>
      </c>
      <c r="D19" s="40">
        <f>VLOOKUP(A19,[5]Ф3!$A:$D,3,FALSE)</f>
        <v>1367690</v>
      </c>
      <c r="E19" s="53"/>
      <c r="G19" s="36"/>
      <c r="H19" s="71"/>
    </row>
    <row r="20" spans="1:8" ht="25.5" x14ac:dyDescent="0.25">
      <c r="A20" s="39" t="s">
        <v>5</v>
      </c>
      <c r="B20" s="39"/>
      <c r="C20" s="40">
        <f>[6]Ф3!$T$68</f>
        <v>6430204</v>
      </c>
      <c r="D20" s="40">
        <f>VLOOKUP(A20,[5]Ф3!$A:$D,3,FALSE)</f>
        <v>32748407</v>
      </c>
      <c r="E20" s="53"/>
      <c r="G20" s="36"/>
      <c r="H20" s="71"/>
    </row>
    <row r="21" spans="1:8" x14ac:dyDescent="0.25">
      <c r="A21" s="39" t="s">
        <v>8</v>
      </c>
      <c r="B21" s="39"/>
      <c r="C21" s="40">
        <f>[6]Ф3!$T$75</f>
        <v>-3688813</v>
      </c>
      <c r="D21" s="40">
        <f>VLOOKUP(A21,[5]Ф3!$A:$D,3,FALSE)</f>
        <v>-675299</v>
      </c>
      <c r="E21" s="53"/>
      <c r="G21" s="36"/>
      <c r="H21" s="71"/>
    </row>
    <row r="22" spans="1:8" x14ac:dyDescent="0.25">
      <c r="A22" s="39" t="s">
        <v>55</v>
      </c>
      <c r="B22" s="39"/>
      <c r="C22" s="40">
        <f>[6]Ф3!$T$73</f>
        <v>11063199</v>
      </c>
      <c r="D22" s="40">
        <f>VLOOKUP(A22,[5]Ф3!$A:$D,3,FALSE)</f>
        <v>10839005</v>
      </c>
      <c r="E22" s="53"/>
      <c r="G22" s="36"/>
      <c r="H22" s="71"/>
    </row>
    <row r="23" spans="1:8" x14ac:dyDescent="0.25">
      <c r="A23" s="39" t="s">
        <v>11</v>
      </c>
      <c r="B23" s="39"/>
      <c r="C23" s="40">
        <f>[6]Ф3!$T$90+[6]Ф3!$T$84+[6]Ф3!$T$115+1735</f>
        <v>-554903</v>
      </c>
      <c r="D23" s="40">
        <f>[5]Ф3!$C$24+[5]Ф3!$C$22</f>
        <v>912955</v>
      </c>
      <c r="E23" s="53"/>
      <c r="G23" s="36"/>
      <c r="H23" s="71"/>
    </row>
    <row r="24" spans="1:8" x14ac:dyDescent="0.25">
      <c r="A24" s="45" t="s">
        <v>56</v>
      </c>
      <c r="B24" s="45"/>
      <c r="C24" s="40"/>
      <c r="D24" s="40"/>
      <c r="E24" s="53"/>
      <c r="G24" s="36"/>
      <c r="H24" s="71"/>
    </row>
    <row r="25" spans="1:8" x14ac:dyDescent="0.25">
      <c r="A25" s="39" t="s">
        <v>57</v>
      </c>
      <c r="B25" s="39"/>
      <c r="C25" s="40">
        <f>[6]Ф3!$T$104</f>
        <v>-293690</v>
      </c>
      <c r="D25" s="40">
        <f>VLOOKUP(A25,[5]Ф3!$A:$D,3,FALSE)</f>
        <v>-810990</v>
      </c>
      <c r="E25" s="53"/>
      <c r="G25" s="36"/>
      <c r="H25" s="71"/>
    </row>
    <row r="26" spans="1:8" x14ac:dyDescent="0.25">
      <c r="A26" s="39" t="s">
        <v>58</v>
      </c>
      <c r="B26" s="39"/>
      <c r="C26" s="40">
        <f>[6]Ф3!$T$110</f>
        <v>1132506</v>
      </c>
      <c r="D26" s="40">
        <f>VLOOKUP(A26,[5]Ф3!$A:$D,3,FALSE)</f>
        <v>1084606</v>
      </c>
      <c r="E26" s="53"/>
      <c r="G26" s="36"/>
      <c r="H26" s="71"/>
    </row>
    <row r="27" spans="1:8" x14ac:dyDescent="0.25">
      <c r="A27" s="39" t="s">
        <v>18</v>
      </c>
      <c r="B27" s="39"/>
      <c r="C27" s="40">
        <f>[6]Ф3!$T$113-[6]Ф3!$T$115</f>
        <v>-92720</v>
      </c>
      <c r="D27" s="40">
        <f>VLOOKUP(A27,[5]Ф3!$A:$D,3,FALSE)</f>
        <v>-2393</v>
      </c>
      <c r="E27" s="53"/>
      <c r="G27" s="36"/>
      <c r="H27" s="71"/>
    </row>
    <row r="28" spans="1:8" ht="25.5" x14ac:dyDescent="0.25">
      <c r="A28" s="45" t="s">
        <v>59</v>
      </c>
      <c r="B28" s="45"/>
      <c r="C28" s="118">
        <f>SUM(C16:C27)</f>
        <v>34696672</v>
      </c>
      <c r="D28" s="118">
        <f>SUM(D16:D27)</f>
        <v>71987342</v>
      </c>
      <c r="E28" s="53"/>
      <c r="G28" s="36"/>
      <c r="H28" s="71"/>
    </row>
    <row r="29" spans="1:8" x14ac:dyDescent="0.25">
      <c r="A29" s="39" t="s">
        <v>60</v>
      </c>
      <c r="B29" s="39"/>
      <c r="C29" s="40">
        <f>[6]Ф3!$T$123</f>
        <v>-7544</v>
      </c>
      <c r="D29" s="40">
        <f>VLOOKUP(A29,[5]Ф3!$A:$D,3,FALSE)</f>
        <v>-4782239</v>
      </c>
      <c r="E29" s="53"/>
      <c r="G29" s="36"/>
      <c r="H29" s="71"/>
    </row>
    <row r="30" spans="1:8" x14ac:dyDescent="0.25">
      <c r="A30" s="45" t="s">
        <v>61</v>
      </c>
      <c r="B30" s="45"/>
      <c r="C30" s="118">
        <f>C28+C29</f>
        <v>34689128</v>
      </c>
      <c r="D30" s="118">
        <f>D28+D29</f>
        <v>67205103</v>
      </c>
      <c r="E30" s="53"/>
      <c r="G30" s="36"/>
      <c r="H30" s="71"/>
    </row>
    <row r="31" spans="1:8" ht="25.5" customHeight="1" x14ac:dyDescent="0.25">
      <c r="A31" s="45" t="s">
        <v>62</v>
      </c>
      <c r="B31" s="45"/>
      <c r="C31" s="46"/>
      <c r="D31" s="40"/>
      <c r="E31" s="53"/>
      <c r="G31" s="36"/>
      <c r="H31" s="71"/>
    </row>
    <row r="32" spans="1:8" ht="25.5" x14ac:dyDescent="0.25">
      <c r="A32" s="39" t="s">
        <v>63</v>
      </c>
      <c r="B32" s="59"/>
      <c r="C32" s="40">
        <f>[6]Ф3!$T$128</f>
        <v>-365903872.00111002</v>
      </c>
      <c r="D32" s="40">
        <f>VLOOKUP(A32,[5]Ф3!$A:$D,3,FALSE)</f>
        <v>-100588954</v>
      </c>
      <c r="E32" s="53"/>
      <c r="G32" s="36"/>
      <c r="H32" s="71"/>
    </row>
    <row r="33" spans="1:8" ht="25.5" x14ac:dyDescent="0.25">
      <c r="A33" s="39" t="s">
        <v>64</v>
      </c>
      <c r="B33" s="59"/>
      <c r="C33" s="40">
        <f>[6]Ф3!$T$129</f>
        <v>188868690</v>
      </c>
      <c r="D33" s="40">
        <f>VLOOKUP(A33,[5]Ф3!$A:$D,3,FALSE)</f>
        <v>43462098</v>
      </c>
      <c r="E33" s="53"/>
      <c r="G33" s="36"/>
      <c r="H33" s="71"/>
    </row>
    <row r="34" spans="1:8" x14ac:dyDescent="0.25">
      <c r="A34" s="39" t="s">
        <v>106</v>
      </c>
      <c r="B34" s="59"/>
      <c r="C34" s="40">
        <f>[6]Ф3!$T$134</f>
        <v>-366783</v>
      </c>
      <c r="D34" s="40">
        <f>VLOOKUP(A34,[5]Ф3!$A:$D,3,FALSE)</f>
        <v>-438025</v>
      </c>
      <c r="E34" s="53"/>
      <c r="G34" s="36"/>
      <c r="H34" s="71"/>
    </row>
    <row r="35" spans="1:8" x14ac:dyDescent="0.25">
      <c r="A35" s="39" t="s">
        <v>65</v>
      </c>
      <c r="B35" s="59"/>
      <c r="C35" s="40">
        <f>[6]Ф3!$T$131</f>
        <v>511483</v>
      </c>
      <c r="D35" s="40">
        <f>VLOOKUP(A35,[5]Ф3!$A:$D,3,FALSE)</f>
        <v>0</v>
      </c>
      <c r="E35" s="53"/>
      <c r="G35" s="36"/>
      <c r="H35" s="71"/>
    </row>
    <row r="36" spans="1:8" ht="24.75" customHeight="1" x14ac:dyDescent="0.25">
      <c r="A36" s="45" t="s">
        <v>66</v>
      </c>
      <c r="B36" s="59"/>
      <c r="C36" s="118">
        <f>SUM(C32:C35)</f>
        <v>-176890482.00111002</v>
      </c>
      <c r="D36" s="118">
        <f>SUM(D32:D35)</f>
        <v>-57564881</v>
      </c>
      <c r="E36" s="53"/>
      <c r="G36" s="36"/>
      <c r="H36" s="71"/>
    </row>
    <row r="37" spans="1:8" x14ac:dyDescent="0.25">
      <c r="A37" s="39"/>
      <c r="B37" s="59"/>
      <c r="C37" s="40"/>
      <c r="D37" s="40"/>
      <c r="E37" s="53"/>
      <c r="G37" s="36"/>
      <c r="H37" s="71"/>
    </row>
    <row r="38" spans="1:8" x14ac:dyDescent="0.25">
      <c r="A38" s="45" t="s">
        <v>67</v>
      </c>
      <c r="B38" s="59"/>
      <c r="C38" s="40"/>
      <c r="D38" s="40"/>
      <c r="E38" s="53"/>
      <c r="G38" s="36"/>
      <c r="H38" s="71"/>
    </row>
    <row r="39" spans="1:8" x14ac:dyDescent="0.25">
      <c r="A39" s="39" t="s">
        <v>68</v>
      </c>
      <c r="B39" s="59"/>
      <c r="C39" s="40">
        <f>[6]Ф3!$T$143</f>
        <v>-180000000</v>
      </c>
      <c r="D39" s="40">
        <f>VLOOKUP(A39,[5]Ф3!$A:$D,3,FALSE)</f>
        <v>39339</v>
      </c>
      <c r="E39" s="53"/>
      <c r="G39" s="36"/>
      <c r="H39" s="71"/>
    </row>
    <row r="40" spans="1:8" x14ac:dyDescent="0.25">
      <c r="A40" s="75" t="s">
        <v>125</v>
      </c>
      <c r="B40" s="59"/>
      <c r="C40" s="40">
        <f>[6]Ф3!$T$145</f>
        <v>185404659</v>
      </c>
      <c r="D40" s="40">
        <f>[5]Ф3!$C$41</f>
        <v>-1459</v>
      </c>
      <c r="E40" s="53"/>
      <c r="G40" s="36"/>
      <c r="H40" s="71"/>
    </row>
    <row r="41" spans="1:8" s="80" customFormat="1" x14ac:dyDescent="0.25">
      <c r="A41" s="75" t="s">
        <v>108</v>
      </c>
      <c r="B41" s="76"/>
      <c r="C41" s="119">
        <f>[6]Ф3!$T$152</f>
        <v>-2528131</v>
      </c>
      <c r="D41" s="119"/>
      <c r="E41" s="53"/>
      <c r="F41" s="77"/>
      <c r="G41" s="78"/>
      <c r="H41" s="79"/>
    </row>
    <row r="42" spans="1:8" x14ac:dyDescent="0.25">
      <c r="A42" s="39" t="s">
        <v>69</v>
      </c>
      <c r="B42" s="59"/>
      <c r="C42" s="40">
        <f>[6]Ф3!$T$144</f>
        <v>181153662</v>
      </c>
      <c r="D42" s="40"/>
      <c r="E42" s="53"/>
      <c r="G42" s="36"/>
      <c r="H42" s="71"/>
    </row>
    <row r="43" spans="1:8" x14ac:dyDescent="0.25">
      <c r="A43" s="39" t="s">
        <v>70</v>
      </c>
      <c r="B43" s="59"/>
      <c r="C43" s="40">
        <f>[6]Ф3!$T$159</f>
        <v>-33986554</v>
      </c>
      <c r="D43" s="40">
        <f>VLOOKUP(A43,[5]Ф3!$A:$D,3,FALSE)</f>
        <v>-26584469</v>
      </c>
      <c r="E43" s="53"/>
      <c r="G43" s="36"/>
      <c r="H43" s="71"/>
    </row>
    <row r="44" spans="1:8" x14ac:dyDescent="0.25">
      <c r="A44" s="45" t="s">
        <v>71</v>
      </c>
      <c r="B44" s="59"/>
      <c r="C44" s="118">
        <f>SUM(C39:C43)</f>
        <v>150043636</v>
      </c>
      <c r="D44" s="118">
        <f>SUM(D39:D43)</f>
        <v>-26546589</v>
      </c>
      <c r="E44" s="53"/>
      <c r="G44" s="36"/>
      <c r="H44" s="71"/>
    </row>
    <row r="45" spans="1:8" x14ac:dyDescent="0.25">
      <c r="A45" s="45" t="s">
        <v>72</v>
      </c>
      <c r="B45" s="59"/>
      <c r="C45" s="118">
        <f>C30+C36+C44</f>
        <v>7842281.9988899827</v>
      </c>
      <c r="D45" s="118">
        <f>D30+D36+D44</f>
        <v>-16906367</v>
      </c>
      <c r="E45" s="53"/>
      <c r="G45" s="36"/>
      <c r="H45" s="71"/>
    </row>
    <row r="46" spans="1:8" ht="25.5" x14ac:dyDescent="0.25">
      <c r="A46" s="39" t="s">
        <v>73</v>
      </c>
      <c r="B46" s="59"/>
      <c r="C46" s="40">
        <f>[6]Ф3!$T$163</f>
        <v>38519</v>
      </c>
      <c r="D46" s="40">
        <f>VLOOKUP(A46,[5]Ф3!$A:$D,3,FALSE)</f>
        <v>14405</v>
      </c>
      <c r="E46" s="53"/>
      <c r="G46" s="36"/>
      <c r="H46" s="71"/>
    </row>
    <row r="47" spans="1:8" ht="25.5" x14ac:dyDescent="0.25">
      <c r="A47" s="39" t="s">
        <v>74</v>
      </c>
      <c r="B47" s="59"/>
      <c r="C47" s="40">
        <f>'[1]01.10.2024'!$N$3697</f>
        <v>-72444</v>
      </c>
      <c r="D47" s="40">
        <f>VLOOKUP(A47,[5]Ф3!$A:$D,3,FALSE)</f>
        <v>81766</v>
      </c>
      <c r="E47" s="53"/>
      <c r="G47" s="36"/>
      <c r="H47" s="71"/>
    </row>
    <row r="48" spans="1:8" x14ac:dyDescent="0.25">
      <c r="A48" s="39" t="s">
        <v>75</v>
      </c>
      <c r="B48" s="59"/>
      <c r="C48" s="40">
        <f>Ф1!F9</f>
        <v>305418549</v>
      </c>
      <c r="D48" s="40">
        <f>VLOOKUP(A48,[5]Ф3!$A:$D,3,FALSE)</f>
        <v>245237171</v>
      </c>
      <c r="E48" s="53"/>
      <c r="G48" s="36"/>
      <c r="H48" s="71"/>
    </row>
    <row r="49" spans="1:8" x14ac:dyDescent="0.25">
      <c r="A49" s="45" t="s">
        <v>76</v>
      </c>
      <c r="B49" s="59"/>
      <c r="C49" s="118">
        <f>Ф1!E9</f>
        <v>313226906</v>
      </c>
      <c r="D49" s="118">
        <f>SUM(D45:D48)</f>
        <v>228426975</v>
      </c>
      <c r="E49" s="53"/>
      <c r="G49" s="36"/>
      <c r="H49" s="71"/>
    </row>
    <row r="50" spans="1:8" x14ac:dyDescent="0.25">
      <c r="C50" s="53"/>
      <c r="D50" s="53"/>
      <c r="G50" s="36"/>
    </row>
    <row r="51" spans="1:8" x14ac:dyDescent="0.25">
      <c r="C51" s="53"/>
      <c r="D51" s="53"/>
    </row>
    <row r="52" spans="1:8" x14ac:dyDescent="0.25">
      <c r="C52" s="47"/>
    </row>
    <row r="53" spans="1:8" x14ac:dyDescent="0.25">
      <c r="A53" s="43" t="s">
        <v>96</v>
      </c>
      <c r="B53" s="43"/>
      <c r="C53" s="54" t="s">
        <v>77</v>
      </c>
      <c r="D53" s="60" t="s">
        <v>79</v>
      </c>
    </row>
    <row r="54" spans="1:8" x14ac:dyDescent="0.25">
      <c r="A54" s="12"/>
      <c r="B54" s="12"/>
      <c r="C54" s="54" t="s">
        <v>78</v>
      </c>
      <c r="D54" s="60"/>
    </row>
    <row r="55" spans="1:8" x14ac:dyDescent="0.25">
      <c r="A55" s="43"/>
      <c r="B55" s="43"/>
      <c r="C55" s="43"/>
      <c r="D55" s="60"/>
    </row>
    <row r="56" spans="1:8" x14ac:dyDescent="0.25">
      <c r="A56" s="43" t="s">
        <v>97</v>
      </c>
      <c r="B56" s="43"/>
      <c r="C56" s="54" t="s">
        <v>77</v>
      </c>
      <c r="D56" s="60" t="s">
        <v>98</v>
      </c>
    </row>
    <row r="57" spans="1:8" x14ac:dyDescent="0.25">
      <c r="A57" s="12"/>
      <c r="B57" s="12"/>
      <c r="C57" s="54" t="s">
        <v>78</v>
      </c>
      <c r="D57" s="60"/>
    </row>
    <row r="58" spans="1:8" x14ac:dyDescent="0.25">
      <c r="A58" s="13"/>
      <c r="B58" s="12"/>
      <c r="C58" s="55"/>
      <c r="D58" s="60"/>
    </row>
    <row r="59" spans="1:8" x14ac:dyDescent="0.25">
      <c r="A59" s="13" t="s">
        <v>80</v>
      </c>
      <c r="B59" s="12"/>
      <c r="C59" s="56"/>
      <c r="D59" s="5"/>
    </row>
  </sheetData>
  <mergeCells count="2">
    <mergeCell ref="A2:D2"/>
    <mergeCell ref="A3:D3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opLeftCell="A10" zoomScaleNormal="100" workbookViewId="0">
      <selection activeCell="J23" sqref="J23"/>
    </sheetView>
  </sheetViews>
  <sheetFormatPr defaultRowHeight="15" x14ac:dyDescent="0.25"/>
  <cols>
    <col min="1" max="1" width="59.85546875" customWidth="1"/>
    <col min="2" max="2" width="11" style="41" bestFit="1" customWidth="1"/>
    <col min="3" max="3" width="12" style="41" bestFit="1" customWidth="1"/>
    <col min="4" max="4" width="12.42578125" style="41" customWidth="1"/>
    <col min="5" max="5" width="15.85546875" style="41" bestFit="1" customWidth="1"/>
    <col min="6" max="6" width="15.28515625" style="41" customWidth="1"/>
    <col min="7" max="7" width="11" style="41" bestFit="1" customWidth="1"/>
    <col min="8" max="8" width="13.140625" style="41" customWidth="1"/>
    <col min="9" max="9" width="13.42578125" style="41" bestFit="1" customWidth="1"/>
    <col min="10" max="10" width="16.5703125" bestFit="1" customWidth="1"/>
    <col min="11" max="11" width="12" bestFit="1" customWidth="1"/>
  </cols>
  <sheetData>
    <row r="2" spans="1:10" x14ac:dyDescent="0.25">
      <c r="A2" s="115" t="s">
        <v>92</v>
      </c>
      <c r="B2" s="115"/>
      <c r="C2" s="115"/>
      <c r="D2" s="115"/>
      <c r="E2" s="115"/>
      <c r="F2" s="115"/>
      <c r="G2" s="115"/>
      <c r="H2" s="115"/>
      <c r="I2" s="115"/>
    </row>
    <row r="3" spans="1:10" x14ac:dyDescent="0.25">
      <c r="A3" s="116" t="s">
        <v>126</v>
      </c>
      <c r="B3" s="116"/>
      <c r="C3" s="116"/>
      <c r="D3" s="116"/>
      <c r="E3" s="116"/>
      <c r="F3" s="116"/>
      <c r="G3" s="116"/>
      <c r="H3" s="116"/>
      <c r="I3" s="116"/>
    </row>
    <row r="4" spans="1:10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0" x14ac:dyDescent="0.25">
      <c r="A5" s="22"/>
      <c r="B5" s="23"/>
      <c r="C5" s="23"/>
      <c r="D5" s="23"/>
      <c r="E5" s="23"/>
      <c r="F5" s="23"/>
      <c r="G5" s="22"/>
      <c r="H5" s="22"/>
      <c r="I5" s="33" t="s">
        <v>30</v>
      </c>
    </row>
    <row r="6" spans="1:10" ht="63.75" x14ac:dyDescent="0.25">
      <c r="A6" s="20" t="s">
        <v>81</v>
      </c>
      <c r="B6" s="63" t="s">
        <v>82</v>
      </c>
      <c r="C6" s="58" t="s">
        <v>21</v>
      </c>
      <c r="D6" s="58" t="s">
        <v>22</v>
      </c>
      <c r="E6" s="58" t="s">
        <v>83</v>
      </c>
      <c r="F6" s="58" t="s">
        <v>24</v>
      </c>
      <c r="G6" s="58" t="s">
        <v>25</v>
      </c>
      <c r="H6" s="64" t="s">
        <v>87</v>
      </c>
      <c r="I6" s="64" t="s">
        <v>88</v>
      </c>
    </row>
    <row r="7" spans="1:10" x14ac:dyDescent="0.25">
      <c r="A7" s="24">
        <v>1</v>
      </c>
      <c r="B7" s="65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</row>
    <row r="8" spans="1:10" x14ac:dyDescent="0.25">
      <c r="A8" s="25" t="s">
        <v>109</v>
      </c>
      <c r="B8" s="66"/>
      <c r="C8" s="81">
        <v>193432016</v>
      </c>
      <c r="D8" s="81">
        <v>12661</v>
      </c>
      <c r="E8" s="46">
        <v>-2597522</v>
      </c>
      <c r="F8" s="81">
        <v>3389392</v>
      </c>
      <c r="G8" s="81">
        <v>2734447</v>
      </c>
      <c r="H8" s="83">
        <v>46205967</v>
      </c>
      <c r="I8" s="81">
        <f>SUM(C8:H8)</f>
        <v>243176961</v>
      </c>
    </row>
    <row r="9" spans="1:10" x14ac:dyDescent="0.25">
      <c r="A9" s="25" t="s">
        <v>84</v>
      </c>
      <c r="B9" s="66"/>
      <c r="C9" s="81"/>
      <c r="D9" s="81"/>
      <c r="E9" s="81"/>
      <c r="F9" s="81"/>
      <c r="G9" s="81"/>
      <c r="H9" s="81"/>
      <c r="I9" s="81">
        <f t="shared" ref="I9:I14" si="0">SUM(C9:H9)</f>
        <v>0</v>
      </c>
    </row>
    <row r="10" spans="1:10" x14ac:dyDescent="0.25">
      <c r="A10" s="26" t="s">
        <v>93</v>
      </c>
      <c r="B10" s="67"/>
      <c r="C10" s="81"/>
      <c r="D10" s="81"/>
      <c r="E10" s="81"/>
      <c r="F10" s="81"/>
      <c r="G10" s="81"/>
      <c r="H10" s="40">
        <f>[5]Ф4!$H$19</f>
        <v>25467548</v>
      </c>
      <c r="I10" s="81">
        <f t="shared" si="0"/>
        <v>25467548</v>
      </c>
    </row>
    <row r="11" spans="1:10" x14ac:dyDescent="0.25">
      <c r="A11" s="27" t="s">
        <v>94</v>
      </c>
      <c r="B11" s="67"/>
      <c r="C11" s="81"/>
      <c r="D11" s="81"/>
      <c r="E11" s="81"/>
      <c r="F11" s="81"/>
      <c r="G11" s="81"/>
      <c r="H11" s="82">
        <f>SUM(H9:H10)</f>
        <v>25467548</v>
      </c>
      <c r="I11" s="81">
        <f t="shared" si="0"/>
        <v>25467548</v>
      </c>
    </row>
    <row r="12" spans="1:10" x14ac:dyDescent="0.25">
      <c r="A12" s="28" t="s">
        <v>85</v>
      </c>
      <c r="B12" s="67"/>
      <c r="C12" s="81"/>
      <c r="D12" s="81"/>
      <c r="E12" s="81"/>
      <c r="F12" s="81"/>
      <c r="G12" s="81"/>
      <c r="H12" s="40">
        <f>[5]Ф4!$H$21</f>
        <v>-31275846</v>
      </c>
      <c r="I12" s="81">
        <f t="shared" si="0"/>
        <v>-31275846</v>
      </c>
    </row>
    <row r="13" spans="1:10" x14ac:dyDescent="0.25">
      <c r="A13" s="29" t="s">
        <v>86</v>
      </c>
      <c r="B13" s="67"/>
      <c r="C13" s="84"/>
      <c r="D13" s="81"/>
      <c r="E13" s="81"/>
      <c r="F13" s="40"/>
      <c r="G13" s="81"/>
      <c r="H13" s="85"/>
      <c r="I13" s="81">
        <f t="shared" si="0"/>
        <v>0</v>
      </c>
    </row>
    <row r="14" spans="1:10" ht="39" x14ac:dyDescent="0.25">
      <c r="A14" s="29" t="s">
        <v>111</v>
      </c>
      <c r="B14" s="67"/>
      <c r="C14" s="84"/>
      <c r="D14" s="81"/>
      <c r="E14" s="81"/>
      <c r="F14" s="40"/>
      <c r="G14" s="81"/>
      <c r="H14" s="40">
        <f>[5]Ф4!$H$22</f>
        <v>-8826419</v>
      </c>
      <c r="I14" s="81">
        <f t="shared" si="0"/>
        <v>-8826419</v>
      </c>
    </row>
    <row r="15" spans="1:10" x14ac:dyDescent="0.25">
      <c r="A15" s="25" t="s">
        <v>121</v>
      </c>
      <c r="B15" s="67"/>
      <c r="C15" s="82">
        <f>SUM(C8:C13)</f>
        <v>193432016</v>
      </c>
      <c r="D15" s="82">
        <f>SUM(D8:D13)</f>
        <v>12661</v>
      </c>
      <c r="E15" s="46">
        <f>SUM(E8:E13)</f>
        <v>-2597522</v>
      </c>
      <c r="F15" s="82">
        <f>SUM(F8:F13)</f>
        <v>3389392</v>
      </c>
      <c r="G15" s="82">
        <f>SUM(G8:G13)</f>
        <v>2734447</v>
      </c>
      <c r="H15" s="82">
        <f>SUM(H8,H11,H12,H14)</f>
        <v>31571250</v>
      </c>
      <c r="I15" s="82">
        <f>SUM(I8,I11,I12,I14)</f>
        <v>228542244</v>
      </c>
      <c r="J15" s="62"/>
    </row>
    <row r="16" spans="1:10" x14ac:dyDescent="0.25">
      <c r="A16" s="25"/>
      <c r="B16" s="67"/>
      <c r="C16" s="82"/>
      <c r="D16" s="82"/>
      <c r="E16" s="82"/>
      <c r="F16" s="82"/>
      <c r="G16" s="82"/>
      <c r="H16" s="82"/>
      <c r="I16" s="81"/>
    </row>
    <row r="17" spans="1:10" x14ac:dyDescent="0.25">
      <c r="A17" s="25" t="s">
        <v>110</v>
      </c>
      <c r="B17" s="67"/>
      <c r="C17" s="82">
        <v>193432016</v>
      </c>
      <c r="D17" s="82">
        <v>12661</v>
      </c>
      <c r="E17" s="46">
        <v>-2597522</v>
      </c>
      <c r="F17" s="81">
        <v>3389392</v>
      </c>
      <c r="G17" s="82">
        <v>2734447</v>
      </c>
      <c r="H17" s="83">
        <v>47953856</v>
      </c>
      <c r="I17" s="81">
        <f>SUM(C17:H17)</f>
        <v>244924850</v>
      </c>
      <c r="J17" s="62"/>
    </row>
    <row r="18" spans="1:10" x14ac:dyDescent="0.25">
      <c r="A18" s="25" t="s">
        <v>84</v>
      </c>
      <c r="B18" s="67"/>
      <c r="C18" s="82"/>
      <c r="D18" s="82"/>
      <c r="E18" s="81"/>
      <c r="F18" s="81"/>
      <c r="G18" s="82"/>
      <c r="H18" s="86"/>
      <c r="I18" s="81">
        <f t="shared" ref="I18:I21" si="1">SUM(C18:H18)</f>
        <v>0</v>
      </c>
    </row>
    <row r="19" spans="1:10" x14ac:dyDescent="0.25">
      <c r="A19" s="26" t="s">
        <v>93</v>
      </c>
      <c r="B19" s="67"/>
      <c r="C19" s="81"/>
      <c r="D19" s="81"/>
      <c r="E19" s="81"/>
      <c r="F19" s="81"/>
      <c r="G19" s="81"/>
      <c r="H19" s="40">
        <v>27312733</v>
      </c>
      <c r="I19" s="81">
        <f t="shared" si="1"/>
        <v>27312733</v>
      </c>
      <c r="J19" s="62"/>
    </row>
    <row r="20" spans="1:10" x14ac:dyDescent="0.25">
      <c r="A20" s="27" t="s">
        <v>94</v>
      </c>
      <c r="B20" s="67"/>
      <c r="C20" s="82">
        <f t="shared" ref="C20:G20" si="2">SUM(C18:C19)</f>
        <v>0</v>
      </c>
      <c r="D20" s="82">
        <f t="shared" si="2"/>
        <v>0</v>
      </c>
      <c r="E20" s="82">
        <f t="shared" si="2"/>
        <v>0</v>
      </c>
      <c r="F20" s="82">
        <f t="shared" si="2"/>
        <v>0</v>
      </c>
      <c r="G20" s="82">
        <f t="shared" si="2"/>
        <v>0</v>
      </c>
      <c r="H20" s="82">
        <f>SUM(H18:H19)</f>
        <v>27312733</v>
      </c>
      <c r="I20" s="81">
        <f>SUM(C20:H20)</f>
        <v>27312733</v>
      </c>
    </row>
    <row r="21" spans="1:10" x14ac:dyDescent="0.25">
      <c r="A21" s="26" t="s">
        <v>85</v>
      </c>
      <c r="B21" s="67"/>
      <c r="C21" s="84"/>
      <c r="D21" s="84"/>
      <c r="E21" s="81"/>
      <c r="F21" s="81"/>
      <c r="G21" s="81"/>
      <c r="H21" s="40">
        <v>-29295177</v>
      </c>
      <c r="I21" s="81">
        <f t="shared" si="1"/>
        <v>-29295177</v>
      </c>
    </row>
    <row r="22" spans="1:10" ht="38.25" x14ac:dyDescent="0.25">
      <c r="A22" s="61" t="s">
        <v>111</v>
      </c>
      <c r="B22" s="67"/>
      <c r="C22" s="84"/>
      <c r="D22" s="84"/>
      <c r="E22" s="81"/>
      <c r="F22" s="81"/>
      <c r="G22" s="84"/>
      <c r="H22" s="40"/>
      <c r="I22" s="81">
        <f>SUM(C22:H22)</f>
        <v>0</v>
      </c>
    </row>
    <row r="23" spans="1:10" x14ac:dyDescent="0.25">
      <c r="A23" s="30" t="s">
        <v>122</v>
      </c>
      <c r="B23" s="66"/>
      <c r="C23" s="82">
        <f>SUM(C17,C20,C21)</f>
        <v>193432016</v>
      </c>
      <c r="D23" s="82">
        <f t="shared" ref="D23:F23" si="3">SUM(D17,D20,D21)</f>
        <v>12661</v>
      </c>
      <c r="E23" s="46">
        <f t="shared" si="3"/>
        <v>-2597522</v>
      </c>
      <c r="F23" s="82">
        <f t="shared" si="3"/>
        <v>3389392</v>
      </c>
      <c r="G23" s="82">
        <f>SUM(G17,G20,G21,G22)</f>
        <v>2734447</v>
      </c>
      <c r="H23" s="82">
        <f>SUM(H17,H20,H21,H22)</f>
        <v>45971412</v>
      </c>
      <c r="I23" s="82">
        <f>SUM(I17,I20,I21,I22)</f>
        <v>242942406</v>
      </c>
      <c r="J23" s="62"/>
    </row>
    <row r="24" spans="1:10" x14ac:dyDescent="0.25">
      <c r="A24" s="31"/>
      <c r="B24" s="21"/>
      <c r="C24" s="32"/>
      <c r="D24" s="32"/>
      <c r="E24" s="32"/>
      <c r="F24" s="32"/>
      <c r="G24" s="32"/>
      <c r="H24" s="32"/>
      <c r="I24" s="32"/>
    </row>
    <row r="25" spans="1:10" x14ac:dyDescent="0.25">
      <c r="A25" s="31"/>
      <c r="B25" s="21"/>
      <c r="C25" s="32"/>
      <c r="D25" s="32"/>
      <c r="E25" s="32"/>
      <c r="F25" s="32"/>
      <c r="G25" s="32"/>
      <c r="H25" s="32"/>
      <c r="I25" s="32"/>
    </row>
    <row r="26" spans="1:10" x14ac:dyDescent="0.25">
      <c r="A26" s="11"/>
      <c r="B26" s="49"/>
      <c r="C26" s="49"/>
      <c r="D26" s="49"/>
      <c r="E26" s="68"/>
      <c r="F26" s="5"/>
      <c r="G26" s="69"/>
      <c r="H26" s="21"/>
      <c r="I26" s="21"/>
    </row>
    <row r="27" spans="1:10" ht="15" customHeight="1" x14ac:dyDescent="0.25">
      <c r="A27" s="10" t="s">
        <v>96</v>
      </c>
      <c r="B27" s="10"/>
      <c r="C27" s="54" t="s">
        <v>77</v>
      </c>
      <c r="D27" s="54"/>
      <c r="E27" s="60" t="s">
        <v>79</v>
      </c>
      <c r="F27" s="5"/>
      <c r="G27" s="5"/>
      <c r="H27" s="21"/>
      <c r="I27" s="21"/>
    </row>
    <row r="28" spans="1:10" x14ac:dyDescent="0.25">
      <c r="A28" s="12"/>
      <c r="B28" s="12"/>
      <c r="C28" s="54" t="s">
        <v>78</v>
      </c>
      <c r="D28" s="54"/>
      <c r="E28" s="5"/>
      <c r="F28" s="5"/>
      <c r="G28" s="5"/>
      <c r="H28" s="32"/>
      <c r="I28" s="32"/>
    </row>
    <row r="29" spans="1:10" x14ac:dyDescent="0.25">
      <c r="A29" s="13"/>
      <c r="B29" s="12"/>
      <c r="C29" s="55"/>
      <c r="D29" s="55"/>
      <c r="E29" s="5"/>
      <c r="F29" s="5"/>
      <c r="G29" s="5"/>
      <c r="H29" s="21"/>
      <c r="I29" s="21"/>
    </row>
    <row r="30" spans="1:10" x14ac:dyDescent="0.25">
      <c r="A30" s="34" t="s">
        <v>97</v>
      </c>
      <c r="B30" s="49"/>
      <c r="C30" s="54" t="s">
        <v>77</v>
      </c>
      <c r="D30" s="60"/>
      <c r="E30" s="60" t="s">
        <v>98</v>
      </c>
      <c r="F30" s="10"/>
      <c r="G30" s="69"/>
      <c r="H30" s="32"/>
      <c r="I30" s="32"/>
    </row>
    <row r="31" spans="1:10" x14ac:dyDescent="0.25">
      <c r="A31" s="11"/>
      <c r="B31" s="49"/>
      <c r="C31" s="54" t="s">
        <v>78</v>
      </c>
      <c r="D31" s="54"/>
      <c r="E31" s="5"/>
      <c r="F31" s="49"/>
      <c r="G31" s="69"/>
      <c r="H31" s="21"/>
      <c r="I31" s="21"/>
    </row>
    <row r="32" spans="1:10" x14ac:dyDescent="0.25">
      <c r="A32" s="11"/>
      <c r="B32" s="49"/>
      <c r="C32" s="49"/>
      <c r="D32" s="49"/>
      <c r="E32" s="5"/>
      <c r="F32" s="49"/>
      <c r="G32" s="69"/>
      <c r="H32" s="21"/>
      <c r="I32" s="21"/>
    </row>
    <row r="33" spans="1:9" x14ac:dyDescent="0.25">
      <c r="A33" s="13" t="s">
        <v>80</v>
      </c>
      <c r="B33" s="12"/>
      <c r="C33" s="56"/>
      <c r="D33" s="56"/>
      <c r="E33" s="5"/>
      <c r="F33" s="5"/>
      <c r="G33" s="5"/>
      <c r="H33" s="21"/>
      <c r="I33" s="21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Ф2!OLE_LINK1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Айгерим О. Сарсебаева</dc:creator>
  <cp:lastModifiedBy>Жуманова Шолпан</cp:lastModifiedBy>
  <cp:lastPrinted>2023-05-04T09:54:36Z</cp:lastPrinted>
  <dcterms:created xsi:type="dcterms:W3CDTF">2021-12-02T06:30:48Z</dcterms:created>
  <dcterms:modified xsi:type="dcterms:W3CDTF">2024-11-04T07:24:55Z</dcterms:modified>
</cp:coreProperties>
</file>