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is2in\03.2024\"/>
    </mc:Choice>
  </mc:AlternateContent>
  <xr:revisionPtr revIDLastSave="0" documentId="13_ncr:1_{3BC1FAD2-595C-43AF-8797-AC7B3B93F0E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VREP_700_ND_RESPONDENTundefined!$A$7:$I$7</definedName>
  </definedNames>
  <calcPr calcId="191029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D8" i="1"/>
  <c r="E8" i="1"/>
  <c r="F8" i="1"/>
  <c r="G8" i="1"/>
  <c r="H8" i="1"/>
  <c r="D14" i="1"/>
  <c r="E14" i="1"/>
  <c r="F14" i="1"/>
  <c r="G14" i="1"/>
  <c r="H14" i="1"/>
  <c r="D9" i="1"/>
  <c r="E9" i="1"/>
  <c r="F9" i="1"/>
  <c r="G9" i="1"/>
  <c r="H9" i="1"/>
  <c r="D11" i="1"/>
  <c r="E11" i="1"/>
  <c r="F11" i="1"/>
  <c r="G11" i="1"/>
  <c r="H11" i="1"/>
  <c r="D12" i="1"/>
  <c r="E12" i="1"/>
  <c r="F12" i="1"/>
  <c r="G12" i="1"/>
  <c r="H12" i="1"/>
  <c r="D10" i="1"/>
  <c r="E10" i="1"/>
  <c r="F10" i="1"/>
  <c r="G10" i="1"/>
  <c r="H10" i="1"/>
  <c r="D15" i="1"/>
  <c r="E15" i="1"/>
  <c r="F15" i="1"/>
  <c r="G15" i="1"/>
  <c r="H15" i="1"/>
  <c r="D16" i="1"/>
  <c r="E16" i="1"/>
  <c r="F16" i="1"/>
  <c r="G16" i="1"/>
  <c r="H16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17" i="1"/>
  <c r="E17" i="1"/>
  <c r="F17" i="1"/>
  <c r="G17" i="1"/>
  <c r="H17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9" i="1"/>
  <c r="E29" i="1"/>
  <c r="F29" i="1"/>
  <c r="G29" i="1"/>
  <c r="H29" i="1"/>
  <c r="D25" i="1"/>
  <c r="E25" i="1"/>
  <c r="F25" i="1"/>
  <c r="G25" i="1"/>
  <c r="H25" i="1"/>
  <c r="D30" i="1"/>
  <c r="E30" i="1"/>
  <c r="F30" i="1"/>
  <c r="G30" i="1"/>
  <c r="H30" i="1"/>
  <c r="D28" i="1"/>
  <c r="E28" i="1"/>
  <c r="F28" i="1"/>
  <c r="G28" i="1"/>
  <c r="H28" i="1"/>
  <c r="D32" i="1"/>
  <c r="E32" i="1"/>
  <c r="F32" i="1"/>
  <c r="G32" i="1"/>
  <c r="H32" i="1"/>
  <c r="D26" i="1"/>
  <c r="E26" i="1"/>
  <c r="F26" i="1"/>
  <c r="G26" i="1"/>
  <c r="H26" i="1"/>
  <c r="D27" i="1"/>
  <c r="E27" i="1"/>
  <c r="F27" i="1"/>
  <c r="G27" i="1"/>
  <c r="H27" i="1"/>
  <c r="D31" i="1"/>
  <c r="E31" i="1"/>
  <c r="F31" i="1"/>
  <c r="G31" i="1"/>
  <c r="H31" i="1"/>
  <c r="D35" i="1"/>
  <c r="E35" i="1"/>
  <c r="F35" i="1"/>
  <c r="G35" i="1"/>
  <c r="H35" i="1"/>
  <c r="D33" i="1"/>
  <c r="E33" i="1"/>
  <c r="F33" i="1"/>
  <c r="G33" i="1"/>
  <c r="H33" i="1"/>
  <c r="D34" i="1"/>
  <c r="E34" i="1"/>
  <c r="F34" i="1"/>
  <c r="G34" i="1"/>
  <c r="H34" i="1"/>
  <c r="D36" i="1"/>
  <c r="E36" i="1"/>
  <c r="F36" i="1"/>
  <c r="G36" i="1"/>
  <c r="H36" i="1"/>
  <c r="D38" i="1"/>
  <c r="E38" i="1"/>
  <c r="F38" i="1"/>
  <c r="G38" i="1"/>
  <c r="H38" i="1"/>
  <c r="D37" i="1"/>
  <c r="E37" i="1"/>
  <c r="F37" i="1"/>
  <c r="G37" i="1"/>
  <c r="H37" i="1"/>
  <c r="D42" i="1"/>
  <c r="E42" i="1"/>
  <c r="F42" i="1"/>
  <c r="G42" i="1"/>
  <c r="H42" i="1"/>
  <c r="D40" i="1"/>
  <c r="E40" i="1"/>
  <c r="F40" i="1"/>
  <c r="G40" i="1"/>
  <c r="H40" i="1"/>
  <c r="D43" i="1"/>
  <c r="E43" i="1"/>
  <c r="F43" i="1"/>
  <c r="G43" i="1"/>
  <c r="H43" i="1"/>
  <c r="D39" i="1"/>
  <c r="E39" i="1"/>
  <c r="F39" i="1"/>
  <c r="G39" i="1"/>
  <c r="H39" i="1"/>
  <c r="D46" i="1"/>
  <c r="E46" i="1"/>
  <c r="F46" i="1"/>
  <c r="G46" i="1"/>
  <c r="H46" i="1"/>
  <c r="D44" i="1"/>
  <c r="E44" i="1"/>
  <c r="F44" i="1"/>
  <c r="G44" i="1"/>
  <c r="H44" i="1"/>
  <c r="D53" i="1"/>
  <c r="E53" i="1"/>
  <c r="F53" i="1"/>
  <c r="G53" i="1"/>
  <c r="H53" i="1"/>
  <c r="D47" i="1"/>
  <c r="E47" i="1"/>
  <c r="F47" i="1"/>
  <c r="G47" i="1"/>
  <c r="H47" i="1"/>
  <c r="D45" i="1"/>
  <c r="E45" i="1"/>
  <c r="F45" i="1"/>
  <c r="G45" i="1"/>
  <c r="H45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4" i="1"/>
  <c r="E54" i="1"/>
  <c r="F54" i="1"/>
  <c r="G54" i="1"/>
  <c r="H54" i="1"/>
  <c r="D51" i="1"/>
  <c r="E51" i="1"/>
  <c r="F51" i="1"/>
  <c r="G51" i="1"/>
  <c r="H51" i="1"/>
  <c r="D56" i="1"/>
  <c r="E56" i="1"/>
  <c r="F56" i="1"/>
  <c r="G56" i="1"/>
  <c r="H56" i="1"/>
  <c r="D52" i="1"/>
  <c r="E52" i="1"/>
  <c r="F52" i="1"/>
  <c r="G52" i="1"/>
  <c r="H52" i="1"/>
  <c r="D41" i="1"/>
  <c r="E41" i="1"/>
  <c r="F41" i="1"/>
  <c r="G41" i="1"/>
  <c r="H41" i="1"/>
  <c r="D55" i="1"/>
  <c r="E55" i="1"/>
  <c r="F55" i="1"/>
  <c r="G55" i="1"/>
  <c r="H55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7" i="1"/>
  <c r="E67" i="1"/>
  <c r="F67" i="1"/>
  <c r="G67" i="1"/>
  <c r="H67" i="1"/>
  <c r="D68" i="1"/>
  <c r="E68" i="1"/>
  <c r="F68" i="1"/>
  <c r="G68" i="1"/>
  <c r="H68" i="1"/>
  <c r="D66" i="1"/>
  <c r="E66" i="1"/>
  <c r="F66" i="1"/>
  <c r="G66" i="1"/>
  <c r="H66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76" i="1"/>
  <c r="E76" i="1"/>
  <c r="F76" i="1"/>
  <c r="G76" i="1"/>
  <c r="H76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88" i="1"/>
  <c r="E88" i="1"/>
  <c r="F88" i="1"/>
  <c r="G88" i="1"/>
  <c r="H88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104" i="1"/>
  <c r="E104" i="1"/>
  <c r="F104" i="1"/>
  <c r="G104" i="1"/>
  <c r="H104" i="1"/>
  <c r="D97" i="1"/>
  <c r="E97" i="1"/>
  <c r="F97" i="1"/>
  <c r="G97" i="1"/>
  <c r="H97" i="1"/>
  <c r="D81" i="1"/>
  <c r="E81" i="1"/>
  <c r="F81" i="1"/>
  <c r="G81" i="1"/>
  <c r="H81" i="1"/>
  <c r="D98" i="1"/>
  <c r="E98" i="1"/>
  <c r="F98" i="1"/>
  <c r="G98" i="1"/>
  <c r="H98" i="1"/>
  <c r="D106" i="1"/>
  <c r="E106" i="1"/>
  <c r="F106" i="1"/>
  <c r="G106" i="1"/>
  <c r="H106" i="1"/>
  <c r="D99" i="1"/>
  <c r="E99" i="1"/>
  <c r="F99" i="1"/>
  <c r="G99" i="1"/>
  <c r="H99" i="1"/>
  <c r="D105" i="1"/>
  <c r="E105" i="1"/>
  <c r="F105" i="1"/>
  <c r="G105" i="1"/>
  <c r="H105" i="1"/>
  <c r="D102" i="1"/>
  <c r="E102" i="1"/>
  <c r="F102" i="1"/>
  <c r="G102" i="1"/>
  <c r="H102" i="1"/>
  <c r="D103" i="1"/>
  <c r="E103" i="1"/>
  <c r="F103" i="1"/>
  <c r="G103" i="1"/>
  <c r="H103" i="1"/>
  <c r="D109" i="1"/>
  <c r="E109" i="1"/>
  <c r="F109" i="1"/>
  <c r="G109" i="1"/>
  <c r="H109" i="1"/>
  <c r="D108" i="1"/>
  <c r="E108" i="1"/>
  <c r="F108" i="1"/>
  <c r="G108" i="1"/>
  <c r="H108" i="1"/>
  <c r="D89" i="1"/>
  <c r="E89" i="1"/>
  <c r="F89" i="1"/>
  <c r="G89" i="1"/>
  <c r="H89" i="1"/>
  <c r="D90" i="1"/>
  <c r="E90" i="1"/>
  <c r="F90" i="1"/>
  <c r="G90" i="1"/>
  <c r="H90" i="1"/>
  <c r="D107" i="1"/>
  <c r="E107" i="1"/>
  <c r="F107" i="1"/>
  <c r="G107" i="1"/>
  <c r="H107" i="1"/>
  <c r="D112" i="1"/>
  <c r="E112" i="1"/>
  <c r="F112" i="1"/>
  <c r="G112" i="1"/>
  <c r="H112" i="1"/>
  <c r="D113" i="1"/>
  <c r="E113" i="1"/>
  <c r="F113" i="1"/>
  <c r="G113" i="1"/>
  <c r="H113" i="1"/>
  <c r="D101" i="1"/>
  <c r="E101" i="1"/>
  <c r="F101" i="1"/>
  <c r="G101" i="1"/>
  <c r="H101" i="1"/>
  <c r="D111" i="1"/>
  <c r="E111" i="1"/>
  <c r="F111" i="1"/>
  <c r="G111" i="1"/>
  <c r="H111" i="1"/>
  <c r="D110" i="1"/>
  <c r="E110" i="1"/>
  <c r="F110" i="1"/>
  <c r="G110" i="1"/>
  <c r="H110" i="1"/>
  <c r="D115" i="1"/>
  <c r="E115" i="1"/>
  <c r="F115" i="1"/>
  <c r="G115" i="1"/>
  <c r="H115" i="1"/>
  <c r="D116" i="1"/>
  <c r="E116" i="1"/>
  <c r="F116" i="1"/>
  <c r="G116" i="1"/>
  <c r="H116" i="1"/>
  <c r="D114" i="1"/>
  <c r="E114" i="1"/>
  <c r="F114" i="1"/>
  <c r="G114" i="1"/>
  <c r="H114" i="1"/>
  <c r="D117" i="1"/>
  <c r="E117" i="1"/>
  <c r="F117" i="1"/>
  <c r="G117" i="1"/>
  <c r="H117" i="1"/>
  <c r="D118" i="1"/>
  <c r="E118" i="1"/>
  <c r="F118" i="1"/>
  <c r="G118" i="1"/>
  <c r="H118" i="1"/>
  <c r="D122" i="1"/>
  <c r="E122" i="1"/>
  <c r="F122" i="1"/>
  <c r="G122" i="1"/>
  <c r="H122" i="1"/>
  <c r="D121" i="1"/>
  <c r="E121" i="1"/>
  <c r="F121" i="1"/>
  <c r="G121" i="1"/>
  <c r="H121" i="1"/>
  <c r="D100" i="1"/>
  <c r="E100" i="1"/>
  <c r="F100" i="1"/>
  <c r="G100" i="1"/>
  <c r="H100" i="1"/>
  <c r="D119" i="1"/>
  <c r="E119" i="1"/>
  <c r="F119" i="1"/>
  <c r="G119" i="1"/>
  <c r="H119" i="1"/>
  <c r="D120" i="1"/>
  <c r="E120" i="1"/>
  <c r="F120" i="1"/>
  <c r="G120" i="1"/>
  <c r="H120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42" i="1"/>
  <c r="E142" i="1"/>
  <c r="F142" i="1"/>
  <c r="G142" i="1"/>
  <c r="H142" i="1"/>
  <c r="D136" i="1"/>
  <c r="E136" i="1"/>
  <c r="F136" i="1"/>
  <c r="G136" i="1"/>
  <c r="H136" i="1"/>
  <c r="D137" i="1"/>
  <c r="E137" i="1"/>
  <c r="F137" i="1"/>
  <c r="G137" i="1"/>
  <c r="H137" i="1"/>
  <c r="D141" i="1"/>
  <c r="E141" i="1"/>
  <c r="F141" i="1"/>
  <c r="G141" i="1"/>
  <c r="H141" i="1"/>
  <c r="D143" i="1"/>
  <c r="E143" i="1"/>
  <c r="F143" i="1"/>
  <c r="G143" i="1"/>
  <c r="H143" i="1"/>
  <c r="D144" i="1"/>
  <c r="E144" i="1"/>
  <c r="F144" i="1"/>
  <c r="G144" i="1"/>
  <c r="H144" i="1"/>
  <c r="D150" i="1"/>
  <c r="E150" i="1"/>
  <c r="F150" i="1"/>
  <c r="G150" i="1"/>
  <c r="H150" i="1"/>
  <c r="D149" i="1"/>
  <c r="E149" i="1"/>
  <c r="F149" i="1"/>
  <c r="G149" i="1"/>
  <c r="H149" i="1"/>
  <c r="D152" i="1"/>
  <c r="E152" i="1"/>
  <c r="F152" i="1"/>
  <c r="G152" i="1"/>
  <c r="H152" i="1"/>
  <c r="D151" i="1"/>
  <c r="E151" i="1"/>
  <c r="F151" i="1"/>
  <c r="G151" i="1"/>
  <c r="H151" i="1"/>
  <c r="D138" i="1"/>
  <c r="E138" i="1"/>
  <c r="F138" i="1"/>
  <c r="G138" i="1"/>
  <c r="H138" i="1"/>
  <c r="D145" i="1"/>
  <c r="E145" i="1"/>
  <c r="F145" i="1"/>
  <c r="G145" i="1"/>
  <c r="H145" i="1"/>
  <c r="D139" i="1"/>
  <c r="E139" i="1"/>
  <c r="F139" i="1"/>
  <c r="G139" i="1"/>
  <c r="H139" i="1"/>
  <c r="D146" i="1"/>
  <c r="E146" i="1"/>
  <c r="F146" i="1"/>
  <c r="G146" i="1"/>
  <c r="H146" i="1"/>
  <c r="D154" i="1"/>
  <c r="E154" i="1"/>
  <c r="F154" i="1"/>
  <c r="G154" i="1"/>
  <c r="H154" i="1"/>
  <c r="D153" i="1"/>
  <c r="E153" i="1"/>
  <c r="F153" i="1"/>
  <c r="G153" i="1"/>
  <c r="H153" i="1"/>
  <c r="D155" i="1"/>
  <c r="E155" i="1"/>
  <c r="F155" i="1"/>
  <c r="G155" i="1"/>
  <c r="H155" i="1"/>
  <c r="D158" i="1"/>
  <c r="E158" i="1"/>
  <c r="F158" i="1"/>
  <c r="G158" i="1"/>
  <c r="H158" i="1"/>
  <c r="D159" i="1"/>
  <c r="E159" i="1"/>
  <c r="F159" i="1"/>
  <c r="G159" i="1"/>
  <c r="H159" i="1"/>
  <c r="D156" i="1"/>
  <c r="E156" i="1"/>
  <c r="F156" i="1"/>
  <c r="G156" i="1"/>
  <c r="H156" i="1"/>
  <c r="D166" i="1"/>
  <c r="E166" i="1"/>
  <c r="F166" i="1"/>
  <c r="G166" i="1"/>
  <c r="H166" i="1"/>
  <c r="D160" i="1"/>
  <c r="E160" i="1"/>
  <c r="F160" i="1"/>
  <c r="G160" i="1"/>
  <c r="H160" i="1"/>
  <c r="D163" i="1"/>
  <c r="E163" i="1"/>
  <c r="F163" i="1"/>
  <c r="G163" i="1"/>
  <c r="H163" i="1"/>
  <c r="D161" i="1"/>
  <c r="E161" i="1"/>
  <c r="F161" i="1"/>
  <c r="G161" i="1"/>
  <c r="H161" i="1"/>
  <c r="D162" i="1"/>
  <c r="E162" i="1"/>
  <c r="F162" i="1"/>
  <c r="G162" i="1"/>
  <c r="H162" i="1"/>
  <c r="D167" i="1"/>
  <c r="E167" i="1"/>
  <c r="F167" i="1"/>
  <c r="G167" i="1"/>
  <c r="H167" i="1"/>
  <c r="D140" i="1"/>
  <c r="E140" i="1"/>
  <c r="F140" i="1"/>
  <c r="G140" i="1"/>
  <c r="H140" i="1"/>
  <c r="D147" i="1"/>
  <c r="E147" i="1"/>
  <c r="F147" i="1"/>
  <c r="G147" i="1"/>
  <c r="H147" i="1"/>
  <c r="D168" i="1"/>
  <c r="E168" i="1"/>
  <c r="F168" i="1"/>
  <c r="G168" i="1"/>
  <c r="H168" i="1"/>
  <c r="D169" i="1"/>
  <c r="E169" i="1"/>
  <c r="F169" i="1"/>
  <c r="G169" i="1"/>
  <c r="H169" i="1"/>
  <c r="D148" i="1"/>
  <c r="E148" i="1"/>
  <c r="F148" i="1"/>
  <c r="G148" i="1"/>
  <c r="H148" i="1"/>
  <c r="D164" i="1"/>
  <c r="E164" i="1"/>
  <c r="F164" i="1"/>
  <c r="G164" i="1"/>
  <c r="H164" i="1"/>
  <c r="D171" i="1"/>
  <c r="E171" i="1"/>
  <c r="F171" i="1"/>
  <c r="G171" i="1"/>
  <c r="H171" i="1"/>
  <c r="D170" i="1"/>
  <c r="E170" i="1"/>
  <c r="F170" i="1"/>
  <c r="G170" i="1"/>
  <c r="H170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65" i="1"/>
  <c r="E165" i="1"/>
  <c r="F165" i="1"/>
  <c r="G165" i="1"/>
  <c r="H165" i="1"/>
  <c r="D176" i="1"/>
  <c r="E176" i="1"/>
  <c r="F176" i="1"/>
  <c r="G176" i="1"/>
  <c r="H176" i="1"/>
  <c r="D177" i="1"/>
  <c r="E177" i="1"/>
  <c r="F177" i="1"/>
  <c r="G177" i="1"/>
  <c r="H177" i="1"/>
  <c r="D157" i="1"/>
  <c r="E157" i="1"/>
  <c r="F157" i="1"/>
  <c r="G157" i="1"/>
  <c r="H15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6" i="1"/>
  <c r="E186" i="1"/>
  <c r="F186" i="1"/>
  <c r="G186" i="1"/>
  <c r="H186" i="1"/>
  <c r="D183" i="1"/>
  <c r="E183" i="1"/>
  <c r="F183" i="1"/>
  <c r="G183" i="1"/>
  <c r="H183" i="1"/>
  <c r="D184" i="1"/>
  <c r="E184" i="1"/>
  <c r="F184" i="1"/>
  <c r="G184" i="1"/>
  <c r="H184" i="1"/>
  <c r="D187" i="1"/>
  <c r="E187" i="1"/>
  <c r="F187" i="1"/>
  <c r="G187" i="1"/>
  <c r="H187" i="1"/>
  <c r="D188" i="1"/>
  <c r="E188" i="1"/>
  <c r="F188" i="1"/>
  <c r="G188" i="1"/>
  <c r="H188" i="1"/>
  <c r="D185" i="1"/>
  <c r="E185" i="1"/>
  <c r="F185" i="1"/>
  <c r="G185" i="1"/>
  <c r="H185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7" i="1"/>
  <c r="E207" i="1"/>
  <c r="F207" i="1"/>
  <c r="G207" i="1"/>
  <c r="H207" i="1"/>
  <c r="D208" i="1"/>
  <c r="E208" i="1"/>
  <c r="F208" i="1"/>
  <c r="G208" i="1"/>
  <c r="H208" i="1"/>
  <c r="D203" i="1"/>
  <c r="E203" i="1"/>
  <c r="F203" i="1"/>
  <c r="G203" i="1"/>
  <c r="H203" i="1"/>
  <c r="D212" i="1"/>
  <c r="E212" i="1"/>
  <c r="F212" i="1"/>
  <c r="G212" i="1"/>
  <c r="H212" i="1"/>
  <c r="D210" i="1"/>
  <c r="E210" i="1"/>
  <c r="F210" i="1"/>
  <c r="G210" i="1"/>
  <c r="H210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04" i="1"/>
  <c r="E204" i="1"/>
  <c r="F204" i="1"/>
  <c r="G204" i="1"/>
  <c r="H204" i="1"/>
  <c r="D216" i="1"/>
  <c r="E216" i="1"/>
  <c r="F216" i="1"/>
  <c r="G216" i="1"/>
  <c r="H216" i="1"/>
  <c r="D217" i="1"/>
  <c r="E217" i="1"/>
  <c r="F217" i="1"/>
  <c r="G217" i="1"/>
  <c r="H217" i="1"/>
  <c r="D211" i="1"/>
  <c r="E211" i="1"/>
  <c r="F211" i="1"/>
  <c r="G211" i="1"/>
  <c r="H211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32" i="1"/>
  <c r="E232" i="1"/>
  <c r="F232" i="1"/>
  <c r="G232" i="1"/>
  <c r="H232" i="1"/>
  <c r="D227" i="1"/>
  <c r="E227" i="1"/>
  <c r="F227" i="1"/>
  <c r="G227" i="1"/>
  <c r="H227" i="1"/>
  <c r="D233" i="1"/>
  <c r="E233" i="1"/>
  <c r="F233" i="1"/>
  <c r="G233" i="1"/>
  <c r="H233" i="1"/>
  <c r="D234" i="1"/>
  <c r="E234" i="1"/>
  <c r="F234" i="1"/>
  <c r="G234" i="1"/>
  <c r="H234" i="1"/>
  <c r="D206" i="1"/>
  <c r="E206" i="1"/>
  <c r="F206" i="1"/>
  <c r="G206" i="1"/>
  <c r="H206" i="1"/>
  <c r="D205" i="1"/>
  <c r="E205" i="1"/>
  <c r="F205" i="1"/>
  <c r="G205" i="1"/>
  <c r="H205" i="1"/>
  <c r="D228" i="1"/>
  <c r="E228" i="1"/>
  <c r="F228" i="1"/>
  <c r="G228" i="1"/>
  <c r="H228" i="1"/>
  <c r="D238" i="1"/>
  <c r="E238" i="1"/>
  <c r="F238" i="1"/>
  <c r="G238" i="1"/>
  <c r="H238" i="1"/>
  <c r="D209" i="1"/>
  <c r="E209" i="1"/>
  <c r="F209" i="1"/>
  <c r="G209" i="1"/>
  <c r="H209" i="1"/>
  <c r="D235" i="1"/>
  <c r="E235" i="1"/>
  <c r="F235" i="1"/>
  <c r="G235" i="1"/>
  <c r="H235" i="1"/>
  <c r="D229" i="1"/>
  <c r="E229" i="1"/>
  <c r="F229" i="1"/>
  <c r="G229" i="1"/>
  <c r="H229" i="1"/>
  <c r="D239" i="1"/>
  <c r="E239" i="1"/>
  <c r="F239" i="1"/>
  <c r="G239" i="1"/>
  <c r="H239" i="1"/>
  <c r="D240" i="1"/>
  <c r="E240" i="1"/>
  <c r="F240" i="1"/>
  <c r="G240" i="1"/>
  <c r="H240" i="1"/>
  <c r="D230" i="1"/>
  <c r="E230" i="1"/>
  <c r="F230" i="1"/>
  <c r="G230" i="1"/>
  <c r="H230" i="1"/>
  <c r="D236" i="1"/>
  <c r="E236" i="1"/>
  <c r="F236" i="1"/>
  <c r="G236" i="1"/>
  <c r="H236" i="1"/>
  <c r="D243" i="1"/>
  <c r="E243" i="1"/>
  <c r="F243" i="1"/>
  <c r="G243" i="1"/>
  <c r="H243" i="1"/>
  <c r="D247" i="1"/>
  <c r="E247" i="1"/>
  <c r="F247" i="1"/>
  <c r="G247" i="1"/>
  <c r="H247" i="1"/>
  <c r="D241" i="1"/>
  <c r="E241" i="1"/>
  <c r="F241" i="1"/>
  <c r="G241" i="1"/>
  <c r="H241" i="1"/>
  <c r="D244" i="1"/>
  <c r="E244" i="1"/>
  <c r="F244" i="1"/>
  <c r="G244" i="1"/>
  <c r="H244" i="1"/>
  <c r="D251" i="1"/>
  <c r="E251" i="1"/>
  <c r="F251" i="1"/>
  <c r="G251" i="1"/>
  <c r="H251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2" i="1"/>
  <c r="E252" i="1"/>
  <c r="F252" i="1"/>
  <c r="G252" i="1"/>
  <c r="H252" i="1"/>
  <c r="D245" i="1"/>
  <c r="E245" i="1"/>
  <c r="F245" i="1"/>
  <c r="G245" i="1"/>
  <c r="H245" i="1"/>
  <c r="D253" i="1"/>
  <c r="E253" i="1"/>
  <c r="F253" i="1"/>
  <c r="G253" i="1"/>
  <c r="H253" i="1"/>
  <c r="D255" i="1"/>
  <c r="E255" i="1"/>
  <c r="F255" i="1"/>
  <c r="G255" i="1"/>
  <c r="H255" i="1"/>
  <c r="D256" i="1"/>
  <c r="E256" i="1"/>
  <c r="F256" i="1"/>
  <c r="G256" i="1"/>
  <c r="H256" i="1"/>
  <c r="D254" i="1"/>
  <c r="E254" i="1"/>
  <c r="F254" i="1"/>
  <c r="G254" i="1"/>
  <c r="H254" i="1"/>
  <c r="D257" i="1"/>
  <c r="E257" i="1"/>
  <c r="F257" i="1"/>
  <c r="G257" i="1"/>
  <c r="H257" i="1"/>
  <c r="D258" i="1"/>
  <c r="E258" i="1"/>
  <c r="F258" i="1"/>
  <c r="G258" i="1"/>
  <c r="H258" i="1"/>
  <c r="D261" i="1"/>
  <c r="E261" i="1"/>
  <c r="F261" i="1"/>
  <c r="G261" i="1"/>
  <c r="H261" i="1"/>
  <c r="D262" i="1"/>
  <c r="E262" i="1"/>
  <c r="F262" i="1"/>
  <c r="G262" i="1"/>
  <c r="H262" i="1"/>
  <c r="D242" i="1"/>
  <c r="E242" i="1"/>
  <c r="F242" i="1"/>
  <c r="G242" i="1"/>
  <c r="H242" i="1"/>
  <c r="D263" i="1"/>
  <c r="E263" i="1"/>
  <c r="F263" i="1"/>
  <c r="G263" i="1"/>
  <c r="H263" i="1"/>
  <c r="D264" i="1"/>
  <c r="E264" i="1"/>
  <c r="F264" i="1"/>
  <c r="G264" i="1"/>
  <c r="H264" i="1"/>
  <c r="D259" i="1"/>
  <c r="E259" i="1"/>
  <c r="F259" i="1"/>
  <c r="G259" i="1"/>
  <c r="H259" i="1"/>
  <c r="D260" i="1"/>
  <c r="E260" i="1"/>
  <c r="F260" i="1"/>
  <c r="G260" i="1"/>
  <c r="H260" i="1"/>
  <c r="D265" i="1"/>
  <c r="E265" i="1"/>
  <c r="F265" i="1"/>
  <c r="G265" i="1"/>
  <c r="H265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8" i="1"/>
  <c r="E278" i="1"/>
  <c r="F278" i="1"/>
  <c r="G278" i="1"/>
  <c r="H278" i="1"/>
  <c r="D193" i="1"/>
  <c r="E193" i="1"/>
  <c r="F193" i="1"/>
  <c r="G193" i="1"/>
  <c r="H193" i="1"/>
  <c r="D279" i="1"/>
  <c r="E279" i="1"/>
  <c r="F279" i="1"/>
  <c r="G279" i="1"/>
  <c r="H279" i="1"/>
  <c r="D266" i="1"/>
  <c r="E266" i="1"/>
  <c r="F266" i="1"/>
  <c r="G266" i="1"/>
  <c r="H266" i="1"/>
  <c r="D280" i="1"/>
  <c r="E280" i="1"/>
  <c r="F280" i="1"/>
  <c r="G280" i="1"/>
  <c r="H280" i="1"/>
  <c r="D281" i="1"/>
  <c r="E281" i="1"/>
  <c r="F281" i="1"/>
  <c r="G281" i="1"/>
  <c r="H281" i="1"/>
  <c r="D267" i="1"/>
  <c r="E267" i="1"/>
  <c r="F267" i="1"/>
  <c r="G267" i="1"/>
  <c r="H267" i="1"/>
  <c r="D284" i="1"/>
  <c r="E284" i="1"/>
  <c r="F284" i="1"/>
  <c r="G284" i="1"/>
  <c r="H284" i="1"/>
  <c r="D231" i="1"/>
  <c r="E231" i="1"/>
  <c r="F231" i="1"/>
  <c r="G231" i="1"/>
  <c r="H231" i="1"/>
  <c r="D285" i="1"/>
  <c r="E285" i="1"/>
  <c r="F285" i="1"/>
  <c r="G285" i="1"/>
  <c r="H285" i="1"/>
  <c r="D282" i="1"/>
  <c r="E282" i="1"/>
  <c r="F282" i="1"/>
  <c r="G282" i="1"/>
  <c r="H282" i="1"/>
  <c r="D283" i="1"/>
  <c r="E283" i="1"/>
  <c r="F283" i="1"/>
  <c r="G283" i="1"/>
  <c r="H283" i="1"/>
  <c r="D286" i="1"/>
  <c r="E286" i="1"/>
  <c r="F286" i="1"/>
  <c r="G286" i="1"/>
  <c r="H286" i="1"/>
  <c r="D237" i="1"/>
  <c r="E237" i="1"/>
  <c r="F237" i="1"/>
  <c r="G237" i="1"/>
  <c r="H237" i="1"/>
  <c r="D290" i="1"/>
  <c r="E290" i="1"/>
  <c r="F290" i="1"/>
  <c r="G290" i="1"/>
  <c r="H290" i="1"/>
  <c r="D288" i="1"/>
  <c r="E288" i="1"/>
  <c r="F288" i="1"/>
  <c r="G288" i="1"/>
  <c r="H288" i="1"/>
  <c r="D292" i="1"/>
  <c r="E292" i="1"/>
  <c r="F292" i="1"/>
  <c r="G292" i="1"/>
  <c r="H292" i="1"/>
  <c r="D289" i="1"/>
  <c r="E289" i="1"/>
  <c r="F289" i="1"/>
  <c r="G289" i="1"/>
  <c r="H289" i="1"/>
  <c r="D294" i="1"/>
  <c r="E294" i="1"/>
  <c r="F294" i="1"/>
  <c r="G294" i="1"/>
  <c r="H294" i="1"/>
  <c r="D296" i="1"/>
  <c r="E296" i="1"/>
  <c r="F296" i="1"/>
  <c r="G296" i="1"/>
  <c r="H296" i="1"/>
  <c r="D275" i="1"/>
  <c r="E275" i="1"/>
  <c r="F275" i="1"/>
  <c r="G275" i="1"/>
  <c r="H275" i="1"/>
  <c r="D276" i="1"/>
  <c r="E276" i="1"/>
  <c r="F276" i="1"/>
  <c r="G276" i="1"/>
  <c r="H276" i="1"/>
  <c r="D297" i="1"/>
  <c r="E297" i="1"/>
  <c r="F297" i="1"/>
  <c r="G297" i="1"/>
  <c r="H297" i="1"/>
  <c r="D287" i="1"/>
  <c r="E287" i="1"/>
  <c r="F287" i="1"/>
  <c r="G287" i="1"/>
  <c r="H287" i="1"/>
  <c r="D246" i="1"/>
  <c r="E246" i="1"/>
  <c r="F246" i="1"/>
  <c r="G246" i="1"/>
  <c r="H246" i="1"/>
  <c r="D293" i="1"/>
  <c r="E293" i="1"/>
  <c r="F293" i="1"/>
  <c r="G293" i="1"/>
  <c r="H293" i="1"/>
  <c r="D295" i="1"/>
  <c r="E295" i="1"/>
  <c r="F295" i="1"/>
  <c r="G295" i="1"/>
  <c r="H295" i="1"/>
  <c r="D299" i="1"/>
  <c r="E299" i="1"/>
  <c r="F299" i="1"/>
  <c r="G299" i="1"/>
  <c r="H299" i="1"/>
  <c r="D291" i="1"/>
  <c r="E291" i="1"/>
  <c r="F291" i="1"/>
  <c r="G291" i="1"/>
  <c r="H291" i="1"/>
  <c r="D300" i="1"/>
  <c r="E300" i="1"/>
  <c r="F300" i="1"/>
  <c r="G300" i="1"/>
  <c r="H300" i="1"/>
  <c r="D298" i="1"/>
  <c r="E298" i="1"/>
  <c r="F298" i="1"/>
  <c r="G298" i="1"/>
  <c r="H298" i="1"/>
  <c r="D301" i="1"/>
  <c r="E301" i="1"/>
  <c r="F301" i="1"/>
  <c r="G301" i="1"/>
  <c r="H301" i="1"/>
  <c r="D302" i="1"/>
  <c r="E302" i="1"/>
  <c r="F302" i="1"/>
  <c r="G302" i="1"/>
  <c r="H302" i="1"/>
  <c r="D304" i="1"/>
  <c r="E304" i="1"/>
  <c r="F304" i="1"/>
  <c r="G304" i="1"/>
  <c r="H304" i="1"/>
  <c r="D305" i="1"/>
  <c r="E305" i="1"/>
  <c r="F305" i="1"/>
  <c r="G305" i="1"/>
  <c r="H305" i="1"/>
  <c r="D277" i="1"/>
  <c r="E277" i="1"/>
  <c r="F277" i="1"/>
  <c r="G277" i="1"/>
  <c r="H277" i="1"/>
  <c r="D303" i="1"/>
  <c r="E303" i="1"/>
  <c r="F303" i="1"/>
  <c r="G303" i="1"/>
  <c r="H303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7" i="1"/>
  <c r="E327" i="1"/>
  <c r="F327" i="1"/>
  <c r="G327" i="1"/>
  <c r="H327" i="1"/>
  <c r="D323" i="1"/>
  <c r="E323" i="1"/>
  <c r="F323" i="1"/>
  <c r="G323" i="1"/>
  <c r="H323" i="1"/>
  <c r="D328" i="1"/>
  <c r="E328" i="1"/>
  <c r="F328" i="1"/>
  <c r="G328" i="1"/>
  <c r="H328" i="1"/>
  <c r="D324" i="1"/>
  <c r="E324" i="1"/>
  <c r="F324" i="1"/>
  <c r="G324" i="1"/>
  <c r="H324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4" i="1"/>
  <c r="E334" i="1"/>
  <c r="F334" i="1"/>
  <c r="G334" i="1"/>
  <c r="H334" i="1"/>
  <c r="D332" i="1"/>
  <c r="E332" i="1"/>
  <c r="F332" i="1"/>
  <c r="G332" i="1"/>
  <c r="H332" i="1"/>
  <c r="D335" i="1"/>
  <c r="E335" i="1"/>
  <c r="F335" i="1"/>
  <c r="G335" i="1"/>
  <c r="H335" i="1"/>
  <c r="D336" i="1"/>
  <c r="E336" i="1"/>
  <c r="F336" i="1"/>
  <c r="G336" i="1"/>
  <c r="H336" i="1"/>
  <c r="D325" i="1"/>
  <c r="E325" i="1"/>
  <c r="F325" i="1"/>
  <c r="G325" i="1"/>
  <c r="H325" i="1"/>
  <c r="D341" i="1"/>
  <c r="E341" i="1"/>
  <c r="F341" i="1"/>
  <c r="G341" i="1"/>
  <c r="H341" i="1"/>
  <c r="D339" i="1"/>
  <c r="E339" i="1"/>
  <c r="F339" i="1"/>
  <c r="G339" i="1"/>
  <c r="H339" i="1"/>
  <c r="D344" i="1"/>
  <c r="E344" i="1"/>
  <c r="F344" i="1"/>
  <c r="G344" i="1"/>
  <c r="H344" i="1"/>
  <c r="D342" i="1"/>
  <c r="E342" i="1"/>
  <c r="F342" i="1"/>
  <c r="G342" i="1"/>
  <c r="H342" i="1"/>
  <c r="D337" i="1"/>
  <c r="E337" i="1"/>
  <c r="F337" i="1"/>
  <c r="G337" i="1"/>
  <c r="H337" i="1"/>
  <c r="D343" i="1"/>
  <c r="E343" i="1"/>
  <c r="F343" i="1"/>
  <c r="G343" i="1"/>
  <c r="H343" i="1"/>
  <c r="D345" i="1"/>
  <c r="E345" i="1"/>
  <c r="F345" i="1"/>
  <c r="G345" i="1"/>
  <c r="H345" i="1"/>
  <c r="D319" i="1"/>
  <c r="E319" i="1"/>
  <c r="F319" i="1"/>
  <c r="G319" i="1"/>
  <c r="H319" i="1"/>
  <c r="D350" i="1"/>
  <c r="E350" i="1"/>
  <c r="F350" i="1"/>
  <c r="G350" i="1"/>
  <c r="H350" i="1"/>
  <c r="D351" i="1"/>
  <c r="E351" i="1"/>
  <c r="F351" i="1"/>
  <c r="G351" i="1"/>
  <c r="H351" i="1"/>
  <c r="D346" i="1"/>
  <c r="E346" i="1"/>
  <c r="F346" i="1"/>
  <c r="G346" i="1"/>
  <c r="H346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33" i="1"/>
  <c r="E333" i="1"/>
  <c r="F333" i="1"/>
  <c r="G333" i="1"/>
  <c r="H333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68" i="1"/>
  <c r="E368" i="1"/>
  <c r="F368" i="1"/>
  <c r="G368" i="1"/>
  <c r="H368" i="1"/>
  <c r="D359" i="1"/>
  <c r="E359" i="1"/>
  <c r="F359" i="1"/>
  <c r="G359" i="1"/>
  <c r="H359" i="1"/>
  <c r="D340" i="1"/>
  <c r="E340" i="1"/>
  <c r="F340" i="1"/>
  <c r="G340" i="1"/>
  <c r="H340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48" i="1"/>
  <c r="E348" i="1"/>
  <c r="F348" i="1"/>
  <c r="G348" i="1"/>
  <c r="H348" i="1"/>
  <c r="D363" i="1"/>
  <c r="E363" i="1"/>
  <c r="F363" i="1"/>
  <c r="G363" i="1"/>
  <c r="H363" i="1"/>
  <c r="D369" i="1"/>
  <c r="E369" i="1"/>
  <c r="F369" i="1"/>
  <c r="G369" i="1"/>
  <c r="H369" i="1"/>
  <c r="D370" i="1"/>
  <c r="E370" i="1"/>
  <c r="F370" i="1"/>
  <c r="G370" i="1"/>
  <c r="H370" i="1"/>
  <c r="D364" i="1"/>
  <c r="E364" i="1"/>
  <c r="F364" i="1"/>
  <c r="G364" i="1"/>
  <c r="H364" i="1"/>
  <c r="D365" i="1"/>
  <c r="E365" i="1"/>
  <c r="F365" i="1"/>
  <c r="G365" i="1"/>
  <c r="H365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66" i="1"/>
  <c r="E366" i="1"/>
  <c r="F366" i="1"/>
  <c r="G366" i="1"/>
  <c r="H366" i="1"/>
  <c r="D318" i="1"/>
  <c r="E318" i="1"/>
  <c r="F318" i="1"/>
  <c r="G318" i="1"/>
  <c r="H318" i="1"/>
  <c r="D375" i="1"/>
  <c r="E375" i="1"/>
  <c r="F375" i="1"/>
  <c r="G375" i="1"/>
  <c r="H375" i="1"/>
  <c r="D376" i="1"/>
  <c r="E376" i="1"/>
  <c r="F376" i="1"/>
  <c r="G376" i="1"/>
  <c r="H376" i="1"/>
  <c r="D379" i="1"/>
  <c r="E379" i="1"/>
  <c r="F379" i="1"/>
  <c r="G379" i="1"/>
  <c r="H379" i="1"/>
  <c r="D338" i="1"/>
  <c r="E338" i="1"/>
  <c r="F338" i="1"/>
  <c r="G338" i="1"/>
  <c r="H338" i="1"/>
  <c r="D382" i="1"/>
  <c r="E382" i="1"/>
  <c r="F382" i="1"/>
  <c r="G382" i="1"/>
  <c r="H382" i="1"/>
  <c r="D378" i="1"/>
  <c r="E378" i="1"/>
  <c r="F378" i="1"/>
  <c r="G378" i="1"/>
  <c r="H378" i="1"/>
  <c r="D387" i="1"/>
  <c r="E387" i="1"/>
  <c r="F387" i="1"/>
  <c r="G387" i="1"/>
  <c r="H387" i="1"/>
  <c r="D381" i="1"/>
  <c r="E381" i="1"/>
  <c r="F381" i="1"/>
  <c r="G381" i="1"/>
  <c r="H381" i="1"/>
  <c r="D383" i="1"/>
  <c r="E383" i="1"/>
  <c r="F383" i="1"/>
  <c r="G383" i="1"/>
  <c r="H383" i="1"/>
  <c r="D388" i="1"/>
  <c r="E388" i="1"/>
  <c r="F388" i="1"/>
  <c r="G388" i="1"/>
  <c r="H388" i="1"/>
  <c r="D390" i="1"/>
  <c r="E390" i="1"/>
  <c r="F390" i="1"/>
  <c r="G390" i="1"/>
  <c r="H390" i="1"/>
  <c r="D384" i="1"/>
  <c r="E384" i="1"/>
  <c r="F384" i="1"/>
  <c r="G384" i="1"/>
  <c r="H384" i="1"/>
  <c r="D347" i="1"/>
  <c r="E347" i="1"/>
  <c r="F347" i="1"/>
  <c r="G347" i="1"/>
  <c r="H347" i="1"/>
  <c r="D367" i="1"/>
  <c r="E367" i="1"/>
  <c r="F367" i="1"/>
  <c r="G367" i="1"/>
  <c r="H367" i="1"/>
  <c r="D391" i="1"/>
  <c r="E391" i="1"/>
  <c r="F391" i="1"/>
  <c r="G391" i="1"/>
  <c r="H391" i="1"/>
  <c r="D396" i="1"/>
  <c r="E396" i="1"/>
  <c r="F396" i="1"/>
  <c r="G396" i="1"/>
  <c r="H396" i="1"/>
  <c r="D392" i="1"/>
  <c r="E392" i="1"/>
  <c r="F392" i="1"/>
  <c r="G392" i="1"/>
  <c r="H392" i="1"/>
  <c r="D393" i="1"/>
  <c r="E393" i="1"/>
  <c r="F393" i="1"/>
  <c r="G393" i="1"/>
  <c r="H393" i="1"/>
  <c r="D397" i="1"/>
  <c r="E397" i="1"/>
  <c r="F397" i="1"/>
  <c r="G397" i="1"/>
  <c r="H397" i="1"/>
  <c r="D398" i="1"/>
  <c r="E398" i="1"/>
  <c r="F398" i="1"/>
  <c r="G398" i="1"/>
  <c r="H398" i="1"/>
  <c r="D394" i="1"/>
  <c r="E394" i="1"/>
  <c r="F394" i="1"/>
  <c r="G394" i="1"/>
  <c r="H394" i="1"/>
  <c r="D386" i="1"/>
  <c r="E386" i="1"/>
  <c r="F386" i="1"/>
  <c r="G386" i="1"/>
  <c r="H386" i="1"/>
  <c r="D399" i="1"/>
  <c r="E399" i="1"/>
  <c r="F399" i="1"/>
  <c r="G399" i="1"/>
  <c r="H399" i="1"/>
  <c r="D402" i="1"/>
  <c r="E402" i="1"/>
  <c r="F402" i="1"/>
  <c r="G402" i="1"/>
  <c r="H402" i="1"/>
  <c r="D400" i="1"/>
  <c r="E400" i="1"/>
  <c r="F400" i="1"/>
  <c r="G400" i="1"/>
  <c r="H400" i="1"/>
  <c r="D385" i="1"/>
  <c r="E385" i="1"/>
  <c r="F385" i="1"/>
  <c r="G385" i="1"/>
  <c r="H385" i="1"/>
  <c r="D401" i="1"/>
  <c r="E401" i="1"/>
  <c r="F401" i="1"/>
  <c r="G401" i="1"/>
  <c r="H401" i="1"/>
  <c r="D406" i="1"/>
  <c r="E406" i="1"/>
  <c r="F406" i="1"/>
  <c r="G406" i="1"/>
  <c r="H406" i="1"/>
  <c r="D404" i="1"/>
  <c r="E404" i="1"/>
  <c r="F404" i="1"/>
  <c r="G404" i="1"/>
  <c r="H404" i="1"/>
  <c r="D395" i="1"/>
  <c r="E395" i="1"/>
  <c r="F395" i="1"/>
  <c r="G395" i="1"/>
  <c r="H395" i="1"/>
  <c r="D407" i="1"/>
  <c r="E407" i="1"/>
  <c r="F407" i="1"/>
  <c r="G407" i="1"/>
  <c r="H407" i="1"/>
  <c r="D409" i="1"/>
  <c r="E409" i="1"/>
  <c r="F409" i="1"/>
  <c r="G409" i="1"/>
  <c r="H409" i="1"/>
  <c r="D408" i="1"/>
  <c r="E408" i="1"/>
  <c r="F408" i="1"/>
  <c r="G408" i="1"/>
  <c r="H408" i="1"/>
  <c r="D377" i="1"/>
  <c r="E377" i="1"/>
  <c r="F377" i="1"/>
  <c r="G377" i="1"/>
  <c r="H377" i="1"/>
  <c r="D410" i="1"/>
  <c r="E410" i="1"/>
  <c r="F410" i="1"/>
  <c r="G410" i="1"/>
  <c r="H410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6" i="1"/>
  <c r="E416" i="1"/>
  <c r="F416" i="1"/>
  <c r="G416" i="1"/>
  <c r="H416" i="1"/>
  <c r="D415" i="1"/>
  <c r="E415" i="1"/>
  <c r="F415" i="1"/>
  <c r="G415" i="1"/>
  <c r="H415" i="1"/>
  <c r="D417" i="1"/>
  <c r="E417" i="1"/>
  <c r="F417" i="1"/>
  <c r="G417" i="1"/>
  <c r="H417" i="1"/>
  <c r="D419" i="1"/>
  <c r="E419" i="1"/>
  <c r="F419" i="1"/>
  <c r="G419" i="1"/>
  <c r="H419" i="1"/>
  <c r="D418" i="1"/>
  <c r="E418" i="1"/>
  <c r="F418" i="1"/>
  <c r="G418" i="1"/>
  <c r="H418" i="1"/>
  <c r="D403" i="1"/>
  <c r="E403" i="1"/>
  <c r="F403" i="1"/>
  <c r="G403" i="1"/>
  <c r="H403" i="1"/>
  <c r="D424" i="1"/>
  <c r="E424" i="1"/>
  <c r="F424" i="1"/>
  <c r="G424" i="1"/>
  <c r="H424" i="1"/>
  <c r="D423" i="1"/>
  <c r="E423" i="1"/>
  <c r="F423" i="1"/>
  <c r="G423" i="1"/>
  <c r="H423" i="1"/>
  <c r="D326" i="1"/>
  <c r="E326" i="1"/>
  <c r="F326" i="1"/>
  <c r="G326" i="1"/>
  <c r="H326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2" i="1"/>
  <c r="E422" i="1"/>
  <c r="F422" i="1"/>
  <c r="G422" i="1"/>
  <c r="H422" i="1"/>
  <c r="D428" i="1"/>
  <c r="E428" i="1"/>
  <c r="F428" i="1"/>
  <c r="G428" i="1"/>
  <c r="H428" i="1"/>
  <c r="D421" i="1"/>
  <c r="E421" i="1"/>
  <c r="F421" i="1"/>
  <c r="G421" i="1"/>
  <c r="H421" i="1"/>
  <c r="D431" i="1"/>
  <c r="E431" i="1"/>
  <c r="F431" i="1"/>
  <c r="G431" i="1"/>
  <c r="H431" i="1"/>
  <c r="D430" i="1"/>
  <c r="E430" i="1"/>
  <c r="F430" i="1"/>
  <c r="G430" i="1"/>
  <c r="H430" i="1"/>
  <c r="D411" i="1"/>
  <c r="E411" i="1"/>
  <c r="F411" i="1"/>
  <c r="G411" i="1"/>
  <c r="H411" i="1"/>
  <c r="D435" i="1"/>
  <c r="E435" i="1"/>
  <c r="F435" i="1"/>
  <c r="G435" i="1"/>
  <c r="H435" i="1"/>
  <c r="D432" i="1"/>
  <c r="E432" i="1"/>
  <c r="F432" i="1"/>
  <c r="G432" i="1"/>
  <c r="H432" i="1"/>
  <c r="D434" i="1"/>
  <c r="E434" i="1"/>
  <c r="F434" i="1"/>
  <c r="G434" i="1"/>
  <c r="H434" i="1"/>
  <c r="D436" i="1"/>
  <c r="E436" i="1"/>
  <c r="F436" i="1"/>
  <c r="G436" i="1"/>
  <c r="H436" i="1"/>
  <c r="D438" i="1"/>
  <c r="E438" i="1"/>
  <c r="F438" i="1"/>
  <c r="G438" i="1"/>
  <c r="H438" i="1"/>
  <c r="D380" i="1"/>
  <c r="E380" i="1"/>
  <c r="F380" i="1"/>
  <c r="G380" i="1"/>
  <c r="H380" i="1"/>
  <c r="D439" i="1"/>
  <c r="E439" i="1"/>
  <c r="F439" i="1"/>
  <c r="G439" i="1"/>
  <c r="H439" i="1"/>
  <c r="D437" i="1"/>
  <c r="E437" i="1"/>
  <c r="F437" i="1"/>
  <c r="G437" i="1"/>
  <c r="H437" i="1"/>
  <c r="D420" i="1"/>
  <c r="E420" i="1"/>
  <c r="F420" i="1"/>
  <c r="G420" i="1"/>
  <c r="H420" i="1"/>
  <c r="D442" i="1"/>
  <c r="E442" i="1"/>
  <c r="F442" i="1"/>
  <c r="G442" i="1"/>
  <c r="H442" i="1"/>
  <c r="D405" i="1"/>
  <c r="E405" i="1"/>
  <c r="F405" i="1"/>
  <c r="G405" i="1"/>
  <c r="H405" i="1"/>
  <c r="D443" i="1"/>
  <c r="E443" i="1"/>
  <c r="F443" i="1"/>
  <c r="G443" i="1"/>
  <c r="H443" i="1"/>
  <c r="D445" i="1"/>
  <c r="E445" i="1"/>
  <c r="F445" i="1"/>
  <c r="G445" i="1"/>
  <c r="H445" i="1"/>
  <c r="D446" i="1"/>
  <c r="E446" i="1"/>
  <c r="F446" i="1"/>
  <c r="G446" i="1"/>
  <c r="H446" i="1"/>
  <c r="D444" i="1"/>
  <c r="E444" i="1"/>
  <c r="F444" i="1"/>
  <c r="G444" i="1"/>
  <c r="H444" i="1"/>
  <c r="D433" i="1"/>
  <c r="E433" i="1"/>
  <c r="F433" i="1"/>
  <c r="G433" i="1"/>
  <c r="H433" i="1"/>
  <c r="D450" i="1"/>
  <c r="E450" i="1"/>
  <c r="F450" i="1"/>
  <c r="G450" i="1"/>
  <c r="H450" i="1"/>
  <c r="D448" i="1"/>
  <c r="E448" i="1"/>
  <c r="F448" i="1"/>
  <c r="G448" i="1"/>
  <c r="H448" i="1"/>
  <c r="D447" i="1"/>
  <c r="E447" i="1"/>
  <c r="F447" i="1"/>
  <c r="G447" i="1"/>
  <c r="H447" i="1"/>
  <c r="D451" i="1"/>
  <c r="E451" i="1"/>
  <c r="F451" i="1"/>
  <c r="G451" i="1"/>
  <c r="H451" i="1"/>
  <c r="D441" i="1"/>
  <c r="E441" i="1"/>
  <c r="F441" i="1"/>
  <c r="G441" i="1"/>
  <c r="H441" i="1"/>
  <c r="D429" i="1"/>
  <c r="E429" i="1"/>
  <c r="F429" i="1"/>
  <c r="G429" i="1"/>
  <c r="H429" i="1"/>
  <c r="D452" i="1"/>
  <c r="E452" i="1"/>
  <c r="F452" i="1"/>
  <c r="G452" i="1"/>
  <c r="H452" i="1"/>
  <c r="D453" i="1"/>
  <c r="F453" i="1"/>
  <c r="G453" i="1"/>
  <c r="H453" i="1"/>
  <c r="D454" i="1"/>
  <c r="E454" i="1"/>
  <c r="F454" i="1"/>
  <c r="G454" i="1"/>
  <c r="H454" i="1"/>
  <c r="D457" i="1"/>
  <c r="E457" i="1"/>
  <c r="F457" i="1"/>
  <c r="G457" i="1"/>
  <c r="H457" i="1"/>
  <c r="D455" i="1"/>
  <c r="E455" i="1"/>
  <c r="F455" i="1"/>
  <c r="G455" i="1"/>
  <c r="H455" i="1"/>
  <c r="D456" i="1"/>
  <c r="E456" i="1"/>
  <c r="F456" i="1"/>
  <c r="G456" i="1"/>
  <c r="H456" i="1"/>
  <c r="D458" i="1"/>
  <c r="E458" i="1"/>
  <c r="F458" i="1"/>
  <c r="G458" i="1"/>
  <c r="H458" i="1"/>
  <c r="D462" i="1"/>
  <c r="E462" i="1"/>
  <c r="F462" i="1"/>
  <c r="G462" i="1"/>
  <c r="H462" i="1"/>
  <c r="D460" i="1"/>
  <c r="E460" i="1"/>
  <c r="F460" i="1"/>
  <c r="G460" i="1"/>
  <c r="H460" i="1"/>
  <c r="D449" i="1"/>
  <c r="E449" i="1"/>
  <c r="F449" i="1"/>
  <c r="G449" i="1"/>
  <c r="H449" i="1"/>
  <c r="D459" i="1"/>
  <c r="E459" i="1"/>
  <c r="F459" i="1"/>
  <c r="G459" i="1"/>
  <c r="H459" i="1"/>
  <c r="D465" i="1"/>
  <c r="E465" i="1"/>
  <c r="F465" i="1"/>
  <c r="G465" i="1"/>
  <c r="H465" i="1"/>
  <c r="D463" i="1"/>
  <c r="E463" i="1"/>
  <c r="F463" i="1"/>
  <c r="G463" i="1"/>
  <c r="H463" i="1"/>
  <c r="D464" i="1"/>
  <c r="E464" i="1"/>
  <c r="F464" i="1"/>
  <c r="G464" i="1"/>
  <c r="H464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71" i="1"/>
  <c r="E471" i="1"/>
  <c r="F471" i="1"/>
  <c r="G471" i="1"/>
  <c r="H471" i="1"/>
  <c r="D473" i="1"/>
  <c r="E473" i="1"/>
  <c r="F473" i="1"/>
  <c r="G473" i="1"/>
  <c r="H473" i="1"/>
  <c r="D469" i="1"/>
  <c r="E469" i="1"/>
  <c r="F469" i="1"/>
  <c r="G469" i="1"/>
  <c r="H469" i="1"/>
  <c r="D349" i="1"/>
  <c r="E349" i="1"/>
  <c r="F349" i="1"/>
  <c r="G349" i="1"/>
  <c r="H349" i="1"/>
  <c r="D470" i="1"/>
  <c r="E470" i="1"/>
  <c r="F470" i="1"/>
  <c r="G470" i="1"/>
  <c r="H470" i="1"/>
  <c r="D474" i="1"/>
  <c r="E474" i="1"/>
  <c r="F474" i="1"/>
  <c r="G474" i="1"/>
  <c r="H474" i="1"/>
  <c r="D476" i="1"/>
  <c r="E476" i="1"/>
  <c r="F476" i="1"/>
  <c r="G476" i="1"/>
  <c r="H476" i="1"/>
  <c r="D477" i="1"/>
  <c r="E477" i="1"/>
  <c r="F477" i="1"/>
  <c r="G477" i="1"/>
  <c r="H477" i="1"/>
  <c r="D480" i="1"/>
  <c r="E480" i="1"/>
  <c r="F480" i="1"/>
  <c r="G480" i="1"/>
  <c r="H480" i="1"/>
  <c r="D479" i="1"/>
  <c r="E479" i="1"/>
  <c r="F479" i="1"/>
  <c r="G479" i="1"/>
  <c r="H479" i="1"/>
  <c r="D481" i="1"/>
  <c r="E481" i="1"/>
  <c r="F481" i="1"/>
  <c r="G481" i="1"/>
  <c r="H481" i="1"/>
  <c r="D482" i="1"/>
  <c r="E482" i="1"/>
  <c r="F482" i="1"/>
  <c r="G482" i="1"/>
  <c r="H482" i="1"/>
  <c r="D484" i="1"/>
  <c r="E484" i="1"/>
  <c r="F484" i="1"/>
  <c r="G484" i="1"/>
  <c r="H484" i="1"/>
  <c r="D485" i="1"/>
  <c r="E485" i="1"/>
  <c r="F485" i="1"/>
  <c r="G485" i="1"/>
  <c r="H485" i="1"/>
  <c r="D475" i="1"/>
  <c r="E475" i="1"/>
  <c r="F475" i="1"/>
  <c r="G475" i="1"/>
  <c r="H47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61" i="1"/>
  <c r="E461" i="1"/>
  <c r="F461" i="1"/>
  <c r="G461" i="1"/>
  <c r="H461" i="1"/>
  <c r="D490" i="1"/>
  <c r="E490" i="1"/>
  <c r="F490" i="1"/>
  <c r="G490" i="1"/>
  <c r="H490" i="1"/>
  <c r="D491" i="1"/>
  <c r="E491" i="1"/>
  <c r="F491" i="1"/>
  <c r="G491" i="1"/>
  <c r="H491" i="1"/>
  <c r="D495" i="1"/>
  <c r="E495" i="1"/>
  <c r="F495" i="1"/>
  <c r="G495" i="1"/>
  <c r="H495" i="1"/>
  <c r="D492" i="1"/>
  <c r="E492" i="1"/>
  <c r="F492" i="1"/>
  <c r="G492" i="1"/>
  <c r="H492" i="1"/>
  <c r="D498" i="1"/>
  <c r="E498" i="1"/>
  <c r="F498" i="1"/>
  <c r="G498" i="1"/>
  <c r="H498" i="1"/>
  <c r="D499" i="1"/>
  <c r="E499" i="1"/>
  <c r="F499" i="1"/>
  <c r="G499" i="1"/>
  <c r="H499" i="1"/>
  <c r="D483" i="1"/>
  <c r="E483" i="1"/>
  <c r="F483" i="1"/>
  <c r="G483" i="1"/>
  <c r="H483" i="1"/>
  <c r="D497" i="1"/>
  <c r="E497" i="1"/>
  <c r="F497" i="1"/>
  <c r="G497" i="1"/>
  <c r="H497" i="1"/>
  <c r="D500" i="1"/>
  <c r="E500" i="1"/>
  <c r="F500" i="1"/>
  <c r="G500" i="1"/>
  <c r="H500" i="1"/>
  <c r="D503" i="1"/>
  <c r="E503" i="1"/>
  <c r="F503" i="1"/>
  <c r="G503" i="1"/>
  <c r="H503" i="1"/>
  <c r="D502" i="1"/>
  <c r="E502" i="1"/>
  <c r="F502" i="1"/>
  <c r="G502" i="1"/>
  <c r="H502" i="1"/>
  <c r="D389" i="1"/>
  <c r="E389" i="1"/>
  <c r="F389" i="1"/>
  <c r="G389" i="1"/>
  <c r="H389" i="1"/>
  <c r="D501" i="1"/>
  <c r="E501" i="1"/>
  <c r="F501" i="1"/>
  <c r="G501" i="1"/>
  <c r="H501" i="1"/>
  <c r="D478" i="1"/>
  <c r="E478" i="1"/>
  <c r="F478" i="1"/>
  <c r="G478" i="1"/>
  <c r="H478" i="1"/>
  <c r="D505" i="1"/>
  <c r="E505" i="1"/>
  <c r="F505" i="1"/>
  <c r="G505" i="1"/>
  <c r="H505" i="1"/>
  <c r="D506" i="1"/>
  <c r="E506" i="1"/>
  <c r="F506" i="1"/>
  <c r="G506" i="1"/>
  <c r="H506" i="1"/>
  <c r="D504" i="1"/>
  <c r="E504" i="1"/>
  <c r="F504" i="1"/>
  <c r="G504" i="1"/>
  <c r="H504" i="1"/>
  <c r="D494" i="1"/>
  <c r="E494" i="1"/>
  <c r="F494" i="1"/>
  <c r="G494" i="1"/>
  <c r="H494" i="1"/>
  <c r="D509" i="1"/>
  <c r="E509" i="1"/>
  <c r="F509" i="1"/>
  <c r="G509" i="1"/>
  <c r="H509" i="1"/>
  <c r="D472" i="1"/>
  <c r="E472" i="1"/>
  <c r="F472" i="1"/>
  <c r="G472" i="1"/>
  <c r="H472" i="1"/>
  <c r="D507" i="1"/>
  <c r="E507" i="1"/>
  <c r="F507" i="1"/>
  <c r="G507" i="1"/>
  <c r="H507" i="1"/>
  <c r="D508" i="1"/>
  <c r="E508" i="1"/>
  <c r="F508" i="1"/>
  <c r="G508" i="1"/>
  <c r="H508" i="1"/>
  <c r="D510" i="1"/>
  <c r="E510" i="1"/>
  <c r="F510" i="1"/>
  <c r="G510" i="1"/>
  <c r="H510" i="1"/>
  <c r="D511" i="1"/>
  <c r="E511" i="1"/>
  <c r="F511" i="1"/>
  <c r="G511" i="1"/>
  <c r="H511" i="1"/>
  <c r="D496" i="1"/>
  <c r="E496" i="1"/>
  <c r="F496" i="1"/>
  <c r="G496" i="1"/>
  <c r="H496" i="1"/>
  <c r="D512" i="1"/>
  <c r="E512" i="1"/>
  <c r="F512" i="1"/>
  <c r="G512" i="1"/>
  <c r="H512" i="1"/>
  <c r="D514" i="1"/>
  <c r="E514" i="1"/>
  <c r="F514" i="1"/>
  <c r="G514" i="1"/>
  <c r="H514" i="1"/>
  <c r="D513" i="1"/>
  <c r="E513" i="1"/>
  <c r="F513" i="1"/>
  <c r="G513" i="1"/>
  <c r="H513" i="1"/>
  <c r="D515" i="1"/>
  <c r="E515" i="1"/>
  <c r="F515" i="1"/>
  <c r="G515" i="1"/>
  <c r="H515" i="1"/>
  <c r="D516" i="1"/>
  <c r="E516" i="1"/>
  <c r="F516" i="1"/>
  <c r="G516" i="1"/>
  <c r="H516" i="1"/>
  <c r="D518" i="1"/>
  <c r="E518" i="1"/>
  <c r="F518" i="1"/>
  <c r="G518" i="1"/>
  <c r="H518" i="1"/>
  <c r="D519" i="1"/>
  <c r="E519" i="1"/>
  <c r="F519" i="1"/>
  <c r="G519" i="1"/>
  <c r="H519" i="1"/>
  <c r="D521" i="1"/>
  <c r="E521" i="1"/>
  <c r="F521" i="1"/>
  <c r="G521" i="1"/>
  <c r="H521" i="1"/>
  <c r="D520" i="1"/>
  <c r="E520" i="1"/>
  <c r="F520" i="1"/>
  <c r="G520" i="1"/>
  <c r="H520" i="1"/>
  <c r="D522" i="1"/>
  <c r="E522" i="1"/>
  <c r="F522" i="1"/>
  <c r="G522" i="1"/>
  <c r="H522" i="1"/>
  <c r="D440" i="1"/>
  <c r="E440" i="1"/>
  <c r="F440" i="1"/>
  <c r="G440" i="1"/>
  <c r="H440" i="1"/>
  <c r="D517" i="1"/>
  <c r="E517" i="1"/>
  <c r="F517" i="1"/>
  <c r="G517" i="1"/>
  <c r="H517" i="1"/>
  <c r="D523" i="1"/>
  <c r="E523" i="1"/>
  <c r="F523" i="1"/>
  <c r="G523" i="1"/>
  <c r="H523" i="1"/>
  <c r="D524" i="1"/>
  <c r="E524" i="1"/>
  <c r="F524" i="1"/>
  <c r="G524" i="1"/>
  <c r="H524" i="1"/>
  <c r="D526" i="1"/>
  <c r="E526" i="1"/>
  <c r="F526" i="1"/>
  <c r="G526" i="1"/>
  <c r="H526" i="1"/>
  <c r="D527" i="1"/>
  <c r="E527" i="1"/>
  <c r="F527" i="1"/>
  <c r="G527" i="1"/>
  <c r="H527" i="1"/>
  <c r="D529" i="1"/>
  <c r="E529" i="1"/>
  <c r="F529" i="1"/>
  <c r="G529" i="1"/>
  <c r="H529" i="1"/>
  <c r="D528" i="1"/>
  <c r="E528" i="1"/>
  <c r="F528" i="1"/>
  <c r="G528" i="1"/>
  <c r="H528" i="1"/>
  <c r="D525" i="1"/>
  <c r="E525" i="1"/>
  <c r="F525" i="1"/>
  <c r="G525" i="1"/>
  <c r="H525" i="1"/>
  <c r="D530" i="1"/>
  <c r="E530" i="1"/>
  <c r="F530" i="1"/>
  <c r="G530" i="1"/>
  <c r="H530" i="1"/>
  <c r="D532" i="1"/>
  <c r="E532" i="1"/>
  <c r="F532" i="1"/>
  <c r="G532" i="1"/>
  <c r="H532" i="1"/>
  <c r="D493" i="1"/>
  <c r="E493" i="1"/>
  <c r="F493" i="1"/>
  <c r="G493" i="1"/>
  <c r="H493" i="1"/>
  <c r="D534" i="1"/>
  <c r="E534" i="1"/>
  <c r="F534" i="1"/>
  <c r="G534" i="1"/>
  <c r="H534" i="1"/>
  <c r="D531" i="1"/>
  <c r="E531" i="1"/>
  <c r="F531" i="1"/>
  <c r="G531" i="1"/>
  <c r="H531" i="1"/>
  <c r="D533" i="1"/>
  <c r="E533" i="1"/>
  <c r="F533" i="1"/>
  <c r="G533" i="1"/>
  <c r="H533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<sst xmlns="http://schemas.openxmlformats.org/spreadsheetml/2006/main" count="13" uniqueCount="13">
  <si>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</si>
  <si>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</si>
  <si>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</si>
  <si>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</si>
  <si>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</si>
  <si>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</si>
  <si>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</si>
  <si>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</si>
  <si>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</si>
  <si>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</si>
  <si>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 xml:space="preserve"> Отчет об остатках на балансовых и внебалансовых счетах банков второго уровня</t>
  </si>
  <si>
    <t>АО 'KASPI BANK'</t>
  </si>
  <si>
    <t>за 29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</si>
</sst>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0" borderId="0" xfId="0" applyFon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4"/>
  <sheetViews>
    <sheetView tabSelected="1" workbookViewId="0"/>
  </sheetViews>
  <sheetFormatPr defaultRowHeight="15" x14ac:dyDescent="0.25"/>
  <cols>
    <col min="2" max="2" width="13.5703125" bestFit="1" customWidth="1"/>
    <col min="9" max="9" width="18.5703125" style="2" bestFit="1" customWidth="1"/>
  </cols>
  <sheetData>
    <row r="1" spans="1:9" x14ac:dyDescent="0.25">
      <c r="E1" s="3" t="s">
        <v>10</v>
      </c>
    </row>
    <row r="2" spans="1:9" x14ac:dyDescent="0.25">
      <c r="E2" s="3" t="s">
        <v>11</v>
      </c>
    </row>
    <row r="3" spans="1:9" x14ac:dyDescent="0.25">
      <c r="E3" s="3" t="s">
        <v>12</v>
      </c>
    </row>
    <row r="7" spans="1:9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s="2" t="s">
        <v>8</v>
      </c>
    </row>
    <row r="8" spans="1:9" x14ac:dyDescent="0.25">
      <c r="A8">
        <v>2</v>
      </c>
      <c r="B8" s="1">
        <v>45380</v>
      </c>
      <c r="C8">
        <v>19</v>
      </c>
      <c r="D8" t="str">
        <f>"1001"</f>
        <v>1001</v>
      </c>
      <c r="E8" t="str">
        <f>"Наличность в кассе"</f>
        <v>Наличность в кассе</v>
      </c>
      <c r="F8" t="str">
        <f>"1"</f>
        <v>1</v>
      </c>
      <c r="G8" t="str">
        <f t="shared" ref="G8:G17" si="0">"3"</f>
        <v>3</v>
      </c>
      <c r="H8" t="str">
        <f>"1"</f>
        <v>1</v>
      </c>
      <c r="I8" s="2">
        <v>14048869297</v>
      </c>
    </row>
    <row r="9" spans="1:9" x14ac:dyDescent="0.25">
      <c r="A9">
        <v>4</v>
      </c>
      <c r="B9" s="1">
        <v>45380</v>
      </c>
      <c r="C9">
        <v>19</v>
      </c>
      <c r="D9" t="str">
        <f>"1001"</f>
        <v>1001</v>
      </c>
      <c r="E9" t="str">
        <f>"Наличность в кассе"</f>
        <v>Наличность в кассе</v>
      </c>
      <c r="F9" t="str">
        <f>"2"</f>
        <v>2</v>
      </c>
      <c r="G9" t="str">
        <f t="shared" si="0"/>
        <v>3</v>
      </c>
      <c r="H9" t="str">
        <f>"3"</f>
        <v>3</v>
      </c>
      <c r="I9" s="2">
        <v>11221307.68</v>
      </c>
    </row>
    <row r="10" spans="1:9" x14ac:dyDescent="0.25">
      <c r="A10">
        <v>7</v>
      </c>
      <c r="B10" s="1">
        <v>45380</v>
      </c>
      <c r="C10">
        <v>19</v>
      </c>
      <c r="D10" t="str">
        <f>"1001"</f>
        <v>1001</v>
      </c>
      <c r="E10" t="str">
        <f>"Наличность в кассе"</f>
        <v>Наличность в кассе</v>
      </c>
      <c r="F10" t="str">
        <f>"2"</f>
        <v>2</v>
      </c>
      <c r="G10" t="str">
        <f t="shared" si="0"/>
        <v>3</v>
      </c>
      <c r="H10" t="str">
        <f>"2"</f>
        <v>2</v>
      </c>
      <c r="I10" s="2">
        <v>58441731577.599998</v>
      </c>
    </row>
    <row r="11" spans="1:9" x14ac:dyDescent="0.25">
      <c r="A11">
        <v>5</v>
      </c>
      <c r="B11" s="1">
        <v>45380</v>
      </c>
      <c r="C11">
        <v>19</v>
      </c>
      <c r="D11" t="str">
        <f>"1002"</f>
        <v>1002</v>
      </c>
      <c r="E11" t="str">
        <f>"Банкноты и монеты в пути"</f>
        <v>Банкноты и монеты в пути</v>
      </c>
      <c r="F11" t="str">
        <f>"1"</f>
        <v>1</v>
      </c>
      <c r="G11" t="str">
        <f t="shared" si="0"/>
        <v>3</v>
      </c>
      <c r="H11" t="str">
        <f>"1"</f>
        <v>1</v>
      </c>
      <c r="I11" s="2">
        <v>39842470405</v>
      </c>
    </row>
    <row r="12" spans="1:9" x14ac:dyDescent="0.25">
      <c r="A12">
        <v>6</v>
      </c>
      <c r="B12" s="1">
        <v>45380</v>
      </c>
      <c r="C12">
        <v>19</v>
      </c>
      <c r="D12" t="str">
        <f>"1002"</f>
        <v>1002</v>
      </c>
      <c r="E12" t="str">
        <f>"Банкноты и монеты в пути"</f>
        <v>Банкноты и монеты в пути</v>
      </c>
      <c r="F12" t="str">
        <f>"2"</f>
        <v>2</v>
      </c>
      <c r="G12" t="str">
        <f t="shared" si="0"/>
        <v>3</v>
      </c>
      <c r="H12" t="str">
        <f>"2"</f>
        <v>2</v>
      </c>
      <c r="I12" s="2">
        <v>5940191146.9200001</v>
      </c>
    </row>
    <row r="13" spans="1:9" x14ac:dyDescent="0.25">
      <c r="A13">
        <v>1</v>
      </c>
      <c r="B13" s="1">
        <v>45380</v>
      </c>
      <c r="C13">
        <v>19</v>
      </c>
      <c r="D13" t="str">
        <f>"1005"</f>
        <v>1005</v>
      </c>
      <c r="E13" t="str">
        <f>"Наличность в банкоматах и электронных терминалах"</f>
        <v>Наличность в банкоматах и электронных терминалах</v>
      </c>
      <c r="F13" t="str">
        <f>"2"</f>
        <v>2</v>
      </c>
      <c r="G13" t="str">
        <f t="shared" si="0"/>
        <v>3</v>
      </c>
      <c r="H13" t="str">
        <f>"2"</f>
        <v>2</v>
      </c>
      <c r="I13" s="2">
        <v>16974959.32</v>
      </c>
    </row>
    <row r="14" spans="1:9" x14ac:dyDescent="0.25">
      <c r="A14">
        <v>3</v>
      </c>
      <c r="B14" s="1">
        <v>45380</v>
      </c>
      <c r="C14">
        <v>19</v>
      </c>
      <c r="D14" t="str">
        <f>"1005"</f>
        <v>1005</v>
      </c>
      <c r="E14" t="str">
        <f>"Наличность в банкоматах и электронных терминалах"</f>
        <v>Наличность в банкоматах и электронных терминалах</v>
      </c>
      <c r="F14" t="str">
        <f t="shared" ref="F14:F19" si="1">"1"</f>
        <v>1</v>
      </c>
      <c r="G14" t="str">
        <f t="shared" si="0"/>
        <v>3</v>
      </c>
      <c r="H14" t="str">
        <f>"1"</f>
        <v>1</v>
      </c>
      <c r="I14" s="2">
        <v>84790774270</v>
      </c>
    </row>
    <row r="15" spans="1:9" x14ac:dyDescent="0.25">
      <c r="A15">
        <v>8</v>
      </c>
      <c r="B15" s="1">
        <v>45380</v>
      </c>
      <c r="C15">
        <v>19</v>
      </c>
      <c r="D15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t="str">
        <f t="shared" si="1"/>
        <v>1</v>
      </c>
      <c r="G15" t="str">
        <f t="shared" si="0"/>
        <v>3</v>
      </c>
      <c r="H15" t="str">
        <f>"3"</f>
        <v>3</v>
      </c>
      <c r="I15" s="2">
        <v>4840000</v>
      </c>
    </row>
    <row r="16" spans="1:9" x14ac:dyDescent="0.25">
      <c r="A16">
        <v>9</v>
      </c>
      <c r="B16" s="1">
        <v>45380</v>
      </c>
      <c r="C16">
        <v>19</v>
      </c>
      <c r="D16" t="str">
        <f>"1051"</f>
        <v>1051</v>
      </c>
      <c r="E16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t="str">
        <f t="shared" si="1"/>
        <v>1</v>
      </c>
      <c r="G16" t="str">
        <f t="shared" si="0"/>
        <v>3</v>
      </c>
      <c r="H16" t="str">
        <f>"2"</f>
        <v>2</v>
      </c>
      <c r="I16" s="2">
        <v>340488297.44999999</v>
      </c>
    </row>
    <row r="17" spans="1:9" x14ac:dyDescent="0.25">
      <c r="A17">
        <v>13</v>
      </c>
      <c r="B17" s="1">
        <v>45380</v>
      </c>
      <c r="C17">
        <v>19</v>
      </c>
      <c r="D17" t="str">
        <f>"1051"</f>
        <v>1051</v>
      </c>
      <c r="E1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7" t="str">
        <f t="shared" si="1"/>
        <v>1</v>
      </c>
      <c r="G17" t="str">
        <f t="shared" si="0"/>
        <v>3</v>
      </c>
      <c r="H17" t="str">
        <f>"1"</f>
        <v>1</v>
      </c>
      <c r="I17" s="2">
        <v>25319355491.049999</v>
      </c>
    </row>
    <row r="18" spans="1:9" x14ac:dyDescent="0.25">
      <c r="A18">
        <v>10</v>
      </c>
      <c r="B18" s="1">
        <v>45380</v>
      </c>
      <c r="C18">
        <v>19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 t="shared" si="1"/>
        <v>1</v>
      </c>
      <c r="G18" t="str">
        <f>"4"</f>
        <v>4</v>
      </c>
      <c r="H18" t="str">
        <f>"1"</f>
        <v>1</v>
      </c>
      <c r="I18" s="2">
        <v>55424.1</v>
      </c>
    </row>
    <row r="19" spans="1:9" x14ac:dyDescent="0.25">
      <c r="A19">
        <v>11</v>
      </c>
      <c r="B19" s="1">
        <v>45380</v>
      </c>
      <c r="C19">
        <v>19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 t="shared" si="1"/>
        <v>1</v>
      </c>
      <c r="G19" t="str">
        <f>"4"</f>
        <v>4</v>
      </c>
      <c r="H19" t="str">
        <f>"2"</f>
        <v>2</v>
      </c>
      <c r="I19" s="2">
        <v>481369077.04000002</v>
      </c>
    </row>
    <row r="20" spans="1:9" x14ac:dyDescent="0.25">
      <c r="A20">
        <v>12</v>
      </c>
      <c r="B20" s="1">
        <v>45380</v>
      </c>
      <c r="C20">
        <v>19</v>
      </c>
      <c r="D20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t="str">
        <f>"2"</f>
        <v>2</v>
      </c>
      <c r="G20" t="str">
        <f>"4"</f>
        <v>4</v>
      </c>
      <c r="H20" t="str">
        <f>"2"</f>
        <v>2</v>
      </c>
      <c r="I20" s="2">
        <v>197445019312.76001</v>
      </c>
    </row>
    <row r="21" spans="1:9" x14ac:dyDescent="0.25">
      <c r="A21">
        <v>14</v>
      </c>
      <c r="B21" s="1">
        <v>45380</v>
      </c>
      <c r="C21">
        <v>19</v>
      </c>
      <c r="D21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t="str">
        <f>"2"</f>
        <v>2</v>
      </c>
      <c r="G21" t="str">
        <f>"4"</f>
        <v>4</v>
      </c>
      <c r="H21" t="str">
        <f>"3"</f>
        <v>3</v>
      </c>
      <c r="I21" s="2">
        <v>587303184.50999999</v>
      </c>
    </row>
    <row r="22" spans="1:9" x14ac:dyDescent="0.25">
      <c r="A22">
        <v>15</v>
      </c>
      <c r="B22" s="1">
        <v>45380</v>
      </c>
      <c r="C22">
        <v>19</v>
      </c>
      <c r="D22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t="str">
        <f>"2"</f>
        <v>2</v>
      </c>
      <c r="G22" t="str">
        <f>"3"</f>
        <v>3</v>
      </c>
      <c r="H22" t="str">
        <f>"3"</f>
        <v>3</v>
      </c>
      <c r="I22" s="2">
        <v>5744685.0099999998</v>
      </c>
    </row>
    <row r="23" spans="1:9" x14ac:dyDescent="0.25">
      <c r="A23">
        <v>16</v>
      </c>
      <c r="B23" s="1">
        <v>45380</v>
      </c>
      <c r="C23">
        <v>19</v>
      </c>
      <c r="D23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"3"</f>
        <v>3</v>
      </c>
      <c r="H23" t="str">
        <f>"1"</f>
        <v>1</v>
      </c>
      <c r="I23" s="2">
        <v>-101277.42</v>
      </c>
    </row>
    <row r="24" spans="1:9" x14ac:dyDescent="0.25">
      <c r="A24">
        <v>17</v>
      </c>
      <c r="B24" s="1">
        <v>45380</v>
      </c>
      <c r="C24">
        <v>19</v>
      </c>
      <c r="D24" t="str">
        <f>"1054"</f>
        <v>1054</v>
      </c>
      <c r="E2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"2"</f>
        <v>2</v>
      </c>
      <c r="I24" s="2">
        <v>-1442058.21</v>
      </c>
    </row>
    <row r="25" spans="1:9" x14ac:dyDescent="0.25">
      <c r="A25">
        <v>19</v>
      </c>
      <c r="B25" s="1">
        <v>45380</v>
      </c>
      <c r="C25">
        <v>19</v>
      </c>
      <c r="D25" t="str">
        <f>"1054"</f>
        <v>1054</v>
      </c>
      <c r="E2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5" t="str">
        <f>"1"</f>
        <v>1</v>
      </c>
      <c r="G25" t="str">
        <f>"3"</f>
        <v>3</v>
      </c>
      <c r="H25" t="str">
        <f>"2"</f>
        <v>2</v>
      </c>
      <c r="I25" s="2">
        <v>-1286.45</v>
      </c>
    </row>
    <row r="26" spans="1:9" x14ac:dyDescent="0.25">
      <c r="A26">
        <v>23</v>
      </c>
      <c r="B26" s="1">
        <v>45380</v>
      </c>
      <c r="C26">
        <v>19</v>
      </c>
      <c r="D26" t="str">
        <f>"1054"</f>
        <v>1054</v>
      </c>
      <c r="E2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" t="str">
        <f>"1"</f>
        <v>1</v>
      </c>
      <c r="G26" t="str">
        <f>"4"</f>
        <v>4</v>
      </c>
      <c r="H26" t="str">
        <f>"2"</f>
        <v>2</v>
      </c>
      <c r="I26" s="2">
        <v>-5998.24</v>
      </c>
    </row>
    <row r="27" spans="1:9" x14ac:dyDescent="0.25">
      <c r="A27">
        <v>24</v>
      </c>
      <c r="B27" s="1">
        <v>45380</v>
      </c>
      <c r="C27">
        <v>19</v>
      </c>
      <c r="D27" t="str">
        <f>"1054"</f>
        <v>1054</v>
      </c>
      <c r="E2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"4"</f>
        <v>4</v>
      </c>
      <c r="H27" t="str">
        <f>"3"</f>
        <v>3</v>
      </c>
      <c r="I27" s="2">
        <v>-16185.13</v>
      </c>
    </row>
    <row r="28" spans="1:9" x14ac:dyDescent="0.25">
      <c r="A28">
        <v>21</v>
      </c>
      <c r="B28" s="1">
        <v>45380</v>
      </c>
      <c r="C28">
        <v>19</v>
      </c>
      <c r="D28" t="str">
        <f>"1103"</f>
        <v>1103</v>
      </c>
      <c r="E2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8" t="str">
        <f>"1"</f>
        <v>1</v>
      </c>
      <c r="G28" t="str">
        <f>"3"</f>
        <v>3</v>
      </c>
      <c r="H28" t="str">
        <f>"1"</f>
        <v>1</v>
      </c>
      <c r="I28" s="2">
        <v>220000000000</v>
      </c>
    </row>
    <row r="29" spans="1:9" x14ac:dyDescent="0.25">
      <c r="A29">
        <v>18</v>
      </c>
      <c r="B29" s="1">
        <v>45380</v>
      </c>
      <c r="C29">
        <v>19</v>
      </c>
      <c r="D29" t="str">
        <f>"1254"</f>
        <v>1254</v>
      </c>
      <c r="E2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29" t="str">
        <f>"2"</f>
        <v>2</v>
      </c>
      <c r="G29" t="str">
        <f>"4"</f>
        <v>4</v>
      </c>
      <c r="H29" t="str">
        <f>"2"</f>
        <v>2</v>
      </c>
      <c r="I29" s="2">
        <v>67017000000</v>
      </c>
    </row>
    <row r="30" spans="1:9" x14ac:dyDescent="0.25">
      <c r="A30">
        <v>20</v>
      </c>
      <c r="B30" s="1">
        <v>45380</v>
      </c>
      <c r="C30">
        <v>19</v>
      </c>
      <c r="D30" t="str">
        <f>"1259"</f>
        <v>1259</v>
      </c>
      <c r="E3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0" t="str">
        <f>"1"</f>
        <v>1</v>
      </c>
      <c r="G30" t="str">
        <f>"3"</f>
        <v>3</v>
      </c>
      <c r="H30" t="str">
        <f>"1"</f>
        <v>1</v>
      </c>
      <c r="I30" s="2">
        <v>-596108.30000000005</v>
      </c>
    </row>
    <row r="31" spans="1:9" x14ac:dyDescent="0.25">
      <c r="A31">
        <v>25</v>
      </c>
      <c r="B31" s="1">
        <v>45380</v>
      </c>
      <c r="C31">
        <v>19</v>
      </c>
      <c r="D31" t="str">
        <f>"1259"</f>
        <v>1259</v>
      </c>
      <c r="E3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1" t="str">
        <f>"2"</f>
        <v>2</v>
      </c>
      <c r="G31" t="str">
        <f>"4"</f>
        <v>4</v>
      </c>
      <c r="H31" t="str">
        <f>"2"</f>
        <v>2</v>
      </c>
      <c r="I31" s="2">
        <v>-5015413.7699999996</v>
      </c>
    </row>
    <row r="32" spans="1:9" x14ac:dyDescent="0.25">
      <c r="A32">
        <v>22</v>
      </c>
      <c r="B32" s="1">
        <v>45380</v>
      </c>
      <c r="C32">
        <v>19</v>
      </c>
      <c r="D32" t="str">
        <f>"1264"</f>
        <v>1264</v>
      </c>
      <c r="E32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32" t="str">
        <f>"2"</f>
        <v>2</v>
      </c>
      <c r="G32" t="str">
        <f>"4"</f>
        <v>4</v>
      </c>
      <c r="H32" t="str">
        <f>"2"</f>
        <v>2</v>
      </c>
      <c r="I32" s="2">
        <v>30124158727.84</v>
      </c>
    </row>
    <row r="33" spans="1:9" x14ac:dyDescent="0.25">
      <c r="A33">
        <v>27</v>
      </c>
      <c r="B33" s="1">
        <v>45380</v>
      </c>
      <c r="C33">
        <v>19</v>
      </c>
      <c r="D33" t="str">
        <f>"1401"</f>
        <v>1401</v>
      </c>
      <c r="E33" t="str">
        <f>"Займы овердрафт, предоставленные клиентам"</f>
        <v>Займы овердрафт, предоставленные клиентам</v>
      </c>
      <c r="F33" t="str">
        <f>"1"</f>
        <v>1</v>
      </c>
      <c r="G33" t="str">
        <f>"9"</f>
        <v>9</v>
      </c>
      <c r="H33" t="str">
        <f t="shared" ref="H33:H43" si="2">"1"</f>
        <v>1</v>
      </c>
      <c r="I33" s="2">
        <v>27317124493.560001</v>
      </c>
    </row>
    <row r="34" spans="1:9" x14ac:dyDescent="0.25">
      <c r="A34">
        <v>28</v>
      </c>
      <c r="B34" s="1">
        <v>45380</v>
      </c>
      <c r="C34">
        <v>19</v>
      </c>
      <c r="D34" t="str">
        <f>"1401"</f>
        <v>1401</v>
      </c>
      <c r="E34" t="str">
        <f>"Займы овердрафт, предоставленные клиентам"</f>
        <v>Займы овердрафт, предоставленные клиентам</v>
      </c>
      <c r="F34" t="str">
        <f>"2"</f>
        <v>2</v>
      </c>
      <c r="G34" t="str">
        <f>"9"</f>
        <v>9</v>
      </c>
      <c r="H34" t="str">
        <f t="shared" si="2"/>
        <v>1</v>
      </c>
      <c r="I34" s="2">
        <v>3011651.64</v>
      </c>
    </row>
    <row r="35" spans="1:9" x14ac:dyDescent="0.25">
      <c r="A35">
        <v>26</v>
      </c>
      <c r="B35" s="1">
        <v>45380</v>
      </c>
      <c r="C35">
        <v>19</v>
      </c>
      <c r="D35" t="str">
        <f>"1403"</f>
        <v>1403</v>
      </c>
      <c r="E35" t="str">
        <f>"Счета по кредитным карточкам клиентов"</f>
        <v>Счета по кредитным карточкам клиентов</v>
      </c>
      <c r="F35" t="str">
        <f>"1"</f>
        <v>1</v>
      </c>
      <c r="G35" t="str">
        <f>"7"</f>
        <v>7</v>
      </c>
      <c r="H35" t="str">
        <f t="shared" si="2"/>
        <v>1</v>
      </c>
      <c r="I35" s="2">
        <v>23287761531.459999</v>
      </c>
    </row>
    <row r="36" spans="1:9" x14ac:dyDescent="0.25">
      <c r="A36">
        <v>29</v>
      </c>
      <c r="B36" s="1">
        <v>45380</v>
      </c>
      <c r="C36">
        <v>19</v>
      </c>
      <c r="D36" t="str">
        <f>"1403"</f>
        <v>1403</v>
      </c>
      <c r="E36" t="str">
        <f>"Счета по кредитным карточкам клиентов"</f>
        <v>Счета по кредитным карточкам клиентов</v>
      </c>
      <c r="F36" t="str">
        <f>"1"</f>
        <v>1</v>
      </c>
      <c r="G36" t="str">
        <f>"9"</f>
        <v>9</v>
      </c>
      <c r="H36" t="str">
        <f t="shared" si="2"/>
        <v>1</v>
      </c>
      <c r="I36" s="2">
        <v>4426361688471.4004</v>
      </c>
    </row>
    <row r="37" spans="1:9" x14ac:dyDescent="0.25">
      <c r="A37">
        <v>31</v>
      </c>
      <c r="B37" s="1">
        <v>45380</v>
      </c>
      <c r="C37">
        <v>19</v>
      </c>
      <c r="D37" t="str">
        <f>"1403"</f>
        <v>1403</v>
      </c>
      <c r="E37" t="str">
        <f>"Счета по кредитным карточкам клиентов"</f>
        <v>Счета по кредитным карточкам клиентов</v>
      </c>
      <c r="F37" t="str">
        <f>"2"</f>
        <v>2</v>
      </c>
      <c r="G37" t="str">
        <f>"9"</f>
        <v>9</v>
      </c>
      <c r="H37" t="str">
        <f t="shared" si="2"/>
        <v>1</v>
      </c>
      <c r="I37" s="2">
        <v>107940515.70999999</v>
      </c>
    </row>
    <row r="38" spans="1:9" x14ac:dyDescent="0.25">
      <c r="A38">
        <v>30</v>
      </c>
      <c r="B38" s="1">
        <v>45380</v>
      </c>
      <c r="C38">
        <v>19</v>
      </c>
      <c r="D38" t="str">
        <f>"1411"</f>
        <v>1411</v>
      </c>
      <c r="E38" t="str">
        <f>"Краткосрочные займы, предоставленные клиентам"</f>
        <v>Краткосрочные займы, предоставленные клиентам</v>
      </c>
      <c r="F38" t="str">
        <f t="shared" ref="F38:F44" si="3">"1"</f>
        <v>1</v>
      </c>
      <c r="G38" t="str">
        <f>"7"</f>
        <v>7</v>
      </c>
      <c r="H38" t="str">
        <f t="shared" si="2"/>
        <v>1</v>
      </c>
      <c r="I38" s="2">
        <v>658532956.95000005</v>
      </c>
    </row>
    <row r="39" spans="1:9" x14ac:dyDescent="0.25">
      <c r="A39">
        <v>35</v>
      </c>
      <c r="B39" s="1">
        <v>45380</v>
      </c>
      <c r="C39">
        <v>19</v>
      </c>
      <c r="D39" t="str">
        <f>"1411"</f>
        <v>1411</v>
      </c>
      <c r="E39" t="str">
        <f>"Краткосрочные займы, предоставленные клиентам"</f>
        <v>Краткосрочные займы, предоставленные клиентам</v>
      </c>
      <c r="F39" t="str">
        <f t="shared" si="3"/>
        <v>1</v>
      </c>
      <c r="G39" t="str">
        <f>"9"</f>
        <v>9</v>
      </c>
      <c r="H39" t="str">
        <f t="shared" si="2"/>
        <v>1</v>
      </c>
      <c r="I39" s="2">
        <v>1280978602.8599999</v>
      </c>
    </row>
    <row r="40" spans="1:9" x14ac:dyDescent="0.25">
      <c r="A40">
        <v>33</v>
      </c>
      <c r="B40" s="1">
        <v>45380</v>
      </c>
      <c r="C40">
        <v>19</v>
      </c>
      <c r="D40" t="str">
        <f>"1417"</f>
        <v>1417</v>
      </c>
      <c r="E40" t="str">
        <f>"Долгосрочные займы, предоставленные клиентам"</f>
        <v>Долгосрочные займы, предоставленные клиентам</v>
      </c>
      <c r="F40" t="str">
        <f t="shared" si="3"/>
        <v>1</v>
      </c>
      <c r="G40" t="str">
        <f>"9"</f>
        <v>9</v>
      </c>
      <c r="H40" t="str">
        <f t="shared" si="2"/>
        <v>1</v>
      </c>
      <c r="I40" s="2">
        <v>22038097971.369999</v>
      </c>
    </row>
    <row r="41" spans="1:9" x14ac:dyDescent="0.25">
      <c r="A41">
        <v>48</v>
      </c>
      <c r="B41" s="1">
        <v>45380</v>
      </c>
      <c r="C41">
        <v>19</v>
      </c>
      <c r="D41" t="str">
        <f>"1417"</f>
        <v>1417</v>
      </c>
      <c r="E41" t="str">
        <f>"Долгосрочные займы, предоставленные клиентам"</f>
        <v>Долгосрочные займы, предоставленные клиентам</v>
      </c>
      <c r="F41" t="str">
        <f t="shared" si="3"/>
        <v>1</v>
      </c>
      <c r="G41" t="str">
        <f>"7"</f>
        <v>7</v>
      </c>
      <c r="H41" t="str">
        <f t="shared" si="2"/>
        <v>1</v>
      </c>
      <c r="I41" s="2">
        <v>27617265319.139999</v>
      </c>
    </row>
    <row r="42" spans="1:9" x14ac:dyDescent="0.25">
      <c r="A42">
        <v>32</v>
      </c>
      <c r="B42" s="1">
        <v>45380</v>
      </c>
      <c r="C42">
        <v>19</v>
      </c>
      <c r="D42" t="str">
        <f>"1424"</f>
        <v>1424</v>
      </c>
      <c r="E42" t="str">
        <f>"Просроченная задолженность клиентов по займам"</f>
        <v>Просроченная задолженность клиентов по займам</v>
      </c>
      <c r="F42" t="str">
        <f t="shared" si="3"/>
        <v>1</v>
      </c>
      <c r="G42" t="str">
        <f>"9"</f>
        <v>9</v>
      </c>
      <c r="H42" t="str">
        <f t="shared" si="2"/>
        <v>1</v>
      </c>
      <c r="I42" s="2">
        <v>238631274110.35999</v>
      </c>
    </row>
    <row r="43" spans="1:9" x14ac:dyDescent="0.25">
      <c r="A43">
        <v>34</v>
      </c>
      <c r="B43" s="1">
        <v>45380</v>
      </c>
      <c r="C43">
        <v>19</v>
      </c>
      <c r="D43" t="str">
        <f>"1424"</f>
        <v>1424</v>
      </c>
      <c r="E43" t="str">
        <f>"Просроченная задолженность клиентов по займам"</f>
        <v>Просроченная задолженность клиентов по займам</v>
      </c>
      <c r="F43" t="str">
        <f t="shared" si="3"/>
        <v>1</v>
      </c>
      <c r="G43" t="str">
        <f>"7"</f>
        <v>7</v>
      </c>
      <c r="H43" t="str">
        <f t="shared" si="2"/>
        <v>1</v>
      </c>
      <c r="I43" s="2">
        <v>4025208559.96</v>
      </c>
    </row>
    <row r="44" spans="1:9" x14ac:dyDescent="0.25">
      <c r="A44">
        <v>37</v>
      </c>
      <c r="B44" s="1">
        <v>45380</v>
      </c>
      <c r="C44">
        <v>19</v>
      </c>
      <c r="D44" t="str">
        <f>"1424"</f>
        <v>1424</v>
      </c>
      <c r="E44" t="str">
        <f>"Просроченная задолженность клиентов по займам"</f>
        <v>Просроченная задолженность клиентов по займам</v>
      </c>
      <c r="F44" t="str">
        <f t="shared" si="3"/>
        <v>1</v>
      </c>
      <c r="G44" t="str">
        <f>"9"</f>
        <v>9</v>
      </c>
      <c r="H44" t="str">
        <f>"2"</f>
        <v>2</v>
      </c>
      <c r="I44" s="2">
        <v>64871714.350000001</v>
      </c>
    </row>
    <row r="45" spans="1:9" x14ac:dyDescent="0.25">
      <c r="A45">
        <v>40</v>
      </c>
      <c r="B45" s="1">
        <v>45380</v>
      </c>
      <c r="C45">
        <v>19</v>
      </c>
      <c r="D45" t="str">
        <f>"1424"</f>
        <v>1424</v>
      </c>
      <c r="E45" t="str">
        <f>"Просроченная задолженность клиентов по займам"</f>
        <v>Просроченная задолженность клиентов по займам</v>
      </c>
      <c r="F45" t="str">
        <f>"2"</f>
        <v>2</v>
      </c>
      <c r="G45" t="str">
        <f>"9"</f>
        <v>9</v>
      </c>
      <c r="H45" t="str">
        <f>"1"</f>
        <v>1</v>
      </c>
      <c r="I45" s="2">
        <v>8039309.6699999999</v>
      </c>
    </row>
    <row r="46" spans="1:9" x14ac:dyDescent="0.25">
      <c r="A46">
        <v>36</v>
      </c>
      <c r="B46" s="1">
        <v>45380</v>
      </c>
      <c r="C46">
        <v>19</v>
      </c>
      <c r="D46" t="str">
        <f>"1428"</f>
        <v>1428</v>
      </c>
      <c r="E4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" t="str">
        <f>"1"</f>
        <v>1</v>
      </c>
      <c r="G46" t="str">
        <f>"7"</f>
        <v>7</v>
      </c>
      <c r="H46" t="str">
        <f>"1"</f>
        <v>1</v>
      </c>
      <c r="I46" s="2">
        <v>-2150681724.02</v>
      </c>
    </row>
    <row r="47" spans="1:9" x14ac:dyDescent="0.25">
      <c r="A47">
        <v>39</v>
      </c>
      <c r="B47" s="1">
        <v>45380</v>
      </c>
      <c r="C47">
        <v>19</v>
      </c>
      <c r="D47" t="str">
        <f>"1428"</f>
        <v>1428</v>
      </c>
      <c r="E4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7" t="str">
        <f>"2"</f>
        <v>2</v>
      </c>
      <c r="G47" t="str">
        <f>"9"</f>
        <v>9</v>
      </c>
      <c r="H47" t="str">
        <f>"1"</f>
        <v>1</v>
      </c>
      <c r="I47" s="2">
        <v>-6714287.6699999999</v>
      </c>
    </row>
    <row r="48" spans="1:9" x14ac:dyDescent="0.25">
      <c r="A48">
        <v>41</v>
      </c>
      <c r="B48" s="1">
        <v>45380</v>
      </c>
      <c r="C48">
        <v>19</v>
      </c>
      <c r="D48" t="str">
        <f>"1428"</f>
        <v>1428</v>
      </c>
      <c r="E4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8" t="str">
        <f>"1"</f>
        <v>1</v>
      </c>
      <c r="G48" t="str">
        <f>"9"</f>
        <v>9</v>
      </c>
      <c r="H48" t="str">
        <f>"2"</f>
        <v>2</v>
      </c>
      <c r="I48" s="2">
        <v>-51118409.649999999</v>
      </c>
    </row>
    <row r="49" spans="1:9" x14ac:dyDescent="0.25">
      <c r="A49">
        <v>42</v>
      </c>
      <c r="B49" s="1">
        <v>45380</v>
      </c>
      <c r="C49">
        <v>19</v>
      </c>
      <c r="D49" t="str">
        <f>"1428"</f>
        <v>1428</v>
      </c>
      <c r="E4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9" t="str">
        <f>"1"</f>
        <v>1</v>
      </c>
      <c r="G49" t="str">
        <f>"9"</f>
        <v>9</v>
      </c>
      <c r="H49" t="str">
        <f t="shared" ref="H49:H56" si="4">"1"</f>
        <v>1</v>
      </c>
      <c r="I49" s="2">
        <v>-260331462203.76999</v>
      </c>
    </row>
    <row r="50" spans="1:9" x14ac:dyDescent="0.25">
      <c r="A50">
        <v>43</v>
      </c>
      <c r="B50" s="1">
        <v>45380</v>
      </c>
      <c r="C50">
        <v>19</v>
      </c>
      <c r="D50" t="str">
        <f>"1434"</f>
        <v>1434</v>
      </c>
      <c r="E50" t="str">
        <f>"Дисконт по займам, предоставленным клиентам"</f>
        <v>Дисконт по займам, предоставленным клиентам</v>
      </c>
      <c r="F50" t="str">
        <f>"1"</f>
        <v>1</v>
      </c>
      <c r="G50" t="str">
        <f>"7"</f>
        <v>7</v>
      </c>
      <c r="H50" t="str">
        <f t="shared" si="4"/>
        <v>1</v>
      </c>
      <c r="I50" s="2">
        <v>-262773937.83000001</v>
      </c>
    </row>
    <row r="51" spans="1:9" x14ac:dyDescent="0.25">
      <c r="A51">
        <v>45</v>
      </c>
      <c r="B51" s="1">
        <v>45380</v>
      </c>
      <c r="C51">
        <v>19</v>
      </c>
      <c r="D51" t="str">
        <f>"1434"</f>
        <v>1434</v>
      </c>
      <c r="E51" t="str">
        <f>"Дисконт по займам, предоставленным клиентам"</f>
        <v>Дисконт по займам, предоставленным клиентам</v>
      </c>
      <c r="F51" t="str">
        <f>"1"</f>
        <v>1</v>
      </c>
      <c r="G51" t="str">
        <f>"9"</f>
        <v>9</v>
      </c>
      <c r="H51" t="str">
        <f t="shared" si="4"/>
        <v>1</v>
      </c>
      <c r="I51" s="2">
        <v>-43954434038.769997</v>
      </c>
    </row>
    <row r="52" spans="1:9" x14ac:dyDescent="0.25">
      <c r="A52">
        <v>47</v>
      </c>
      <c r="B52" s="1">
        <v>45380</v>
      </c>
      <c r="C52">
        <v>19</v>
      </c>
      <c r="D52" t="str">
        <f>"1434"</f>
        <v>1434</v>
      </c>
      <c r="E52" t="str">
        <f>"Дисконт по займам, предоставленным клиентам"</f>
        <v>Дисконт по займам, предоставленным клиентам</v>
      </c>
      <c r="F52" t="str">
        <f>"2"</f>
        <v>2</v>
      </c>
      <c r="G52" t="str">
        <f>"9"</f>
        <v>9</v>
      </c>
      <c r="H52" t="str">
        <f t="shared" si="4"/>
        <v>1</v>
      </c>
      <c r="I52" s="2">
        <v>-1812439.61</v>
      </c>
    </row>
    <row r="53" spans="1:9" x14ac:dyDescent="0.25">
      <c r="A53">
        <v>38</v>
      </c>
      <c r="B53" s="1">
        <v>45380</v>
      </c>
      <c r="C53">
        <v>19</v>
      </c>
      <c r="D53" t="str">
        <f>"1435"</f>
        <v>1435</v>
      </c>
      <c r="E53" t="str">
        <f>"Премия по займам, предоставленным клиентам"</f>
        <v>Премия по займам, предоставленным клиентам</v>
      </c>
      <c r="F53" t="str">
        <f>"1"</f>
        <v>1</v>
      </c>
      <c r="G53" t="str">
        <f>"7"</f>
        <v>7</v>
      </c>
      <c r="H53" t="str">
        <f t="shared" si="4"/>
        <v>1</v>
      </c>
      <c r="I53" s="2">
        <v>1182689669.97</v>
      </c>
    </row>
    <row r="54" spans="1:9" x14ac:dyDescent="0.25">
      <c r="A54">
        <v>44</v>
      </c>
      <c r="B54" s="1">
        <v>45380</v>
      </c>
      <c r="C54">
        <v>19</v>
      </c>
      <c r="D54" t="str">
        <f>"1435"</f>
        <v>1435</v>
      </c>
      <c r="E54" t="str">
        <f>"Премия по займам, предоставленным клиентам"</f>
        <v>Премия по займам, предоставленным клиентам</v>
      </c>
      <c r="F54" t="str">
        <f>"1"</f>
        <v>1</v>
      </c>
      <c r="G54" t="str">
        <f>"9"</f>
        <v>9</v>
      </c>
      <c r="H54" t="str">
        <f t="shared" si="4"/>
        <v>1</v>
      </c>
      <c r="I54" s="2">
        <v>22100015503.18</v>
      </c>
    </row>
    <row r="55" spans="1:9" x14ac:dyDescent="0.25">
      <c r="A55">
        <v>49</v>
      </c>
      <c r="B55" s="1">
        <v>45380</v>
      </c>
      <c r="C55">
        <v>19</v>
      </c>
      <c r="D55" t="str">
        <f>"1435"</f>
        <v>1435</v>
      </c>
      <c r="E55" t="str">
        <f>"Премия по займам, предоставленным клиентам"</f>
        <v>Премия по займам, предоставленным клиентам</v>
      </c>
      <c r="F55" t="str">
        <f>"2"</f>
        <v>2</v>
      </c>
      <c r="G55" t="str">
        <f>"9"</f>
        <v>9</v>
      </c>
      <c r="H55" t="str">
        <f t="shared" si="4"/>
        <v>1</v>
      </c>
      <c r="I55" s="2">
        <v>439460.36</v>
      </c>
    </row>
    <row r="56" spans="1:9" x14ac:dyDescent="0.25">
      <c r="A56">
        <v>46</v>
      </c>
      <c r="B56" s="1">
        <v>45380</v>
      </c>
      <c r="C56">
        <v>19</v>
      </c>
      <c r="D56" t="str">
        <f t="shared" ref="D56:D66" si="5">"1452"</f>
        <v>1452</v>
      </c>
      <c r="E56" t="str">
        <f t="shared" ref="E56:E66" si="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6" t="str">
        <f>"1"</f>
        <v>1</v>
      </c>
      <c r="G56" t="str">
        <f>"1"</f>
        <v>1</v>
      </c>
      <c r="H56" t="str">
        <f t="shared" si="4"/>
        <v>1</v>
      </c>
      <c r="I56" s="2">
        <v>1000846394500</v>
      </c>
    </row>
    <row r="57" spans="1:9" x14ac:dyDescent="0.25">
      <c r="A57">
        <v>50</v>
      </c>
      <c r="B57" s="1">
        <v>45380</v>
      </c>
      <c r="C57">
        <v>19</v>
      </c>
      <c r="D57" t="str">
        <f t="shared" si="5"/>
        <v>1452</v>
      </c>
      <c r="E57" t="str">
        <f t="shared" si="6"/>
        <v>Ценные бумаги, учитываемые по справедливой стоимости через прочий совокупный доход</v>
      </c>
      <c r="F57" t="str">
        <f>"1"</f>
        <v>1</v>
      </c>
      <c r="G57" t="str">
        <f>"1"</f>
        <v>1</v>
      </c>
      <c r="H57" t="str">
        <f>"2"</f>
        <v>2</v>
      </c>
      <c r="I57" s="2">
        <v>12178367179.139999</v>
      </c>
    </row>
    <row r="58" spans="1:9" x14ac:dyDescent="0.25">
      <c r="A58">
        <v>51</v>
      </c>
      <c r="B58" s="1">
        <v>45380</v>
      </c>
      <c r="C58">
        <v>19</v>
      </c>
      <c r="D58" t="str">
        <f t="shared" si="5"/>
        <v>1452</v>
      </c>
      <c r="E58" t="str">
        <f t="shared" si="6"/>
        <v>Ценные бумаги, учитываемые по справедливой стоимости через прочий совокупный доход</v>
      </c>
      <c r="F58" t="str">
        <f>"1"</f>
        <v>1</v>
      </c>
      <c r="G58" t="str">
        <f>"4"</f>
        <v>4</v>
      </c>
      <c r="H58" t="str">
        <f>"2"</f>
        <v>2</v>
      </c>
      <c r="I58" s="2">
        <v>10365742780</v>
      </c>
    </row>
    <row r="59" spans="1:9" x14ac:dyDescent="0.25">
      <c r="A59">
        <v>52</v>
      </c>
      <c r="B59" s="1">
        <v>45380</v>
      </c>
      <c r="C59">
        <v>19</v>
      </c>
      <c r="D59" t="str">
        <f t="shared" si="5"/>
        <v>1452</v>
      </c>
      <c r="E59" t="str">
        <f t="shared" si="6"/>
        <v>Ценные бумаги, учитываемые по справедливой стоимости через прочий совокупный доход</v>
      </c>
      <c r="F59" t="str">
        <f>"1"</f>
        <v>1</v>
      </c>
      <c r="G59" t="str">
        <f>"6"</f>
        <v>6</v>
      </c>
      <c r="H59" t="str">
        <f>"2"</f>
        <v>2</v>
      </c>
      <c r="I59" s="2">
        <v>7461226000</v>
      </c>
    </row>
    <row r="60" spans="1:9" x14ac:dyDescent="0.25">
      <c r="A60">
        <v>53</v>
      </c>
      <c r="B60" s="1">
        <v>45380</v>
      </c>
      <c r="C60">
        <v>19</v>
      </c>
      <c r="D60" t="str">
        <f t="shared" si="5"/>
        <v>1452</v>
      </c>
      <c r="E60" t="str">
        <f t="shared" si="6"/>
        <v>Ценные бумаги, учитываемые по справедливой стоимости через прочий совокупный доход</v>
      </c>
      <c r="F60" t="str">
        <f>"1"</f>
        <v>1</v>
      </c>
      <c r="G60" t="str">
        <f>"4"</f>
        <v>4</v>
      </c>
      <c r="H60" t="str">
        <f>"1"</f>
        <v>1</v>
      </c>
      <c r="I60" s="2">
        <v>21642112500</v>
      </c>
    </row>
    <row r="61" spans="1:9" x14ac:dyDescent="0.25">
      <c r="A61">
        <v>54</v>
      </c>
      <c r="B61" s="1">
        <v>45380</v>
      </c>
      <c r="C61">
        <v>19</v>
      </c>
      <c r="D61" t="str">
        <f t="shared" si="5"/>
        <v>1452</v>
      </c>
      <c r="E61" t="str">
        <f t="shared" si="6"/>
        <v>Ценные бумаги, учитываемые по справедливой стоимости через прочий совокупный доход</v>
      </c>
      <c r="F61" t="str">
        <f>"1"</f>
        <v>1</v>
      </c>
      <c r="G61" t="str">
        <f>"5"</f>
        <v>5</v>
      </c>
      <c r="H61" t="str">
        <f>"1"</f>
        <v>1</v>
      </c>
      <c r="I61" s="2">
        <v>102523152000</v>
      </c>
    </row>
    <row r="62" spans="1:9" x14ac:dyDescent="0.25">
      <c r="A62">
        <v>55</v>
      </c>
      <c r="B62" s="1">
        <v>45380</v>
      </c>
      <c r="C62">
        <v>19</v>
      </c>
      <c r="D62" t="str">
        <f t="shared" si="5"/>
        <v>1452</v>
      </c>
      <c r="E62" t="str">
        <f t="shared" si="6"/>
        <v>Ценные бумаги, учитываемые по справедливой стоимости через прочий совокупный доход</v>
      </c>
      <c r="F62" t="str">
        <f>"2"</f>
        <v>2</v>
      </c>
      <c r="G62" t="str">
        <f>"1"</f>
        <v>1</v>
      </c>
      <c r="H62" t="str">
        <f>"2"</f>
        <v>2</v>
      </c>
      <c r="I62" s="2">
        <v>2010510000</v>
      </c>
    </row>
    <row r="63" spans="1:9" x14ac:dyDescent="0.25">
      <c r="A63">
        <v>56</v>
      </c>
      <c r="B63" s="1">
        <v>45380</v>
      </c>
      <c r="C63">
        <v>19</v>
      </c>
      <c r="D63" t="str">
        <f t="shared" si="5"/>
        <v>1452</v>
      </c>
      <c r="E63" t="str">
        <f t="shared" si="6"/>
        <v>Ценные бумаги, учитываемые по справедливой стоимости через прочий совокупный доход</v>
      </c>
      <c r="F63" t="str">
        <f>"1"</f>
        <v>1</v>
      </c>
      <c r="G63" t="str">
        <f>"6"</f>
        <v>6</v>
      </c>
      <c r="H63" t="str">
        <f>"1"</f>
        <v>1</v>
      </c>
      <c r="I63" s="2">
        <v>127962838.40000001</v>
      </c>
    </row>
    <row r="64" spans="1:9" x14ac:dyDescent="0.25">
      <c r="A64">
        <v>57</v>
      </c>
      <c r="B64" s="1">
        <v>45380</v>
      </c>
      <c r="C64">
        <v>19</v>
      </c>
      <c r="D64" t="str">
        <f t="shared" si="5"/>
        <v>1452</v>
      </c>
      <c r="E64" t="str">
        <f t="shared" si="6"/>
        <v>Ценные бумаги, учитываемые по справедливой стоимости через прочий совокупный доход</v>
      </c>
      <c r="F64" t="str">
        <f>"2"</f>
        <v>2</v>
      </c>
      <c r="G64" t="str">
        <f>"4"</f>
        <v>4</v>
      </c>
      <c r="H64" t="str">
        <f>"2"</f>
        <v>2</v>
      </c>
      <c r="I64" s="2">
        <v>446780000</v>
      </c>
    </row>
    <row r="65" spans="1:9" x14ac:dyDescent="0.25">
      <c r="A65">
        <v>58</v>
      </c>
      <c r="B65" s="1">
        <v>45380</v>
      </c>
      <c r="C65">
        <v>19</v>
      </c>
      <c r="D65" t="str">
        <f t="shared" si="5"/>
        <v>1452</v>
      </c>
      <c r="E65" t="str">
        <f t="shared" si="6"/>
        <v>Ценные бумаги, учитываемые по справедливой стоимости через прочий совокупный доход</v>
      </c>
      <c r="F65" t="str">
        <f>"2"</f>
        <v>2</v>
      </c>
      <c r="G65" t="str">
        <f>"7"</f>
        <v>7</v>
      </c>
      <c r="H65" t="str">
        <f>"2"</f>
        <v>2</v>
      </c>
      <c r="I65" s="2">
        <v>4637635235.54</v>
      </c>
    </row>
    <row r="66" spans="1:9" x14ac:dyDescent="0.25">
      <c r="A66">
        <v>61</v>
      </c>
      <c r="B66" s="1">
        <v>45380</v>
      </c>
      <c r="C66">
        <v>19</v>
      </c>
      <c r="D66" t="str">
        <f t="shared" si="5"/>
        <v>1452</v>
      </c>
      <c r="E66" t="str">
        <f t="shared" si="6"/>
        <v>Ценные бумаги, учитываемые по справедливой стоимости через прочий совокупный доход</v>
      </c>
      <c r="F66" t="str">
        <f>"2"</f>
        <v>2</v>
      </c>
      <c r="G66" t="str">
        <f>"3"</f>
        <v>3</v>
      </c>
      <c r="H66" t="str">
        <f>"1"</f>
        <v>1</v>
      </c>
      <c r="I66" s="2">
        <v>121713036000</v>
      </c>
    </row>
    <row r="67" spans="1:9" x14ac:dyDescent="0.25">
      <c r="A67">
        <v>59</v>
      </c>
      <c r="B67" s="1">
        <v>45380</v>
      </c>
      <c r="C67">
        <v>19</v>
      </c>
      <c r="D67" t="str">
        <f t="shared" ref="D67:D76" si="7">"1453"</f>
        <v>1453</v>
      </c>
      <c r="E67" t="str">
        <f t="shared" ref="E67:E76" si="8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67" t="str">
        <f>"1"</f>
        <v>1</v>
      </c>
      <c r="G67" t="str">
        <f>"1"</f>
        <v>1</v>
      </c>
      <c r="H67" t="str">
        <f>"2"</f>
        <v>2</v>
      </c>
      <c r="I67" s="2">
        <v>-14766764.67</v>
      </c>
    </row>
    <row r="68" spans="1:9" x14ac:dyDescent="0.25">
      <c r="A68">
        <v>60</v>
      </c>
      <c r="B68" s="1">
        <v>45380</v>
      </c>
      <c r="C68">
        <v>19</v>
      </c>
      <c r="D68" t="str">
        <f t="shared" si="7"/>
        <v>1453</v>
      </c>
      <c r="E68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68" t="str">
        <f>"1"</f>
        <v>1</v>
      </c>
      <c r="G68" t="str">
        <f>"4"</f>
        <v>4</v>
      </c>
      <c r="H68" t="str">
        <f>"1"</f>
        <v>1</v>
      </c>
      <c r="I68" s="2">
        <v>-142038899.5</v>
      </c>
    </row>
    <row r="69" spans="1:9" x14ac:dyDescent="0.25">
      <c r="A69">
        <v>62</v>
      </c>
      <c r="B69" s="1">
        <v>45380</v>
      </c>
      <c r="C69">
        <v>19</v>
      </c>
      <c r="D69" t="str">
        <f t="shared" si="7"/>
        <v>1453</v>
      </c>
      <c r="E69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69" t="str">
        <f>"1"</f>
        <v>1</v>
      </c>
      <c r="G69" t="str">
        <f>"1"</f>
        <v>1</v>
      </c>
      <c r="H69" t="str">
        <f>"1"</f>
        <v>1</v>
      </c>
      <c r="I69" s="2">
        <v>-59680798461.800003</v>
      </c>
    </row>
    <row r="70" spans="1:9" x14ac:dyDescent="0.25">
      <c r="A70">
        <v>63</v>
      </c>
      <c r="B70" s="1">
        <v>45380</v>
      </c>
      <c r="C70">
        <v>19</v>
      </c>
      <c r="D70" t="str">
        <f t="shared" si="7"/>
        <v>1453</v>
      </c>
      <c r="E70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0" t="str">
        <f>"1"</f>
        <v>1</v>
      </c>
      <c r="G70" t="str">
        <f>"4"</f>
        <v>4</v>
      </c>
      <c r="H70" t="str">
        <f>"2"</f>
        <v>2</v>
      </c>
      <c r="I70" s="2">
        <v>-262024089.72999999</v>
      </c>
    </row>
    <row r="71" spans="1:9" x14ac:dyDescent="0.25">
      <c r="A71">
        <v>64</v>
      </c>
      <c r="B71" s="1">
        <v>45380</v>
      </c>
      <c r="C71">
        <v>19</v>
      </c>
      <c r="D71" t="str">
        <f t="shared" si="7"/>
        <v>1453</v>
      </c>
      <c r="E71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1" t="str">
        <f>"1"</f>
        <v>1</v>
      </c>
      <c r="G71" t="str">
        <f>"5"</f>
        <v>5</v>
      </c>
      <c r="H71" t="str">
        <f>"1"</f>
        <v>1</v>
      </c>
      <c r="I71" s="2">
        <v>-1947433132.3</v>
      </c>
    </row>
    <row r="72" spans="1:9" x14ac:dyDescent="0.25">
      <c r="A72">
        <v>65</v>
      </c>
      <c r="B72" s="1">
        <v>45380</v>
      </c>
      <c r="C72">
        <v>19</v>
      </c>
      <c r="D72" t="str">
        <f t="shared" si="7"/>
        <v>1453</v>
      </c>
      <c r="E72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2" t="str">
        <f>"2"</f>
        <v>2</v>
      </c>
      <c r="G72" t="str">
        <f>"3"</f>
        <v>3</v>
      </c>
      <c r="H72" t="str">
        <f>"1"</f>
        <v>1</v>
      </c>
      <c r="I72" s="2">
        <v>-1760068253.0799999</v>
      </c>
    </row>
    <row r="73" spans="1:9" x14ac:dyDescent="0.25">
      <c r="A73">
        <v>66</v>
      </c>
      <c r="B73" s="1">
        <v>45380</v>
      </c>
      <c r="C73">
        <v>19</v>
      </c>
      <c r="D73" t="str">
        <f t="shared" si="7"/>
        <v>1453</v>
      </c>
      <c r="E7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3" t="str">
        <f>"2"</f>
        <v>2</v>
      </c>
      <c r="G73" t="str">
        <f>"1"</f>
        <v>1</v>
      </c>
      <c r="H73" t="str">
        <f>"2"</f>
        <v>2</v>
      </c>
      <c r="I73" s="2">
        <v>-104692603.66</v>
      </c>
    </row>
    <row r="74" spans="1:9" x14ac:dyDescent="0.25">
      <c r="A74">
        <v>67</v>
      </c>
      <c r="B74" s="1">
        <v>45380</v>
      </c>
      <c r="C74">
        <v>19</v>
      </c>
      <c r="D74" t="str">
        <f t="shared" si="7"/>
        <v>1453</v>
      </c>
      <c r="E74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4" t="str">
        <f>"2"</f>
        <v>2</v>
      </c>
      <c r="G74" t="str">
        <f>"4"</f>
        <v>4</v>
      </c>
      <c r="H74" t="str">
        <f>"2"</f>
        <v>2</v>
      </c>
      <c r="I74" s="2">
        <v>-10837926.689999999</v>
      </c>
    </row>
    <row r="75" spans="1:9" x14ac:dyDescent="0.25">
      <c r="A75">
        <v>68</v>
      </c>
      <c r="B75" s="1">
        <v>45380</v>
      </c>
      <c r="C75">
        <v>19</v>
      </c>
      <c r="D75" t="str">
        <f t="shared" si="7"/>
        <v>1453</v>
      </c>
      <c r="E75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5" t="str">
        <f>"2"</f>
        <v>2</v>
      </c>
      <c r="G75" t="str">
        <f>"7"</f>
        <v>7</v>
      </c>
      <c r="H75" t="str">
        <f>"2"</f>
        <v>2</v>
      </c>
      <c r="I75" s="2">
        <v>-457749592.75999999</v>
      </c>
    </row>
    <row r="76" spans="1:9" x14ac:dyDescent="0.25">
      <c r="A76">
        <v>73</v>
      </c>
      <c r="B76" s="1">
        <v>45380</v>
      </c>
      <c r="C76">
        <v>19</v>
      </c>
      <c r="D76" t="str">
        <f t="shared" si="7"/>
        <v>1453</v>
      </c>
      <c r="E76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6" t="str">
        <f>"1"</f>
        <v>1</v>
      </c>
      <c r="G76" t="str">
        <f>"6"</f>
        <v>6</v>
      </c>
      <c r="H76" t="str">
        <f>"2"</f>
        <v>2</v>
      </c>
      <c r="I76" s="2">
        <v>-516459312.87</v>
      </c>
    </row>
    <row r="77" spans="1:9" x14ac:dyDescent="0.25">
      <c r="A77">
        <v>69</v>
      </c>
      <c r="B77" s="1">
        <v>45380</v>
      </c>
      <c r="C77">
        <v>19</v>
      </c>
      <c r="D77" t="str">
        <f>"1454"</f>
        <v>1454</v>
      </c>
      <c r="E7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7" t="str">
        <f>"1"</f>
        <v>1</v>
      </c>
      <c r="G77" t="str">
        <f>"4"</f>
        <v>4</v>
      </c>
      <c r="H77" t="str">
        <f>"2"</f>
        <v>2</v>
      </c>
      <c r="I77" s="2">
        <v>18910651.539999999</v>
      </c>
    </row>
    <row r="78" spans="1:9" x14ac:dyDescent="0.25">
      <c r="A78">
        <v>70</v>
      </c>
      <c r="B78" s="1">
        <v>45380</v>
      </c>
      <c r="C78">
        <v>19</v>
      </c>
      <c r="D78" t="str">
        <f>"1454"</f>
        <v>1454</v>
      </c>
      <c r="E7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8" t="str">
        <f>"1"</f>
        <v>1</v>
      </c>
      <c r="G78" t="str">
        <f>"1"</f>
        <v>1</v>
      </c>
      <c r="H78" t="str">
        <f>"1"</f>
        <v>1</v>
      </c>
      <c r="I78" s="2">
        <v>5368755484.6000004</v>
      </c>
    </row>
    <row r="79" spans="1:9" x14ac:dyDescent="0.25">
      <c r="A79">
        <v>71</v>
      </c>
      <c r="B79" s="1">
        <v>45380</v>
      </c>
      <c r="C79">
        <v>19</v>
      </c>
      <c r="D79" t="str">
        <f>"1454"</f>
        <v>1454</v>
      </c>
      <c r="E7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79" t="str">
        <f>"2"</f>
        <v>2</v>
      </c>
      <c r="G79" t="str">
        <f>"1"</f>
        <v>1</v>
      </c>
      <c r="H79" t="str">
        <f>"2"</f>
        <v>2</v>
      </c>
      <c r="I79" s="2">
        <v>2393802.56</v>
      </c>
    </row>
    <row r="80" spans="1:9" x14ac:dyDescent="0.25">
      <c r="A80">
        <v>72</v>
      </c>
      <c r="B80" s="1">
        <v>45380</v>
      </c>
      <c r="C80">
        <v>19</v>
      </c>
      <c r="D80" t="str">
        <f>"1454"</f>
        <v>1454</v>
      </c>
      <c r="E8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0" t="str">
        <f>"2"</f>
        <v>2</v>
      </c>
      <c r="G80" t="str">
        <f>"3"</f>
        <v>3</v>
      </c>
      <c r="H80" t="str">
        <f>"1"</f>
        <v>1</v>
      </c>
      <c r="I80" s="2">
        <v>82648007.859999999</v>
      </c>
    </row>
    <row r="81" spans="1:9" x14ac:dyDescent="0.25">
      <c r="A81">
        <v>89</v>
      </c>
      <c r="B81" s="1">
        <v>45380</v>
      </c>
      <c r="C81">
        <v>19</v>
      </c>
      <c r="D81" t="str">
        <f>"1454"</f>
        <v>1454</v>
      </c>
      <c r="E8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1" t="str">
        <f>"1"</f>
        <v>1</v>
      </c>
      <c r="G81" t="str">
        <f>"1"</f>
        <v>1</v>
      </c>
      <c r="H81" t="str">
        <f>"2"</f>
        <v>2</v>
      </c>
      <c r="I81" s="2">
        <v>37190454.189999998</v>
      </c>
    </row>
    <row r="82" spans="1:9" x14ac:dyDescent="0.25">
      <c r="A82">
        <v>74</v>
      </c>
      <c r="B82" s="1">
        <v>45380</v>
      </c>
      <c r="C82">
        <v>19</v>
      </c>
      <c r="D82" t="str">
        <f t="shared" ref="D82:D90" si="9">"1456"</f>
        <v>1456</v>
      </c>
      <c r="E82" t="str">
        <f t="shared" ref="E82:E90" si="10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2" t="str">
        <f>"1"</f>
        <v>1</v>
      </c>
      <c r="G82" t="str">
        <f>"4"</f>
        <v>4</v>
      </c>
      <c r="H82" t="str">
        <f>"2"</f>
        <v>2</v>
      </c>
      <c r="I82" s="2">
        <v>32624429.609999999</v>
      </c>
    </row>
    <row r="83" spans="1:9" x14ac:dyDescent="0.25">
      <c r="A83">
        <v>75</v>
      </c>
      <c r="B83" s="1">
        <v>45380</v>
      </c>
      <c r="C83">
        <v>19</v>
      </c>
      <c r="D83" t="str">
        <f t="shared" si="9"/>
        <v>1456</v>
      </c>
      <c r="E83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3" t="str">
        <f>"1"</f>
        <v>1</v>
      </c>
      <c r="G83" t="str">
        <f>"1"</f>
        <v>1</v>
      </c>
      <c r="H83" t="str">
        <f>"1"</f>
        <v>1</v>
      </c>
      <c r="I83" s="2">
        <v>43260948792.709999</v>
      </c>
    </row>
    <row r="84" spans="1:9" x14ac:dyDescent="0.25">
      <c r="A84">
        <v>76</v>
      </c>
      <c r="B84" s="1">
        <v>45380</v>
      </c>
      <c r="C84">
        <v>19</v>
      </c>
      <c r="D84" t="str">
        <f t="shared" si="9"/>
        <v>1456</v>
      </c>
      <c r="E84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4" t="str">
        <f>"1"</f>
        <v>1</v>
      </c>
      <c r="G84" t="str">
        <f>"4"</f>
        <v>4</v>
      </c>
      <c r="H84" t="str">
        <f>"1"</f>
        <v>1</v>
      </c>
      <c r="I84" s="2">
        <v>52002607.859999999</v>
      </c>
    </row>
    <row r="85" spans="1:9" x14ac:dyDescent="0.25">
      <c r="A85">
        <v>77</v>
      </c>
      <c r="B85" s="1">
        <v>45380</v>
      </c>
      <c r="C85">
        <v>19</v>
      </c>
      <c r="D85" t="str">
        <f t="shared" si="9"/>
        <v>1456</v>
      </c>
      <c r="E85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5" t="str">
        <f>"1"</f>
        <v>1</v>
      </c>
      <c r="G85" t="str">
        <f>"6"</f>
        <v>6</v>
      </c>
      <c r="H85" t="str">
        <f>"2"</f>
        <v>2</v>
      </c>
      <c r="I85" s="2">
        <v>240387025.78</v>
      </c>
    </row>
    <row r="86" spans="1:9" x14ac:dyDescent="0.25">
      <c r="A86">
        <v>78</v>
      </c>
      <c r="B86" s="1">
        <v>45380</v>
      </c>
      <c r="C86">
        <v>19</v>
      </c>
      <c r="D86" t="str">
        <f t="shared" si="9"/>
        <v>1456</v>
      </c>
      <c r="E86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6" t="str">
        <f>"2"</f>
        <v>2</v>
      </c>
      <c r="G86" t="str">
        <f>"3"</f>
        <v>3</v>
      </c>
      <c r="H86" t="str">
        <f>"1"</f>
        <v>1</v>
      </c>
      <c r="I86" s="2">
        <v>468001288.44999999</v>
      </c>
    </row>
    <row r="87" spans="1:9" x14ac:dyDescent="0.25">
      <c r="A87">
        <v>79</v>
      </c>
      <c r="B87" s="1">
        <v>45380</v>
      </c>
      <c r="C87">
        <v>19</v>
      </c>
      <c r="D87" t="str">
        <f t="shared" si="9"/>
        <v>1456</v>
      </c>
      <c r="E87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7" t="str">
        <f>"2"</f>
        <v>2</v>
      </c>
      <c r="G87" t="str">
        <f>"7"</f>
        <v>7</v>
      </c>
      <c r="H87" t="str">
        <f>"2"</f>
        <v>2</v>
      </c>
      <c r="I87" s="2">
        <v>202847908.94999999</v>
      </c>
    </row>
    <row r="88" spans="1:9" x14ac:dyDescent="0.25">
      <c r="A88">
        <v>83</v>
      </c>
      <c r="B88" s="1">
        <v>45380</v>
      </c>
      <c r="C88">
        <v>19</v>
      </c>
      <c r="D88" t="str">
        <f t="shared" si="9"/>
        <v>1456</v>
      </c>
      <c r="E88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8" t="str">
        <f>"1"</f>
        <v>1</v>
      </c>
      <c r="G88" t="str">
        <f>"6"</f>
        <v>6</v>
      </c>
      <c r="H88" t="str">
        <f>"1"</f>
        <v>1</v>
      </c>
      <c r="I88" s="2">
        <v>190728989.72999999</v>
      </c>
    </row>
    <row r="89" spans="1:9" x14ac:dyDescent="0.25">
      <c r="A89">
        <v>98</v>
      </c>
      <c r="B89" s="1">
        <v>45380</v>
      </c>
      <c r="C89">
        <v>19</v>
      </c>
      <c r="D89" t="str">
        <f t="shared" si="9"/>
        <v>1456</v>
      </c>
      <c r="E89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9" t="str">
        <f>"2"</f>
        <v>2</v>
      </c>
      <c r="G89" t="str">
        <f>"1"</f>
        <v>1</v>
      </c>
      <c r="H89" t="str">
        <f>"2"</f>
        <v>2</v>
      </c>
      <c r="I89" s="2">
        <v>4807817.45</v>
      </c>
    </row>
    <row r="90" spans="1:9" x14ac:dyDescent="0.25">
      <c r="A90">
        <v>99</v>
      </c>
      <c r="B90" s="1">
        <v>45380</v>
      </c>
      <c r="C90">
        <v>19</v>
      </c>
      <c r="D90" t="str">
        <f t="shared" si="9"/>
        <v>1456</v>
      </c>
      <c r="E90" t="str">
        <f t="shared" si="1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0" t="str">
        <f>"1"</f>
        <v>1</v>
      </c>
      <c r="G90" t="str">
        <f>"5"</f>
        <v>5</v>
      </c>
      <c r="H90" t="str">
        <f>"1"</f>
        <v>1</v>
      </c>
      <c r="I90" s="2">
        <v>297167098.25</v>
      </c>
    </row>
    <row r="91" spans="1:9" x14ac:dyDescent="0.25">
      <c r="A91">
        <v>80</v>
      </c>
      <c r="B91" s="1">
        <v>45380</v>
      </c>
      <c r="C91">
        <v>19</v>
      </c>
      <c r="D91" t="str">
        <f t="shared" ref="D91:D100" si="11">"1457"</f>
        <v>1457</v>
      </c>
      <c r="E91" t="str">
        <f t="shared" ref="E91:E100" si="12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1" t="str">
        <f>"1"</f>
        <v>1</v>
      </c>
      <c r="G91" t="str">
        <f>"1"</f>
        <v>1</v>
      </c>
      <c r="H91" t="str">
        <f>"1"</f>
        <v>1</v>
      </c>
      <c r="I91" s="2">
        <v>-1060839228.64</v>
      </c>
    </row>
    <row r="92" spans="1:9" x14ac:dyDescent="0.25">
      <c r="A92">
        <v>81</v>
      </c>
      <c r="B92" s="1">
        <v>45380</v>
      </c>
      <c r="C92">
        <v>19</v>
      </c>
      <c r="D92" t="str">
        <f t="shared" si="11"/>
        <v>1457</v>
      </c>
      <c r="E92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2" t="str">
        <f>"1"</f>
        <v>1</v>
      </c>
      <c r="G92" t="str">
        <f>"4"</f>
        <v>4</v>
      </c>
      <c r="H92" t="str">
        <f>"1"</f>
        <v>1</v>
      </c>
      <c r="I92" s="2">
        <v>-439357717.92000002</v>
      </c>
    </row>
    <row r="93" spans="1:9" x14ac:dyDescent="0.25">
      <c r="A93">
        <v>82</v>
      </c>
      <c r="B93" s="1">
        <v>45380</v>
      </c>
      <c r="C93">
        <v>19</v>
      </c>
      <c r="D93" t="str">
        <f t="shared" si="11"/>
        <v>1457</v>
      </c>
      <c r="E93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3" t="str">
        <f>"1"</f>
        <v>1</v>
      </c>
      <c r="G93" t="str">
        <f>"1"</f>
        <v>1</v>
      </c>
      <c r="H93" t="str">
        <f>"2"</f>
        <v>2</v>
      </c>
      <c r="I93" s="2">
        <v>-179228414.53</v>
      </c>
    </row>
    <row r="94" spans="1:9" x14ac:dyDescent="0.25">
      <c r="A94">
        <v>84</v>
      </c>
      <c r="B94" s="1">
        <v>45380</v>
      </c>
      <c r="C94">
        <v>19</v>
      </c>
      <c r="D94" t="str">
        <f t="shared" si="11"/>
        <v>1457</v>
      </c>
      <c r="E94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4" t="str">
        <f>"1"</f>
        <v>1</v>
      </c>
      <c r="G94" t="str">
        <f>"4"</f>
        <v>4</v>
      </c>
      <c r="H94" t="str">
        <f>"2"</f>
        <v>2</v>
      </c>
      <c r="I94" s="2">
        <v>-23749908.899999999</v>
      </c>
    </row>
    <row r="95" spans="1:9" x14ac:dyDescent="0.25">
      <c r="A95">
        <v>85</v>
      </c>
      <c r="B95" s="1">
        <v>45380</v>
      </c>
      <c r="C95">
        <v>19</v>
      </c>
      <c r="D95" t="str">
        <f t="shared" si="11"/>
        <v>1457</v>
      </c>
      <c r="E95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>"2"</f>
        <v>2</v>
      </c>
      <c r="G95" t="str">
        <f>"1"</f>
        <v>1</v>
      </c>
      <c r="H95" t="str">
        <f>"2"</f>
        <v>2</v>
      </c>
      <c r="I95" s="2">
        <v>-99397554.739999995</v>
      </c>
    </row>
    <row r="96" spans="1:9" x14ac:dyDescent="0.25">
      <c r="A96">
        <v>86</v>
      </c>
      <c r="B96" s="1">
        <v>45380</v>
      </c>
      <c r="C96">
        <v>19</v>
      </c>
      <c r="D96" t="str">
        <f t="shared" si="11"/>
        <v>1457</v>
      </c>
      <c r="E96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6" t="str">
        <f>"1"</f>
        <v>1</v>
      </c>
      <c r="G96" t="str">
        <f>"6"</f>
        <v>6</v>
      </c>
      <c r="H96" t="str">
        <f>"2"</f>
        <v>2</v>
      </c>
      <c r="I96" s="2">
        <v>-99206087.180000007</v>
      </c>
    </row>
    <row r="97" spans="1:9" x14ac:dyDescent="0.25">
      <c r="A97">
        <v>88</v>
      </c>
      <c r="B97" s="1">
        <v>45380</v>
      </c>
      <c r="C97">
        <v>19</v>
      </c>
      <c r="D97" t="str">
        <f t="shared" si="11"/>
        <v>1457</v>
      </c>
      <c r="E97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7" t="str">
        <f>"2"</f>
        <v>2</v>
      </c>
      <c r="G97" t="str">
        <f>"3"</f>
        <v>3</v>
      </c>
      <c r="H97" t="str">
        <f>"1"</f>
        <v>1</v>
      </c>
      <c r="I97" s="2">
        <v>-1161415507.0699999</v>
      </c>
    </row>
    <row r="98" spans="1:9" x14ac:dyDescent="0.25">
      <c r="A98">
        <v>90</v>
      </c>
      <c r="B98" s="1">
        <v>45380</v>
      </c>
      <c r="C98">
        <v>19</v>
      </c>
      <c r="D98" t="str">
        <f t="shared" si="11"/>
        <v>1457</v>
      </c>
      <c r="E98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t="str">
        <f>"2"</f>
        <v>2</v>
      </c>
      <c r="G98" t="str">
        <f>"4"</f>
        <v>4</v>
      </c>
      <c r="H98" t="str">
        <f>"2"</f>
        <v>2</v>
      </c>
      <c r="I98" s="2">
        <v>-1948903.51</v>
      </c>
    </row>
    <row r="99" spans="1:9" x14ac:dyDescent="0.25">
      <c r="A99">
        <v>92</v>
      </c>
      <c r="B99" s="1">
        <v>45380</v>
      </c>
      <c r="C99">
        <v>19</v>
      </c>
      <c r="D99" t="str">
        <f t="shared" si="11"/>
        <v>1457</v>
      </c>
      <c r="E99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9" t="str">
        <f>"2"</f>
        <v>2</v>
      </c>
      <c r="G99" t="str">
        <f>"7"</f>
        <v>7</v>
      </c>
      <c r="H99" t="str">
        <f>"2"</f>
        <v>2</v>
      </c>
      <c r="I99" s="2">
        <v>-490285610.31999999</v>
      </c>
    </row>
    <row r="100" spans="1:9" x14ac:dyDescent="0.25">
      <c r="A100">
        <v>113</v>
      </c>
      <c r="B100" s="1">
        <v>45380</v>
      </c>
      <c r="C100">
        <v>19</v>
      </c>
      <c r="D100" t="str">
        <f t="shared" si="11"/>
        <v>1457</v>
      </c>
      <c r="E100" t="str">
        <f t="shared" si="12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0" t="str">
        <f>"1"</f>
        <v>1</v>
      </c>
      <c r="G100" t="str">
        <f>"5"</f>
        <v>5</v>
      </c>
      <c r="H100" t="str">
        <f>"1"</f>
        <v>1</v>
      </c>
      <c r="I100" s="2">
        <v>-2234917171.3000002</v>
      </c>
    </row>
    <row r="101" spans="1:9" x14ac:dyDescent="0.25">
      <c r="A101">
        <v>103</v>
      </c>
      <c r="B101" s="1">
        <v>45380</v>
      </c>
      <c r="C101">
        <v>19</v>
      </c>
      <c r="D101" t="str">
        <f>"1471"</f>
        <v>1471</v>
      </c>
      <c r="E101" t="str">
        <f>"Инвестиции в дочерние организации"</f>
        <v>Инвестиции в дочерние организации</v>
      </c>
      <c r="F101" t="str">
        <f>"1"</f>
        <v>1</v>
      </c>
      <c r="G101" t="str">
        <f>"7"</f>
        <v>7</v>
      </c>
      <c r="H101" t="str">
        <f>"1"</f>
        <v>1</v>
      </c>
      <c r="I101" s="2">
        <v>8600000</v>
      </c>
    </row>
    <row r="102" spans="1:9" x14ac:dyDescent="0.25">
      <c r="A102">
        <v>94</v>
      </c>
      <c r="B102" s="1">
        <v>45380</v>
      </c>
      <c r="C102">
        <v>19</v>
      </c>
      <c r="D102" t="str">
        <f>"1476"</f>
        <v>1476</v>
      </c>
      <c r="E102" t="str">
        <f>"Прочие инвестиции"</f>
        <v>Прочие инвестиции</v>
      </c>
      <c r="F102" t="str">
        <f>"2"</f>
        <v>2</v>
      </c>
      <c r="G102" t="str">
        <f>"5"</f>
        <v>5</v>
      </c>
      <c r="H102" t="str">
        <f>"2"</f>
        <v>2</v>
      </c>
      <c r="I102" s="2">
        <v>30382938.600000001</v>
      </c>
    </row>
    <row r="103" spans="1:9" x14ac:dyDescent="0.25">
      <c r="A103">
        <v>95</v>
      </c>
      <c r="B103" s="1">
        <v>45380</v>
      </c>
      <c r="C103">
        <v>19</v>
      </c>
      <c r="D103" t="str">
        <f>"1476"</f>
        <v>1476</v>
      </c>
      <c r="E103" t="str">
        <f>"Прочие инвестиции"</f>
        <v>Прочие инвестиции</v>
      </c>
      <c r="F103" t="str">
        <f>"1"</f>
        <v>1</v>
      </c>
      <c r="G103" t="str">
        <f>"5"</f>
        <v>5</v>
      </c>
      <c r="H103" t="str">
        <f>"1"</f>
        <v>1</v>
      </c>
      <c r="I103" s="2">
        <v>25441585</v>
      </c>
    </row>
    <row r="104" spans="1:9" x14ac:dyDescent="0.25">
      <c r="A104">
        <v>87</v>
      </c>
      <c r="B104" s="1">
        <v>45380</v>
      </c>
      <c r="C104">
        <v>19</v>
      </c>
      <c r="D104" t="str">
        <f>"1602"</f>
        <v>1602</v>
      </c>
      <c r="E104" t="str">
        <f>"Прочие запасы"</f>
        <v>Прочие запасы</v>
      </c>
      <c r="F104" t="str">
        <f>""</f>
        <v/>
      </c>
      <c r="G104" t="str">
        <f>""</f>
        <v/>
      </c>
      <c r="H104" t="str">
        <f>""</f>
        <v/>
      </c>
      <c r="I104" s="2">
        <v>2504796259.21</v>
      </c>
    </row>
    <row r="105" spans="1:9" x14ac:dyDescent="0.25">
      <c r="A105">
        <v>93</v>
      </c>
      <c r="B105" s="1">
        <v>45380</v>
      </c>
      <c r="C105">
        <v>19</v>
      </c>
      <c r="D105" t="str">
        <f>"1610"</f>
        <v>1610</v>
      </c>
      <c r="E105" t="str">
        <f>"Долгосрочные активы, предназначенные для продажи"</f>
        <v>Долгосрочные активы, предназначенные для продажи</v>
      </c>
      <c r="F105" t="str">
        <f>""</f>
        <v/>
      </c>
      <c r="G105" t="str">
        <f>""</f>
        <v/>
      </c>
      <c r="H105" t="str">
        <f>""</f>
        <v/>
      </c>
      <c r="I105" s="2">
        <v>99082746</v>
      </c>
    </row>
    <row r="106" spans="1:9" x14ac:dyDescent="0.25">
      <c r="A106">
        <v>91</v>
      </c>
      <c r="B106" s="1">
        <v>45380</v>
      </c>
      <c r="C106">
        <v>19</v>
      </c>
      <c r="D106" t="str">
        <f>"1651"</f>
        <v>1651</v>
      </c>
      <c r="E106" t="str">
        <f>"Строящиеся (устанавливаемые) основные средства"</f>
        <v>Строящиеся (устанавливаемые) основные средства</v>
      </c>
      <c r="F106" t="str">
        <f>""</f>
        <v/>
      </c>
      <c r="G106" t="str">
        <f>""</f>
        <v/>
      </c>
      <c r="H106" t="str">
        <f>""</f>
        <v/>
      </c>
      <c r="I106" s="2">
        <v>12236913</v>
      </c>
    </row>
    <row r="107" spans="1:9" x14ac:dyDescent="0.25">
      <c r="A107">
        <v>100</v>
      </c>
      <c r="B107" s="1">
        <v>45380</v>
      </c>
      <c r="C107">
        <v>19</v>
      </c>
      <c r="D107" t="str">
        <f>"1652"</f>
        <v>1652</v>
      </c>
      <c r="E107" t="str">
        <f>"Земля, здания и сооружения"</f>
        <v>Земля, здания и сооружения</v>
      </c>
      <c r="F107" t="str">
        <f>""</f>
        <v/>
      </c>
      <c r="G107" t="str">
        <f>""</f>
        <v/>
      </c>
      <c r="H107" t="str">
        <f>""</f>
        <v/>
      </c>
      <c r="I107" s="2">
        <v>16351196674</v>
      </c>
    </row>
    <row r="108" spans="1:9" x14ac:dyDescent="0.25">
      <c r="A108">
        <v>97</v>
      </c>
      <c r="B108" s="1">
        <v>45380</v>
      </c>
      <c r="C108">
        <v>19</v>
      </c>
      <c r="D108" t="str">
        <f>"1653"</f>
        <v>1653</v>
      </c>
      <c r="E108" t="str">
        <f>"Компьютерное оборудование"</f>
        <v>Компьютерное оборудование</v>
      </c>
      <c r="F108" t="str">
        <f>""</f>
        <v/>
      </c>
      <c r="G108" t="str">
        <f>""</f>
        <v/>
      </c>
      <c r="H108" t="str">
        <f>""</f>
        <v/>
      </c>
      <c r="I108" s="2">
        <v>69122936162</v>
      </c>
    </row>
    <row r="109" spans="1:9" x14ac:dyDescent="0.25">
      <c r="A109">
        <v>96</v>
      </c>
      <c r="B109" s="1">
        <v>45380</v>
      </c>
      <c r="C109">
        <v>19</v>
      </c>
      <c r="D109" t="str">
        <f>"1654"</f>
        <v>1654</v>
      </c>
      <c r="E109" t="str">
        <f>"Прочие основные средства"</f>
        <v>Прочие основные средства</v>
      </c>
      <c r="F109" t="str">
        <f>""</f>
        <v/>
      </c>
      <c r="G109" t="str">
        <f>""</f>
        <v/>
      </c>
      <c r="H109" t="str">
        <f>""</f>
        <v/>
      </c>
      <c r="I109" s="2">
        <v>35000643093</v>
      </c>
    </row>
    <row r="110" spans="1:9" x14ac:dyDescent="0.25">
      <c r="A110">
        <v>105</v>
      </c>
      <c r="B110" s="1">
        <v>45380</v>
      </c>
      <c r="C110">
        <v>19</v>
      </c>
      <c r="D110" t="str">
        <f>"1657"</f>
        <v>1657</v>
      </c>
      <c r="E110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0" t="str">
        <f>""</f>
        <v/>
      </c>
      <c r="G110" t="str">
        <f>""</f>
        <v/>
      </c>
      <c r="H110" t="str">
        <f>""</f>
        <v/>
      </c>
      <c r="I110" s="2">
        <v>15380027245</v>
      </c>
    </row>
    <row r="111" spans="1:9" x14ac:dyDescent="0.25">
      <c r="A111">
        <v>104</v>
      </c>
      <c r="B111" s="1">
        <v>45380</v>
      </c>
      <c r="C111">
        <v>19</v>
      </c>
      <c r="D111" t="str">
        <f>"1658"</f>
        <v>1658</v>
      </c>
      <c r="E111" t="str">
        <f>"Транспортные средства"</f>
        <v>Транспортные средства</v>
      </c>
      <c r="F111" t="str">
        <f>""</f>
        <v/>
      </c>
      <c r="G111" t="str">
        <f>""</f>
        <v/>
      </c>
      <c r="H111" t="str">
        <f>""</f>
        <v/>
      </c>
      <c r="I111" s="2">
        <v>3291200919</v>
      </c>
    </row>
    <row r="112" spans="1:9" x14ac:dyDescent="0.25">
      <c r="A112">
        <v>101</v>
      </c>
      <c r="B112" s="1">
        <v>45380</v>
      </c>
      <c r="C112">
        <v>19</v>
      </c>
      <c r="D112" t="str">
        <f>"1659"</f>
        <v>1659</v>
      </c>
      <c r="E112" t="str">
        <f>"Нематериальные активы"</f>
        <v>Нематериальные активы</v>
      </c>
      <c r="F112" t="str">
        <f>""</f>
        <v/>
      </c>
      <c r="G112" t="str">
        <f>""</f>
        <v/>
      </c>
      <c r="H112" t="str">
        <f>""</f>
        <v/>
      </c>
      <c r="I112" s="2">
        <v>28964266327</v>
      </c>
    </row>
    <row r="113" spans="1:9" x14ac:dyDescent="0.25">
      <c r="A113">
        <v>102</v>
      </c>
      <c r="B113" s="1">
        <v>45380</v>
      </c>
      <c r="C113">
        <v>19</v>
      </c>
      <c r="D113" t="str">
        <f>"1692"</f>
        <v>1692</v>
      </c>
      <c r="E113" t="str">
        <f>"Начисленная амортизация по зданиям и сооружениям"</f>
        <v>Начисленная амортизация по зданиям и сооружениям</v>
      </c>
      <c r="F113" t="str">
        <f>""</f>
        <v/>
      </c>
      <c r="G113" t="str">
        <f>""</f>
        <v/>
      </c>
      <c r="H113" t="str">
        <f>""</f>
        <v/>
      </c>
      <c r="I113" s="2">
        <v>-4625145945</v>
      </c>
    </row>
    <row r="114" spans="1:9" x14ac:dyDescent="0.25">
      <c r="A114">
        <v>108</v>
      </c>
      <c r="B114" s="1">
        <v>45380</v>
      </c>
      <c r="C114">
        <v>19</v>
      </c>
      <c r="D114" t="str">
        <f>"1693"</f>
        <v>1693</v>
      </c>
      <c r="E114" t="str">
        <f>"Начисленная амортизация по компьютерному оборудованию"</f>
        <v>Начисленная амортизация по компьютерному оборудованию</v>
      </c>
      <c r="F114" t="str">
        <f>""</f>
        <v/>
      </c>
      <c r="G114" t="str">
        <f>""</f>
        <v/>
      </c>
      <c r="H114" t="str">
        <f>""</f>
        <v/>
      </c>
      <c r="I114" s="2">
        <v>-36196014241</v>
      </c>
    </row>
    <row r="115" spans="1:9" x14ac:dyDescent="0.25">
      <c r="A115">
        <v>106</v>
      </c>
      <c r="B115" s="1">
        <v>45380</v>
      </c>
      <c r="C115">
        <v>19</v>
      </c>
      <c r="D115" t="str">
        <f>"1694"</f>
        <v>1694</v>
      </c>
      <c r="E115" t="str">
        <f>"Начисленная амортизация по прочим основным средствам"</f>
        <v>Начисленная амортизация по прочим основным средствам</v>
      </c>
      <c r="F115" t="str">
        <f>""</f>
        <v/>
      </c>
      <c r="G115" t="str">
        <f>""</f>
        <v/>
      </c>
      <c r="H115" t="str">
        <f>""</f>
        <v/>
      </c>
      <c r="I115" s="2">
        <v>-15953268250</v>
      </c>
    </row>
    <row r="116" spans="1:9" x14ac:dyDescent="0.25">
      <c r="A116">
        <v>107</v>
      </c>
      <c r="B116" s="1">
        <v>45380</v>
      </c>
      <c r="C116">
        <v>19</v>
      </c>
      <c r="D116" t="str">
        <f>"1697"</f>
        <v>1697</v>
      </c>
      <c r="E116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16" t="str">
        <f>""</f>
        <v/>
      </c>
      <c r="G116" t="str">
        <f>""</f>
        <v/>
      </c>
      <c r="H116" t="str">
        <f>""</f>
        <v/>
      </c>
      <c r="I116" s="2">
        <v>-4967148727</v>
      </c>
    </row>
    <row r="117" spans="1:9" x14ac:dyDescent="0.25">
      <c r="A117">
        <v>109</v>
      </c>
      <c r="B117" s="1">
        <v>45380</v>
      </c>
      <c r="C117">
        <v>19</v>
      </c>
      <c r="D117" t="str">
        <f>"1698"</f>
        <v>1698</v>
      </c>
      <c r="E117" t="str">
        <f>"Начисленная амортизация по транспортным средствам"</f>
        <v>Начисленная амортизация по транспортным средствам</v>
      </c>
      <c r="F117" t="str">
        <f>""</f>
        <v/>
      </c>
      <c r="G117" t="str">
        <f>""</f>
        <v/>
      </c>
      <c r="H117" t="str">
        <f>""</f>
        <v/>
      </c>
      <c r="I117" s="2">
        <v>-1275714654</v>
      </c>
    </row>
    <row r="118" spans="1:9" x14ac:dyDescent="0.25">
      <c r="A118">
        <v>110</v>
      </c>
      <c r="B118" s="1">
        <v>45380</v>
      </c>
      <c r="C118">
        <v>19</v>
      </c>
      <c r="D118" t="str">
        <f>"1699"</f>
        <v>1699</v>
      </c>
      <c r="E118" t="str">
        <f>"Начисленная амортизация по нематериальным активам"</f>
        <v>Начисленная амортизация по нематериальным активам</v>
      </c>
      <c r="F118" t="str">
        <f>""</f>
        <v/>
      </c>
      <c r="G118" t="str">
        <f>""</f>
        <v/>
      </c>
      <c r="H118" t="str">
        <f>""</f>
        <v/>
      </c>
      <c r="I118" s="2">
        <v>-18736863680</v>
      </c>
    </row>
    <row r="119" spans="1:9" x14ac:dyDescent="0.25">
      <c r="A119">
        <v>114</v>
      </c>
      <c r="B119" s="1">
        <v>45380</v>
      </c>
      <c r="C119">
        <v>19</v>
      </c>
      <c r="D119" t="str">
        <f>"1705"</f>
        <v>1705</v>
      </c>
      <c r="E119" t="str">
        <f>"Начисленные доходы по корреспондентским счетам"</f>
        <v>Начисленные доходы по корреспондентским счетам</v>
      </c>
      <c r="F119" t="str">
        <f>"2"</f>
        <v>2</v>
      </c>
      <c r="G119" t="str">
        <f>"4"</f>
        <v>4</v>
      </c>
      <c r="H119" t="str">
        <f>"2"</f>
        <v>2</v>
      </c>
      <c r="I119" s="2">
        <v>106284494.2</v>
      </c>
    </row>
    <row r="120" spans="1:9" x14ac:dyDescent="0.25">
      <c r="A120">
        <v>115</v>
      </c>
      <c r="B120" s="1">
        <v>45380</v>
      </c>
      <c r="C120">
        <v>19</v>
      </c>
      <c r="D120" t="str">
        <f>"1710"</f>
        <v>1710</v>
      </c>
      <c r="E120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0" t="str">
        <f>"1"</f>
        <v>1</v>
      </c>
      <c r="G120" t="str">
        <f>"3"</f>
        <v>3</v>
      </c>
      <c r="H120" t="str">
        <f>"1"</f>
        <v>1</v>
      </c>
      <c r="I120" s="2">
        <v>413819444.44</v>
      </c>
    </row>
    <row r="121" spans="1:9" x14ac:dyDescent="0.25">
      <c r="A121">
        <v>112</v>
      </c>
      <c r="B121" s="1">
        <v>45380</v>
      </c>
      <c r="C121">
        <v>19</v>
      </c>
      <c r="D121" t="str">
        <f>"1725"</f>
        <v>1725</v>
      </c>
      <c r="E121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21" t="str">
        <f>"2"</f>
        <v>2</v>
      </c>
      <c r="G121" t="str">
        <f>"4"</f>
        <v>4</v>
      </c>
      <c r="H121" t="str">
        <f>"2"</f>
        <v>2</v>
      </c>
      <c r="I121" s="2">
        <v>276977534.86000001</v>
      </c>
    </row>
    <row r="122" spans="1:9" x14ac:dyDescent="0.25">
      <c r="A122">
        <v>111</v>
      </c>
      <c r="B122" s="1">
        <v>45380</v>
      </c>
      <c r="C122">
        <v>19</v>
      </c>
      <c r="D122" t="str">
        <f>"1728"</f>
        <v>1728</v>
      </c>
      <c r="E122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2" t="str">
        <f>"2"</f>
        <v>2</v>
      </c>
      <c r="G122" t="str">
        <f>"4"</f>
        <v>4</v>
      </c>
      <c r="H122" t="str">
        <f>"2"</f>
        <v>2</v>
      </c>
      <c r="I122" s="2">
        <v>30374302.559999999</v>
      </c>
    </row>
    <row r="123" spans="1:9" x14ac:dyDescent="0.25">
      <c r="A123">
        <v>116</v>
      </c>
      <c r="B123" s="1">
        <v>45380</v>
      </c>
      <c r="C123">
        <v>19</v>
      </c>
      <c r="D123" t="str">
        <f>"1740"</f>
        <v>1740</v>
      </c>
      <c r="E12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3" t="str">
        <f>"2"</f>
        <v>2</v>
      </c>
      <c r="G123" t="str">
        <f>"9"</f>
        <v>9</v>
      </c>
      <c r="H123" t="str">
        <f>"1"</f>
        <v>1</v>
      </c>
      <c r="I123" s="2">
        <v>577138.93000000005</v>
      </c>
    </row>
    <row r="124" spans="1:9" x14ac:dyDescent="0.25">
      <c r="A124">
        <v>117</v>
      </c>
      <c r="B124" s="1">
        <v>45380</v>
      </c>
      <c r="C124">
        <v>19</v>
      </c>
      <c r="D124" t="str">
        <f>"1740"</f>
        <v>1740</v>
      </c>
      <c r="E12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4" t="str">
        <f t="shared" ref="F124:F129" si="13">"1"</f>
        <v>1</v>
      </c>
      <c r="G124" t="str">
        <f>"9"</f>
        <v>9</v>
      </c>
      <c r="H124" t="str">
        <f>"1"</f>
        <v>1</v>
      </c>
      <c r="I124" s="2">
        <v>32286976848.75</v>
      </c>
    </row>
    <row r="125" spans="1:9" x14ac:dyDescent="0.25">
      <c r="A125">
        <v>118</v>
      </c>
      <c r="B125" s="1">
        <v>45380</v>
      </c>
      <c r="C125">
        <v>19</v>
      </c>
      <c r="D125" t="str">
        <f>"1740"</f>
        <v>1740</v>
      </c>
      <c r="E12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5" t="str">
        <f t="shared" si="13"/>
        <v>1</v>
      </c>
      <c r="G125" t="str">
        <f>"7"</f>
        <v>7</v>
      </c>
      <c r="H125" t="str">
        <f>"1"</f>
        <v>1</v>
      </c>
      <c r="I125" s="2">
        <v>1581893476.99</v>
      </c>
    </row>
    <row r="126" spans="1:9" x14ac:dyDescent="0.25">
      <c r="A126">
        <v>119</v>
      </c>
      <c r="B126" s="1">
        <v>45380</v>
      </c>
      <c r="C126">
        <v>19</v>
      </c>
      <c r="D126" t="str">
        <f>"1741"</f>
        <v>1741</v>
      </c>
      <c r="E12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6" t="str">
        <f t="shared" si="13"/>
        <v>1</v>
      </c>
      <c r="G126" t="str">
        <f>"9"</f>
        <v>9</v>
      </c>
      <c r="H126" t="str">
        <f>"2"</f>
        <v>2</v>
      </c>
      <c r="I126" s="2">
        <v>13631852.029999999</v>
      </c>
    </row>
    <row r="127" spans="1:9" x14ac:dyDescent="0.25">
      <c r="A127">
        <v>120</v>
      </c>
      <c r="B127" s="1">
        <v>45380</v>
      </c>
      <c r="C127">
        <v>19</v>
      </c>
      <c r="D127" t="str">
        <f>"1741"</f>
        <v>1741</v>
      </c>
      <c r="E12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7" t="str">
        <f t="shared" si="13"/>
        <v>1</v>
      </c>
      <c r="G127" t="str">
        <f>"7"</f>
        <v>7</v>
      </c>
      <c r="H127" t="str">
        <f>"1"</f>
        <v>1</v>
      </c>
      <c r="I127" s="2">
        <v>143877356.78999999</v>
      </c>
    </row>
    <row r="128" spans="1:9" x14ac:dyDescent="0.25">
      <c r="A128">
        <v>121</v>
      </c>
      <c r="B128" s="1">
        <v>45380</v>
      </c>
      <c r="C128">
        <v>19</v>
      </c>
      <c r="D128" t="str">
        <f>"1741"</f>
        <v>1741</v>
      </c>
      <c r="E12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8" t="str">
        <f t="shared" si="13"/>
        <v>1</v>
      </c>
      <c r="G128" t="str">
        <f>"9"</f>
        <v>9</v>
      </c>
      <c r="H128" t="str">
        <f>"1"</f>
        <v>1</v>
      </c>
      <c r="I128" s="2">
        <v>19268101668.490002</v>
      </c>
    </row>
    <row r="129" spans="1:9" x14ac:dyDescent="0.25">
      <c r="A129">
        <v>122</v>
      </c>
      <c r="B129" s="1">
        <v>45380</v>
      </c>
      <c r="C129">
        <v>19</v>
      </c>
      <c r="D129" t="str">
        <f>"1741"</f>
        <v>1741</v>
      </c>
      <c r="E12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29" t="str">
        <f t="shared" si="13"/>
        <v>1</v>
      </c>
      <c r="G129" t="str">
        <f>"7"</f>
        <v>7</v>
      </c>
      <c r="H129" t="str">
        <f>"2"</f>
        <v>2</v>
      </c>
      <c r="I129" s="2">
        <v>1072102.22</v>
      </c>
    </row>
    <row r="130" spans="1:9" x14ac:dyDescent="0.25">
      <c r="A130">
        <v>123</v>
      </c>
      <c r="B130" s="1">
        <v>45380</v>
      </c>
      <c r="C130">
        <v>19</v>
      </c>
      <c r="D130" t="str">
        <f>"1741"</f>
        <v>1741</v>
      </c>
      <c r="E13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0" t="str">
        <f>"2"</f>
        <v>2</v>
      </c>
      <c r="G130" t="str">
        <f>"9"</f>
        <v>9</v>
      </c>
      <c r="H130" t="str">
        <f>"1"</f>
        <v>1</v>
      </c>
      <c r="I130" s="2">
        <v>773969.52</v>
      </c>
    </row>
    <row r="131" spans="1:9" x14ac:dyDescent="0.25">
      <c r="A131">
        <v>124</v>
      </c>
      <c r="B131" s="1">
        <v>45380</v>
      </c>
      <c r="C131">
        <v>19</v>
      </c>
      <c r="D131" t="str">
        <f t="shared" ref="D131:D140" si="14">"1746"</f>
        <v>1746</v>
      </c>
      <c r="E131" t="str">
        <f t="shared" ref="E131:E140" si="1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1" t="str">
        <f>"1"</f>
        <v>1</v>
      </c>
      <c r="G131" t="str">
        <f>"1"</f>
        <v>1</v>
      </c>
      <c r="H131" t="str">
        <f>"2"</f>
        <v>2</v>
      </c>
      <c r="I131" s="2">
        <v>175074998.91</v>
      </c>
    </row>
    <row r="132" spans="1:9" x14ac:dyDescent="0.25">
      <c r="A132">
        <v>125</v>
      </c>
      <c r="B132" s="1">
        <v>45380</v>
      </c>
      <c r="C132">
        <v>19</v>
      </c>
      <c r="D132" t="str">
        <f t="shared" si="14"/>
        <v>1746</v>
      </c>
      <c r="E132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2" t="str">
        <f>"1"</f>
        <v>1</v>
      </c>
      <c r="G132" t="str">
        <f>"5"</f>
        <v>5</v>
      </c>
      <c r="H132" t="str">
        <f>"1"</f>
        <v>1</v>
      </c>
      <c r="I132" s="2">
        <v>4538155028.1300001</v>
      </c>
    </row>
    <row r="133" spans="1:9" x14ac:dyDescent="0.25">
      <c r="A133">
        <v>126</v>
      </c>
      <c r="B133" s="1">
        <v>45380</v>
      </c>
      <c r="C133">
        <v>19</v>
      </c>
      <c r="D133" t="str">
        <f t="shared" si="14"/>
        <v>1746</v>
      </c>
      <c r="E133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3" t="str">
        <f>"1"</f>
        <v>1</v>
      </c>
      <c r="G133" t="str">
        <f>"4"</f>
        <v>4</v>
      </c>
      <c r="H133" t="str">
        <f>"1"</f>
        <v>1</v>
      </c>
      <c r="I133" s="2">
        <v>620135863.92999995</v>
      </c>
    </row>
    <row r="134" spans="1:9" x14ac:dyDescent="0.25">
      <c r="A134">
        <v>127</v>
      </c>
      <c r="B134" s="1">
        <v>45380</v>
      </c>
      <c r="C134">
        <v>19</v>
      </c>
      <c r="D134" t="str">
        <f t="shared" si="14"/>
        <v>1746</v>
      </c>
      <c r="E134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4" t="str">
        <f>"1"</f>
        <v>1</v>
      </c>
      <c r="G134" t="str">
        <f>"4"</f>
        <v>4</v>
      </c>
      <c r="H134" t="str">
        <f>"2"</f>
        <v>2</v>
      </c>
      <c r="I134" s="2">
        <v>27300554.449999999</v>
      </c>
    </row>
    <row r="135" spans="1:9" x14ac:dyDescent="0.25">
      <c r="A135">
        <v>128</v>
      </c>
      <c r="B135" s="1">
        <v>45380</v>
      </c>
      <c r="C135">
        <v>19</v>
      </c>
      <c r="D135" t="str">
        <f t="shared" si="14"/>
        <v>1746</v>
      </c>
      <c r="E135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5" t="str">
        <f>"2"</f>
        <v>2</v>
      </c>
      <c r="G135" t="str">
        <f>"1"</f>
        <v>1</v>
      </c>
      <c r="H135" t="str">
        <f>"2"</f>
        <v>2</v>
      </c>
      <c r="I135" s="2">
        <v>12618608.59</v>
      </c>
    </row>
    <row r="136" spans="1:9" x14ac:dyDescent="0.25">
      <c r="A136">
        <v>130</v>
      </c>
      <c r="B136" s="1">
        <v>45380</v>
      </c>
      <c r="C136">
        <v>19</v>
      </c>
      <c r="D136" t="str">
        <f t="shared" si="14"/>
        <v>1746</v>
      </c>
      <c r="E136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6" t="str">
        <f>"2"</f>
        <v>2</v>
      </c>
      <c r="G136" t="str">
        <f>"3"</f>
        <v>3</v>
      </c>
      <c r="H136" t="str">
        <f>"1"</f>
        <v>1</v>
      </c>
      <c r="I136" s="2">
        <v>3544035335.8200002</v>
      </c>
    </row>
    <row r="137" spans="1:9" x14ac:dyDescent="0.25">
      <c r="A137">
        <v>131</v>
      </c>
      <c r="B137" s="1">
        <v>45380</v>
      </c>
      <c r="C137">
        <v>19</v>
      </c>
      <c r="D137" t="str">
        <f t="shared" si="14"/>
        <v>1746</v>
      </c>
      <c r="E137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7" t="str">
        <f>"2"</f>
        <v>2</v>
      </c>
      <c r="G137" t="str">
        <f>"7"</f>
        <v>7</v>
      </c>
      <c r="H137" t="str">
        <f>"2"</f>
        <v>2</v>
      </c>
      <c r="I137" s="2">
        <v>79841265.890000001</v>
      </c>
    </row>
    <row r="138" spans="1:9" x14ac:dyDescent="0.25">
      <c r="A138">
        <v>139</v>
      </c>
      <c r="B138" s="1">
        <v>45380</v>
      </c>
      <c r="C138">
        <v>19</v>
      </c>
      <c r="D138" t="str">
        <f t="shared" si="14"/>
        <v>1746</v>
      </c>
      <c r="E138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8" t="str">
        <f>"2"</f>
        <v>2</v>
      </c>
      <c r="G138" t="str">
        <f>"4"</f>
        <v>4</v>
      </c>
      <c r="H138" t="str">
        <f>"2"</f>
        <v>2</v>
      </c>
      <c r="I138" s="2">
        <v>434368.45</v>
      </c>
    </row>
    <row r="139" spans="1:9" x14ac:dyDescent="0.25">
      <c r="A139">
        <v>141</v>
      </c>
      <c r="B139" s="1">
        <v>45380</v>
      </c>
      <c r="C139">
        <v>19</v>
      </c>
      <c r="D139" t="str">
        <f t="shared" si="14"/>
        <v>1746</v>
      </c>
      <c r="E139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39" t="str">
        <f>"1"</f>
        <v>1</v>
      </c>
      <c r="G139" t="str">
        <f>"1"</f>
        <v>1</v>
      </c>
      <c r="H139" t="str">
        <f>"1"</f>
        <v>1</v>
      </c>
      <c r="I139" s="2">
        <v>38227621540.309998</v>
      </c>
    </row>
    <row r="140" spans="1:9" x14ac:dyDescent="0.25">
      <c r="A140">
        <v>155</v>
      </c>
      <c r="B140" s="1">
        <v>45380</v>
      </c>
      <c r="C140">
        <v>19</v>
      </c>
      <c r="D140" t="str">
        <f t="shared" si="14"/>
        <v>1746</v>
      </c>
      <c r="E140" t="str">
        <f t="shared" si="15"/>
        <v>Начисленные доходы по ценным бумагам, учитываемым по справедливой стоимости через прочий совокупный доход</v>
      </c>
      <c r="F140" t="str">
        <f>"1"</f>
        <v>1</v>
      </c>
      <c r="G140" t="str">
        <f>"6"</f>
        <v>6</v>
      </c>
      <c r="H140" t="str">
        <f>"2"</f>
        <v>2</v>
      </c>
      <c r="I140" s="2">
        <v>99596278.019999996</v>
      </c>
    </row>
    <row r="141" spans="1:9" x14ac:dyDescent="0.25">
      <c r="A141">
        <v>132</v>
      </c>
      <c r="B141" s="1">
        <v>45380</v>
      </c>
      <c r="C141">
        <v>19</v>
      </c>
      <c r="D141" t="str">
        <f>"1750"</f>
        <v>1750</v>
      </c>
      <c r="E141" t="str">
        <f>"Просроченное вознаграждение по ценным бумагам"</f>
        <v>Просроченное вознаграждение по ценным бумагам</v>
      </c>
      <c r="F141" t="str">
        <f>"2"</f>
        <v>2</v>
      </c>
      <c r="G141" t="str">
        <f>"7"</f>
        <v>7</v>
      </c>
      <c r="H141" t="str">
        <f>"2"</f>
        <v>2</v>
      </c>
      <c r="I141" s="2">
        <v>19770015</v>
      </c>
    </row>
    <row r="142" spans="1:9" x14ac:dyDescent="0.25">
      <c r="A142">
        <v>129</v>
      </c>
      <c r="B142" s="1">
        <v>45380</v>
      </c>
      <c r="C142">
        <v>19</v>
      </c>
      <c r="D142" t="str">
        <f t="shared" ref="D142:D148" si="16">"1793"</f>
        <v>1793</v>
      </c>
      <c r="E142" t="str">
        <f t="shared" ref="E142:E148" si="17">"Расходы будущих периодов"</f>
        <v>Расходы будущих периодов</v>
      </c>
      <c r="F142" t="str">
        <f>"1"</f>
        <v>1</v>
      </c>
      <c r="G142" t="str">
        <f>"5"</f>
        <v>5</v>
      </c>
      <c r="H142" t="str">
        <f>"1"</f>
        <v>1</v>
      </c>
      <c r="I142" s="2">
        <v>32751811.940000001</v>
      </c>
    </row>
    <row r="143" spans="1:9" x14ac:dyDescent="0.25">
      <c r="A143">
        <v>133</v>
      </c>
      <c r="B143" s="1">
        <v>45380</v>
      </c>
      <c r="C143">
        <v>19</v>
      </c>
      <c r="D143" t="str">
        <f t="shared" si="16"/>
        <v>1793</v>
      </c>
      <c r="E143" t="str">
        <f t="shared" si="17"/>
        <v>Расходы будущих периодов</v>
      </c>
      <c r="F143" t="str">
        <f>"1"</f>
        <v>1</v>
      </c>
      <c r="G143" t="str">
        <f>"6"</f>
        <v>6</v>
      </c>
      <c r="H143" t="str">
        <f>"1"</f>
        <v>1</v>
      </c>
      <c r="I143" s="2">
        <v>67912078.010000005</v>
      </c>
    </row>
    <row r="144" spans="1:9" x14ac:dyDescent="0.25">
      <c r="A144">
        <v>134</v>
      </c>
      <c r="B144" s="1">
        <v>45380</v>
      </c>
      <c r="C144">
        <v>19</v>
      </c>
      <c r="D144" t="str">
        <f t="shared" si="16"/>
        <v>1793</v>
      </c>
      <c r="E144" t="str">
        <f t="shared" si="17"/>
        <v>Расходы будущих периодов</v>
      </c>
      <c r="F144" t="str">
        <f>"1"</f>
        <v>1</v>
      </c>
      <c r="G144" t="str">
        <f>"9"</f>
        <v>9</v>
      </c>
      <c r="H144" t="str">
        <f>"1"</f>
        <v>1</v>
      </c>
      <c r="I144" s="2">
        <v>52408060</v>
      </c>
    </row>
    <row r="145" spans="1:9" x14ac:dyDescent="0.25">
      <c r="A145">
        <v>140</v>
      </c>
      <c r="B145" s="1">
        <v>45380</v>
      </c>
      <c r="C145">
        <v>19</v>
      </c>
      <c r="D145" t="str">
        <f t="shared" si="16"/>
        <v>1793</v>
      </c>
      <c r="E145" t="str">
        <f t="shared" si="17"/>
        <v>Расходы будущих периодов</v>
      </c>
      <c r="F145" t="str">
        <f>"2"</f>
        <v>2</v>
      </c>
      <c r="G145" t="str">
        <f>"7"</f>
        <v>7</v>
      </c>
      <c r="H145" t="str">
        <f>"1"</f>
        <v>1</v>
      </c>
      <c r="I145" s="2">
        <v>990928632.52999997</v>
      </c>
    </row>
    <row r="146" spans="1:9" x14ac:dyDescent="0.25">
      <c r="A146">
        <v>142</v>
      </c>
      <c r="B146" s="1">
        <v>45380</v>
      </c>
      <c r="C146">
        <v>19</v>
      </c>
      <c r="D146" t="str">
        <f t="shared" si="16"/>
        <v>1793</v>
      </c>
      <c r="E146" t="str">
        <f t="shared" si="17"/>
        <v>Расходы будущих периодов</v>
      </c>
      <c r="F146" t="str">
        <f>"1"</f>
        <v>1</v>
      </c>
      <c r="G146" t="str">
        <f>"7"</f>
        <v>7</v>
      </c>
      <c r="H146" t="str">
        <f>"1"</f>
        <v>1</v>
      </c>
      <c r="I146" s="2">
        <v>5043886421.3699999</v>
      </c>
    </row>
    <row r="147" spans="1:9" x14ac:dyDescent="0.25">
      <c r="A147">
        <v>156</v>
      </c>
      <c r="B147" s="1">
        <v>45380</v>
      </c>
      <c r="C147">
        <v>19</v>
      </c>
      <c r="D147" t="str">
        <f t="shared" si="16"/>
        <v>1793</v>
      </c>
      <c r="E147" t="str">
        <f t="shared" si="17"/>
        <v>Расходы будущих периодов</v>
      </c>
      <c r="F147" t="str">
        <f>"2"</f>
        <v>2</v>
      </c>
      <c r="G147" t="str">
        <f>"4"</f>
        <v>4</v>
      </c>
      <c r="H147" t="str">
        <f>"2"</f>
        <v>2</v>
      </c>
      <c r="I147" s="2">
        <v>3388652.05</v>
      </c>
    </row>
    <row r="148" spans="1:9" x14ac:dyDescent="0.25">
      <c r="A148">
        <v>159</v>
      </c>
      <c r="B148" s="1">
        <v>45380</v>
      </c>
      <c r="C148">
        <v>19</v>
      </c>
      <c r="D148" t="str">
        <f t="shared" si="16"/>
        <v>1793</v>
      </c>
      <c r="E148" t="str">
        <f t="shared" si="17"/>
        <v>Расходы будущих периодов</v>
      </c>
      <c r="F148" t="str">
        <f>"1"</f>
        <v>1</v>
      </c>
      <c r="G148" t="str">
        <f>"8"</f>
        <v>8</v>
      </c>
      <c r="H148" t="str">
        <f>"1"</f>
        <v>1</v>
      </c>
      <c r="I148" s="2">
        <v>333732451.67000002</v>
      </c>
    </row>
    <row r="149" spans="1:9" x14ac:dyDescent="0.25">
      <c r="A149">
        <v>136</v>
      </c>
      <c r="B149" s="1">
        <v>45380</v>
      </c>
      <c r="C149">
        <v>19</v>
      </c>
      <c r="D149" t="str">
        <f>"1815"</f>
        <v>1815</v>
      </c>
      <c r="E149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49" t="str">
        <f>"1"</f>
        <v>1</v>
      </c>
      <c r="G149" t="str">
        <f>""</f>
        <v/>
      </c>
      <c r="H149" t="str">
        <f>"1"</f>
        <v>1</v>
      </c>
      <c r="I149" s="2">
        <v>21087.23</v>
      </c>
    </row>
    <row r="150" spans="1:9" x14ac:dyDescent="0.25">
      <c r="A150">
        <v>135</v>
      </c>
      <c r="B150" s="1">
        <v>45380</v>
      </c>
      <c r="C150">
        <v>19</v>
      </c>
      <c r="D150" t="str">
        <f>"1816"</f>
        <v>1816</v>
      </c>
      <c r="E15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0" t="str">
        <f>"1"</f>
        <v>1</v>
      </c>
      <c r="G150" t="str">
        <f>""</f>
        <v/>
      </c>
      <c r="H150" t="str">
        <f>"2"</f>
        <v>2</v>
      </c>
      <c r="I150" s="2">
        <v>7621593.21</v>
      </c>
    </row>
    <row r="151" spans="1:9" x14ac:dyDescent="0.25">
      <c r="A151">
        <v>138</v>
      </c>
      <c r="B151" s="1">
        <v>45380</v>
      </c>
      <c r="C151">
        <v>19</v>
      </c>
      <c r="D151" t="str">
        <f>"1816"</f>
        <v>1816</v>
      </c>
      <c r="E15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1" t="str">
        <f>"1"</f>
        <v>1</v>
      </c>
      <c r="G151" t="str">
        <f>""</f>
        <v/>
      </c>
      <c r="H151" t="str">
        <f t="shared" ref="H151:H162" si="18">"1"</f>
        <v>1</v>
      </c>
      <c r="I151" s="2">
        <v>996096.07</v>
      </c>
    </row>
    <row r="152" spans="1:9" x14ac:dyDescent="0.25">
      <c r="A152">
        <v>137</v>
      </c>
      <c r="B152" s="1">
        <v>45380</v>
      </c>
      <c r="C152">
        <v>19</v>
      </c>
      <c r="D152" t="str">
        <f>"1817"</f>
        <v>1817</v>
      </c>
      <c r="E15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2" t="str">
        <f>"1"</f>
        <v>1</v>
      </c>
      <c r="G152" t="str">
        <f>""</f>
        <v/>
      </c>
      <c r="H152" t="str">
        <f t="shared" si="18"/>
        <v>1</v>
      </c>
      <c r="I152" s="2">
        <v>958120700</v>
      </c>
    </row>
    <row r="153" spans="1:9" x14ac:dyDescent="0.25">
      <c r="A153">
        <v>144</v>
      </c>
      <c r="B153" s="1">
        <v>45380</v>
      </c>
      <c r="C153">
        <v>19</v>
      </c>
      <c r="D153" t="str">
        <f>"1817"</f>
        <v>1817</v>
      </c>
      <c r="E15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3" t="str">
        <f>"2"</f>
        <v>2</v>
      </c>
      <c r="G153" t="str">
        <f>""</f>
        <v/>
      </c>
      <c r="H153" t="str">
        <f t="shared" si="18"/>
        <v>1</v>
      </c>
      <c r="I153" s="2">
        <v>5950</v>
      </c>
    </row>
    <row r="154" spans="1:9" x14ac:dyDescent="0.25">
      <c r="A154">
        <v>143</v>
      </c>
      <c r="B154" s="1">
        <v>45380</v>
      </c>
      <c r="C154">
        <v>19</v>
      </c>
      <c r="D154" t="str">
        <f>"1818"</f>
        <v>1818</v>
      </c>
      <c r="E154" t="str">
        <f>"Начисленные прочие комиссионные доходы"</f>
        <v>Начисленные прочие комиссионные доходы</v>
      </c>
      <c r="F154" t="str">
        <f>"1"</f>
        <v>1</v>
      </c>
      <c r="G154" t="str">
        <f>""</f>
        <v/>
      </c>
      <c r="H154" t="str">
        <f t="shared" si="18"/>
        <v>1</v>
      </c>
      <c r="I154" s="2">
        <v>413339904.99000001</v>
      </c>
    </row>
    <row r="155" spans="1:9" x14ac:dyDescent="0.25">
      <c r="A155">
        <v>145</v>
      </c>
      <c r="B155" s="1">
        <v>45380</v>
      </c>
      <c r="C155">
        <v>19</v>
      </c>
      <c r="D155" t="str">
        <f>"1835"</f>
        <v>1835</v>
      </c>
      <c r="E155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55" t="str">
        <f>"1"</f>
        <v>1</v>
      </c>
      <c r="G155" t="str">
        <f>""</f>
        <v/>
      </c>
      <c r="H155" t="str">
        <f t="shared" si="18"/>
        <v>1</v>
      </c>
      <c r="I155" s="2">
        <v>9452.98</v>
      </c>
    </row>
    <row r="156" spans="1:9" x14ac:dyDescent="0.25">
      <c r="A156">
        <v>148</v>
      </c>
      <c r="B156" s="1">
        <v>45380</v>
      </c>
      <c r="C156">
        <v>19</v>
      </c>
      <c r="D156" t="str">
        <f>"1836"</f>
        <v>1836</v>
      </c>
      <c r="E15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156" t="str">
        <f>"1"</f>
        <v>1</v>
      </c>
      <c r="G156" t="str">
        <f>""</f>
        <v/>
      </c>
      <c r="H156" t="str">
        <f t="shared" si="18"/>
        <v>1</v>
      </c>
      <c r="I156" s="2">
        <v>346375</v>
      </c>
    </row>
    <row r="157" spans="1:9" x14ac:dyDescent="0.25">
      <c r="A157">
        <v>170</v>
      </c>
      <c r="B157" s="1">
        <v>45380</v>
      </c>
      <c r="C157">
        <v>19</v>
      </c>
      <c r="D157" t="str">
        <f>"1837"</f>
        <v>1837</v>
      </c>
      <c r="E15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57" t="str">
        <f>"1"</f>
        <v>1</v>
      </c>
      <c r="G157" t="str">
        <f>""</f>
        <v/>
      </c>
      <c r="H157" t="str">
        <f t="shared" si="18"/>
        <v>1</v>
      </c>
      <c r="I157" s="2">
        <v>955506250</v>
      </c>
    </row>
    <row r="158" spans="1:9" x14ac:dyDescent="0.25">
      <c r="A158">
        <v>146</v>
      </c>
      <c r="B158" s="1">
        <v>45380</v>
      </c>
      <c r="C158">
        <v>19</v>
      </c>
      <c r="D158" t="str">
        <f>"1838"</f>
        <v>1838</v>
      </c>
      <c r="E158" t="str">
        <f>"Просроченные прочие комиссионные доходы"</f>
        <v>Просроченные прочие комиссионные доходы</v>
      </c>
      <c r="F158" t="str">
        <f>"2"</f>
        <v>2</v>
      </c>
      <c r="G158" t="str">
        <f>""</f>
        <v/>
      </c>
      <c r="H158" t="str">
        <f t="shared" si="18"/>
        <v>1</v>
      </c>
      <c r="I158" s="2">
        <v>3000</v>
      </c>
    </row>
    <row r="159" spans="1:9" x14ac:dyDescent="0.25">
      <c r="A159">
        <v>147</v>
      </c>
      <c r="B159" s="1">
        <v>45380</v>
      </c>
      <c r="C159">
        <v>19</v>
      </c>
      <c r="D159" t="str">
        <f>"1838"</f>
        <v>1838</v>
      </c>
      <c r="E159" t="str">
        <f>"Просроченные прочие комиссионные доходы"</f>
        <v>Просроченные прочие комиссионные доходы</v>
      </c>
      <c r="F159" t="str">
        <f>"1"</f>
        <v>1</v>
      </c>
      <c r="G159" t="str">
        <f>""</f>
        <v/>
      </c>
      <c r="H159" t="str">
        <f t="shared" si="18"/>
        <v>1</v>
      </c>
      <c r="I159" s="2">
        <v>7229960.0800000001</v>
      </c>
    </row>
    <row r="160" spans="1:9" x14ac:dyDescent="0.25">
      <c r="A160">
        <v>150</v>
      </c>
      <c r="B160" s="1">
        <v>45380</v>
      </c>
      <c r="C160">
        <v>19</v>
      </c>
      <c r="D160" t="str">
        <f>"1845"</f>
        <v>1845</v>
      </c>
      <c r="E16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0" t="str">
        <f>"2"</f>
        <v>2</v>
      </c>
      <c r="G160" t="str">
        <f>""</f>
        <v/>
      </c>
      <c r="H160" t="str">
        <f t="shared" si="18"/>
        <v>1</v>
      </c>
      <c r="I160" s="2">
        <v>-2000</v>
      </c>
    </row>
    <row r="161" spans="1:9" x14ac:dyDescent="0.25">
      <c r="A161">
        <v>152</v>
      </c>
      <c r="B161" s="1">
        <v>45380</v>
      </c>
      <c r="C161">
        <v>19</v>
      </c>
      <c r="D161" t="str">
        <f>"1845"</f>
        <v>1845</v>
      </c>
      <c r="E16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1" t="str">
        <f>"1"</f>
        <v>1</v>
      </c>
      <c r="G161" t="str">
        <f>""</f>
        <v/>
      </c>
      <c r="H161" t="str">
        <f t="shared" si="18"/>
        <v>1</v>
      </c>
      <c r="I161" s="2">
        <v>-833436874.23000002</v>
      </c>
    </row>
    <row r="162" spans="1:9" x14ac:dyDescent="0.25">
      <c r="A162">
        <v>153</v>
      </c>
      <c r="B162" s="1">
        <v>45380</v>
      </c>
      <c r="C162">
        <v>19</v>
      </c>
      <c r="D162" t="str">
        <f>"1851"</f>
        <v>1851</v>
      </c>
      <c r="E16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2" t="str">
        <f>"1"</f>
        <v>1</v>
      </c>
      <c r="G162" t="str">
        <f>"1"</f>
        <v>1</v>
      </c>
      <c r="H162" t="str">
        <f t="shared" si="18"/>
        <v>1</v>
      </c>
      <c r="I162" s="2">
        <v>3228351912.6999998</v>
      </c>
    </row>
    <row r="163" spans="1:9" x14ac:dyDescent="0.25">
      <c r="A163">
        <v>151</v>
      </c>
      <c r="B163" s="1">
        <v>45380</v>
      </c>
      <c r="C163">
        <v>19</v>
      </c>
      <c r="D163" t="str">
        <f>"1852"</f>
        <v>1852</v>
      </c>
      <c r="E16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3" t="str">
        <f>"1"</f>
        <v>1</v>
      </c>
      <c r="G163" t="str">
        <f>"5"</f>
        <v>5</v>
      </c>
      <c r="H163" t="str">
        <f>"2"</f>
        <v>2</v>
      </c>
      <c r="I163" s="2">
        <v>29934260000</v>
      </c>
    </row>
    <row r="164" spans="1:9" x14ac:dyDescent="0.25">
      <c r="A164">
        <v>160</v>
      </c>
      <c r="B164" s="1">
        <v>45380</v>
      </c>
      <c r="C164">
        <v>19</v>
      </c>
      <c r="D164" t="str">
        <f>"1852"</f>
        <v>1852</v>
      </c>
      <c r="E164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4" t="str">
        <f>"2"</f>
        <v>2</v>
      </c>
      <c r="G164" t="str">
        <f>"5"</f>
        <v>5</v>
      </c>
      <c r="H164" t="str">
        <f>"3"</f>
        <v>3</v>
      </c>
      <c r="I164" s="2">
        <v>56408310.420000002</v>
      </c>
    </row>
    <row r="165" spans="1:9" x14ac:dyDescent="0.25">
      <c r="A165">
        <v>167</v>
      </c>
      <c r="B165" s="1">
        <v>45380</v>
      </c>
      <c r="C165">
        <v>19</v>
      </c>
      <c r="D165" t="str">
        <f>"1852"</f>
        <v>1852</v>
      </c>
      <c r="E165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65" t="str">
        <f>"1"</f>
        <v>1</v>
      </c>
      <c r="G165" t="str">
        <f>"5"</f>
        <v>5</v>
      </c>
      <c r="H165" t="str">
        <f>"1"</f>
        <v>1</v>
      </c>
      <c r="I165" s="2">
        <v>171823753.88999999</v>
      </c>
    </row>
    <row r="166" spans="1:9" x14ac:dyDescent="0.25">
      <c r="A166">
        <v>149</v>
      </c>
      <c r="B166" s="1">
        <v>45380</v>
      </c>
      <c r="C166">
        <v>19</v>
      </c>
      <c r="D166" t="str">
        <f>"1854"</f>
        <v>1854</v>
      </c>
      <c r="E166" t="str">
        <f>"Расчеты с работниками"</f>
        <v>Расчеты с работниками</v>
      </c>
      <c r="F166" t="str">
        <f>""</f>
        <v/>
      </c>
      <c r="G166" t="str">
        <f>""</f>
        <v/>
      </c>
      <c r="H166" t="str">
        <f>""</f>
        <v/>
      </c>
      <c r="I166" s="2">
        <v>5775337.25</v>
      </c>
    </row>
    <row r="167" spans="1:9" x14ac:dyDescent="0.25">
      <c r="A167">
        <v>154</v>
      </c>
      <c r="B167" s="1">
        <v>45380</v>
      </c>
      <c r="C167">
        <v>19</v>
      </c>
      <c r="D167" t="str">
        <f>"1856"</f>
        <v>1856</v>
      </c>
      <c r="E167" t="str">
        <f>"Дебиторы по капитальным вложениям"</f>
        <v>Дебиторы по капитальным вложениям</v>
      </c>
      <c r="F167" t="str">
        <f>"1"</f>
        <v>1</v>
      </c>
      <c r="G167" t="str">
        <f>"7"</f>
        <v>7</v>
      </c>
      <c r="H167" t="str">
        <f t="shared" ref="H167:H173" si="19">"1"</f>
        <v>1</v>
      </c>
      <c r="I167" s="2">
        <v>262192676.22</v>
      </c>
    </row>
    <row r="168" spans="1:9" x14ac:dyDescent="0.25">
      <c r="A168">
        <v>157</v>
      </c>
      <c r="B168" s="1">
        <v>45380</v>
      </c>
      <c r="C168">
        <v>19</v>
      </c>
      <c r="D168" t="str">
        <f>"1856"</f>
        <v>1856</v>
      </c>
      <c r="E168" t="str">
        <f>"Дебиторы по капитальным вложениям"</f>
        <v>Дебиторы по капитальным вложениям</v>
      </c>
      <c r="F168" t="str">
        <f>"1"</f>
        <v>1</v>
      </c>
      <c r="G168" t="str">
        <f>"1"</f>
        <v>1</v>
      </c>
      <c r="H168" t="str">
        <f t="shared" si="19"/>
        <v>1</v>
      </c>
      <c r="I168" s="2">
        <v>144553941</v>
      </c>
    </row>
    <row r="169" spans="1:9" x14ac:dyDescent="0.25">
      <c r="A169">
        <v>158</v>
      </c>
      <c r="B169" s="1">
        <v>45380</v>
      </c>
      <c r="C169">
        <v>19</v>
      </c>
      <c r="D169" t="str">
        <f>"1856"</f>
        <v>1856</v>
      </c>
      <c r="E169" t="str">
        <f>"Дебиторы по капитальным вложениям"</f>
        <v>Дебиторы по капитальным вложениям</v>
      </c>
      <c r="F169" t="str">
        <f>"1"</f>
        <v>1</v>
      </c>
      <c r="G169" t="str">
        <f>"9"</f>
        <v>9</v>
      </c>
      <c r="H169" t="str">
        <f t="shared" si="19"/>
        <v>1</v>
      </c>
      <c r="I169" s="2">
        <v>71424293.980000004</v>
      </c>
    </row>
    <row r="170" spans="1:9" x14ac:dyDescent="0.25">
      <c r="A170">
        <v>162</v>
      </c>
      <c r="B170" s="1">
        <v>45380</v>
      </c>
      <c r="C170">
        <v>19</v>
      </c>
      <c r="D170" t="str">
        <f>"1856"</f>
        <v>1856</v>
      </c>
      <c r="E170" t="str">
        <f>"Дебиторы по капитальным вложениям"</f>
        <v>Дебиторы по капитальным вложениям</v>
      </c>
      <c r="F170" t="str">
        <f>"2"</f>
        <v>2</v>
      </c>
      <c r="G170" t="str">
        <f>"7"</f>
        <v>7</v>
      </c>
      <c r="H170" t="str">
        <f t="shared" si="19"/>
        <v>1</v>
      </c>
      <c r="I170" s="2">
        <v>2328457910.52</v>
      </c>
    </row>
    <row r="171" spans="1:9" x14ac:dyDescent="0.25">
      <c r="A171">
        <v>161</v>
      </c>
      <c r="B171" s="1">
        <v>45380</v>
      </c>
      <c r="C171">
        <v>19</v>
      </c>
      <c r="D171" t="str">
        <f t="shared" ref="D171:D185" si="20">"1860"</f>
        <v>1860</v>
      </c>
      <c r="E171" t="str">
        <f t="shared" ref="E171:E185" si="21">"Прочие дебиторы по банковской деятельности"</f>
        <v>Прочие дебиторы по банковской деятельности</v>
      </c>
      <c r="F171" t="str">
        <f t="shared" ref="F171:F177" si="22">"1"</f>
        <v>1</v>
      </c>
      <c r="G171" t="str">
        <f>"2"</f>
        <v>2</v>
      </c>
      <c r="H171" t="str">
        <f t="shared" si="19"/>
        <v>1</v>
      </c>
      <c r="I171" s="2">
        <v>104741.75</v>
      </c>
    </row>
    <row r="172" spans="1:9" x14ac:dyDescent="0.25">
      <c r="A172">
        <v>163</v>
      </c>
      <c r="B172" s="1">
        <v>45380</v>
      </c>
      <c r="C172">
        <v>19</v>
      </c>
      <c r="D172" t="str">
        <f t="shared" si="20"/>
        <v>1860</v>
      </c>
      <c r="E172" t="str">
        <f t="shared" si="21"/>
        <v>Прочие дебиторы по банковской деятельности</v>
      </c>
      <c r="F172" t="str">
        <f t="shared" si="22"/>
        <v>1</v>
      </c>
      <c r="G172" t="str">
        <f>"4"</f>
        <v>4</v>
      </c>
      <c r="H172" t="str">
        <f t="shared" si="19"/>
        <v>1</v>
      </c>
      <c r="I172" s="2">
        <v>4292604356.1300001</v>
      </c>
    </row>
    <row r="173" spans="1:9" x14ac:dyDescent="0.25">
      <c r="A173">
        <v>164</v>
      </c>
      <c r="B173" s="1">
        <v>45380</v>
      </c>
      <c r="C173">
        <v>19</v>
      </c>
      <c r="D173" t="str">
        <f t="shared" si="20"/>
        <v>1860</v>
      </c>
      <c r="E173" t="str">
        <f t="shared" si="21"/>
        <v>Прочие дебиторы по банковской деятельности</v>
      </c>
      <c r="F173" t="str">
        <f t="shared" si="22"/>
        <v>1</v>
      </c>
      <c r="G173" t="str">
        <f>"5"</f>
        <v>5</v>
      </c>
      <c r="H173" t="str">
        <f t="shared" si="19"/>
        <v>1</v>
      </c>
      <c r="I173" s="2">
        <v>250965147.58000001</v>
      </c>
    </row>
    <row r="174" spans="1:9" x14ac:dyDescent="0.25">
      <c r="A174">
        <v>165</v>
      </c>
      <c r="B174" s="1">
        <v>45380</v>
      </c>
      <c r="C174">
        <v>19</v>
      </c>
      <c r="D174" t="str">
        <f t="shared" si="20"/>
        <v>1860</v>
      </c>
      <c r="E174" t="str">
        <f t="shared" si="21"/>
        <v>Прочие дебиторы по банковской деятельности</v>
      </c>
      <c r="F174" t="str">
        <f t="shared" si="22"/>
        <v>1</v>
      </c>
      <c r="G174" t="str">
        <f>"4"</f>
        <v>4</v>
      </c>
      <c r="H174" t="str">
        <f>"2"</f>
        <v>2</v>
      </c>
      <c r="I174" s="2">
        <v>446.78</v>
      </c>
    </row>
    <row r="175" spans="1:9" x14ac:dyDescent="0.25">
      <c r="A175">
        <v>166</v>
      </c>
      <c r="B175" s="1">
        <v>45380</v>
      </c>
      <c r="C175">
        <v>19</v>
      </c>
      <c r="D175" t="str">
        <f t="shared" si="20"/>
        <v>1860</v>
      </c>
      <c r="E175" t="str">
        <f t="shared" si="21"/>
        <v>Прочие дебиторы по банковской деятельности</v>
      </c>
      <c r="F175" t="str">
        <f t="shared" si="22"/>
        <v>1</v>
      </c>
      <c r="G175" t="str">
        <f>"6"</f>
        <v>6</v>
      </c>
      <c r="H175" t="str">
        <f>"1"</f>
        <v>1</v>
      </c>
      <c r="I175" s="2">
        <v>680659474.84000003</v>
      </c>
    </row>
    <row r="176" spans="1:9" x14ac:dyDescent="0.25">
      <c r="A176">
        <v>168</v>
      </c>
      <c r="B176" s="1">
        <v>45380</v>
      </c>
      <c r="C176">
        <v>19</v>
      </c>
      <c r="D176" t="str">
        <f t="shared" si="20"/>
        <v>1860</v>
      </c>
      <c r="E176" t="str">
        <f t="shared" si="21"/>
        <v>Прочие дебиторы по банковской деятельности</v>
      </c>
      <c r="F176" t="str">
        <f t="shared" si="22"/>
        <v>1</v>
      </c>
      <c r="G176" t="str">
        <f>"7"</f>
        <v>7</v>
      </c>
      <c r="H176" t="str">
        <f>"1"</f>
        <v>1</v>
      </c>
      <c r="I176" s="2">
        <v>13702336219.51</v>
      </c>
    </row>
    <row r="177" spans="1:9" x14ac:dyDescent="0.25">
      <c r="A177">
        <v>169</v>
      </c>
      <c r="B177" s="1">
        <v>45380</v>
      </c>
      <c r="C177">
        <v>19</v>
      </c>
      <c r="D177" t="str">
        <f t="shared" si="20"/>
        <v>1860</v>
      </c>
      <c r="E177" t="str">
        <f t="shared" si="21"/>
        <v>Прочие дебиторы по банковской деятельности</v>
      </c>
      <c r="F177" t="str">
        <f t="shared" si="22"/>
        <v>1</v>
      </c>
      <c r="G177" t="str">
        <f>"9"</f>
        <v>9</v>
      </c>
      <c r="H177" t="str">
        <f>"1"</f>
        <v>1</v>
      </c>
      <c r="I177" s="2">
        <v>30918939259.139999</v>
      </c>
    </row>
    <row r="178" spans="1:9" x14ac:dyDescent="0.25">
      <c r="A178">
        <v>171</v>
      </c>
      <c r="B178" s="1">
        <v>45380</v>
      </c>
      <c r="C178">
        <v>19</v>
      </c>
      <c r="D178" t="str">
        <f t="shared" si="20"/>
        <v>1860</v>
      </c>
      <c r="E178" t="str">
        <f t="shared" si="21"/>
        <v>Прочие дебиторы по банковской деятельности</v>
      </c>
      <c r="F178" t="str">
        <f>"2"</f>
        <v>2</v>
      </c>
      <c r="G178" t="str">
        <f>"5"</f>
        <v>5</v>
      </c>
      <c r="H178" t="str">
        <f>"1"</f>
        <v>1</v>
      </c>
      <c r="I178" s="2">
        <v>2170874897.98</v>
      </c>
    </row>
    <row r="179" spans="1:9" x14ac:dyDescent="0.25">
      <c r="A179">
        <v>172</v>
      </c>
      <c r="B179" s="1">
        <v>45380</v>
      </c>
      <c r="C179">
        <v>19</v>
      </c>
      <c r="D179" t="str">
        <f t="shared" si="20"/>
        <v>1860</v>
      </c>
      <c r="E179" t="str">
        <f t="shared" si="21"/>
        <v>Прочие дебиторы по банковской деятельности</v>
      </c>
      <c r="F179" t="str">
        <f>"2"</f>
        <v>2</v>
      </c>
      <c r="G179" t="str">
        <f>"5"</f>
        <v>5</v>
      </c>
      <c r="H179" t="str">
        <f>"2"</f>
        <v>2</v>
      </c>
      <c r="I179" s="2">
        <v>5759531266.8199997</v>
      </c>
    </row>
    <row r="180" spans="1:9" x14ac:dyDescent="0.25">
      <c r="A180">
        <v>173</v>
      </c>
      <c r="B180" s="1">
        <v>45380</v>
      </c>
      <c r="C180">
        <v>19</v>
      </c>
      <c r="D180" t="str">
        <f t="shared" si="20"/>
        <v>1860</v>
      </c>
      <c r="E180" t="str">
        <f t="shared" si="21"/>
        <v>Прочие дебиторы по банковской деятельности</v>
      </c>
      <c r="F180" t="str">
        <f>"2"</f>
        <v>2</v>
      </c>
      <c r="G180" t="str">
        <f>"4"</f>
        <v>4</v>
      </c>
      <c r="H180" t="str">
        <f>"3"</f>
        <v>3</v>
      </c>
      <c r="I180" s="2">
        <v>8483000</v>
      </c>
    </row>
    <row r="181" spans="1:9" x14ac:dyDescent="0.25">
      <c r="A181">
        <v>174</v>
      </c>
      <c r="B181" s="1">
        <v>45380</v>
      </c>
      <c r="C181">
        <v>19</v>
      </c>
      <c r="D181" t="str">
        <f t="shared" si="20"/>
        <v>1860</v>
      </c>
      <c r="E181" t="str">
        <f t="shared" si="21"/>
        <v>Прочие дебиторы по банковской деятельности</v>
      </c>
      <c r="F181" t="str">
        <f>"1"</f>
        <v>1</v>
      </c>
      <c r="G181" t="str">
        <f>"1"</f>
        <v>1</v>
      </c>
      <c r="H181" t="str">
        <f>"1"</f>
        <v>1</v>
      </c>
      <c r="I181" s="2">
        <v>2108107865.3900001</v>
      </c>
    </row>
    <row r="182" spans="1:9" x14ac:dyDescent="0.25">
      <c r="A182">
        <v>175</v>
      </c>
      <c r="B182" s="1">
        <v>45380</v>
      </c>
      <c r="C182">
        <v>19</v>
      </c>
      <c r="D182" t="str">
        <f t="shared" si="20"/>
        <v>1860</v>
      </c>
      <c r="E182" t="str">
        <f t="shared" si="21"/>
        <v>Прочие дебиторы по банковской деятельности</v>
      </c>
      <c r="F182" t="str">
        <f>"1"</f>
        <v>1</v>
      </c>
      <c r="G182" t="str">
        <f>"8"</f>
        <v>8</v>
      </c>
      <c r="H182" t="str">
        <f>"1"</f>
        <v>1</v>
      </c>
      <c r="I182" s="2">
        <v>365025190.85000002</v>
      </c>
    </row>
    <row r="183" spans="1:9" x14ac:dyDescent="0.25">
      <c r="A183">
        <v>177</v>
      </c>
      <c r="B183" s="1">
        <v>45380</v>
      </c>
      <c r="C183">
        <v>19</v>
      </c>
      <c r="D183" t="str">
        <f t="shared" si="20"/>
        <v>1860</v>
      </c>
      <c r="E183" t="str">
        <f t="shared" si="21"/>
        <v>Прочие дебиторы по банковской деятельности</v>
      </c>
      <c r="F183" t="str">
        <f>"2"</f>
        <v>2</v>
      </c>
      <c r="G183" t="str">
        <f>"9"</f>
        <v>9</v>
      </c>
      <c r="H183" t="str">
        <f>"1"</f>
        <v>1</v>
      </c>
      <c r="I183" s="2">
        <v>208306994.59</v>
      </c>
    </row>
    <row r="184" spans="1:9" x14ac:dyDescent="0.25">
      <c r="A184">
        <v>178</v>
      </c>
      <c r="B184" s="1">
        <v>45380</v>
      </c>
      <c r="C184">
        <v>19</v>
      </c>
      <c r="D184" t="str">
        <f t="shared" si="20"/>
        <v>1860</v>
      </c>
      <c r="E184" t="str">
        <f t="shared" si="21"/>
        <v>Прочие дебиторы по банковской деятельности</v>
      </c>
      <c r="F184" t="str">
        <f>"1"</f>
        <v>1</v>
      </c>
      <c r="G184" t="str">
        <f>"9"</f>
        <v>9</v>
      </c>
      <c r="H184" t="str">
        <f>"2"</f>
        <v>2</v>
      </c>
      <c r="I184" s="2">
        <v>44460690.68</v>
      </c>
    </row>
    <row r="185" spans="1:9" x14ac:dyDescent="0.25">
      <c r="A185">
        <v>181</v>
      </c>
      <c r="B185" s="1">
        <v>45380</v>
      </c>
      <c r="C185">
        <v>19</v>
      </c>
      <c r="D185" t="str">
        <f t="shared" si="20"/>
        <v>1860</v>
      </c>
      <c r="E185" t="str">
        <f t="shared" si="21"/>
        <v>Прочие дебиторы по банковской деятельности</v>
      </c>
      <c r="F185" t="str">
        <f>"2"</f>
        <v>2</v>
      </c>
      <c r="G185" t="str">
        <f>"7"</f>
        <v>7</v>
      </c>
      <c r="H185" t="str">
        <f t="shared" ref="H185:H194" si="23">"1"</f>
        <v>1</v>
      </c>
      <c r="I185" s="2">
        <v>6413925.96</v>
      </c>
    </row>
    <row r="186" spans="1:9" x14ac:dyDescent="0.25">
      <c r="A186">
        <v>176</v>
      </c>
      <c r="B186" s="1">
        <v>45380</v>
      </c>
      <c r="C186">
        <v>19</v>
      </c>
      <c r="D186" t="str">
        <f t="shared" ref="D186:D193" si="24">"1867"</f>
        <v>1867</v>
      </c>
      <c r="E186" t="str">
        <f t="shared" ref="E186:E193" si="25">"Прочие дебиторы по неосновной деятельности"</f>
        <v>Прочие дебиторы по неосновной деятельности</v>
      </c>
      <c r="F186" t="str">
        <f>"1"</f>
        <v>1</v>
      </c>
      <c r="G186" t="str">
        <f>"1"</f>
        <v>1</v>
      </c>
      <c r="H186" t="str">
        <f t="shared" si="23"/>
        <v>1</v>
      </c>
      <c r="I186" s="2">
        <v>23998</v>
      </c>
    </row>
    <row r="187" spans="1:9" x14ac:dyDescent="0.25">
      <c r="A187">
        <v>179</v>
      </c>
      <c r="B187" s="1">
        <v>45380</v>
      </c>
      <c r="C187">
        <v>19</v>
      </c>
      <c r="D187" t="str">
        <f t="shared" si="24"/>
        <v>1867</v>
      </c>
      <c r="E187" t="str">
        <f t="shared" si="25"/>
        <v>Прочие дебиторы по неосновной деятельности</v>
      </c>
      <c r="F187" t="str">
        <f>"1"</f>
        <v>1</v>
      </c>
      <c r="G187" t="str">
        <f>"5"</f>
        <v>5</v>
      </c>
      <c r="H187" t="str">
        <f t="shared" si="23"/>
        <v>1</v>
      </c>
      <c r="I187" s="2">
        <v>7100</v>
      </c>
    </row>
    <row r="188" spans="1:9" x14ac:dyDescent="0.25">
      <c r="A188">
        <v>180</v>
      </c>
      <c r="B188" s="1">
        <v>45380</v>
      </c>
      <c r="C188">
        <v>19</v>
      </c>
      <c r="D188" t="str">
        <f t="shared" si="24"/>
        <v>1867</v>
      </c>
      <c r="E188" t="str">
        <f t="shared" si="25"/>
        <v>Прочие дебиторы по неосновной деятельности</v>
      </c>
      <c r="F188" t="str">
        <f>"1"</f>
        <v>1</v>
      </c>
      <c r="G188" t="str">
        <f>"4"</f>
        <v>4</v>
      </c>
      <c r="H188" t="str">
        <f t="shared" si="23"/>
        <v>1</v>
      </c>
      <c r="I188" s="2">
        <v>3162346</v>
      </c>
    </row>
    <row r="189" spans="1:9" x14ac:dyDescent="0.25">
      <c r="A189">
        <v>182</v>
      </c>
      <c r="B189" s="1">
        <v>45380</v>
      </c>
      <c r="C189">
        <v>19</v>
      </c>
      <c r="D189" t="str">
        <f t="shared" si="24"/>
        <v>1867</v>
      </c>
      <c r="E189" t="str">
        <f t="shared" si="25"/>
        <v>Прочие дебиторы по неосновной деятельности</v>
      </c>
      <c r="F189" t="str">
        <f>"1"</f>
        <v>1</v>
      </c>
      <c r="G189" t="str">
        <f>"9"</f>
        <v>9</v>
      </c>
      <c r="H189" t="str">
        <f t="shared" si="23"/>
        <v>1</v>
      </c>
      <c r="I189" s="2">
        <v>144148405.50999999</v>
      </c>
    </row>
    <row r="190" spans="1:9" x14ac:dyDescent="0.25">
      <c r="A190">
        <v>183</v>
      </c>
      <c r="B190" s="1">
        <v>45380</v>
      </c>
      <c r="C190">
        <v>19</v>
      </c>
      <c r="D190" t="str">
        <f t="shared" si="24"/>
        <v>1867</v>
      </c>
      <c r="E190" t="str">
        <f t="shared" si="25"/>
        <v>Прочие дебиторы по неосновной деятельности</v>
      </c>
      <c r="F190" t="str">
        <f>"1"</f>
        <v>1</v>
      </c>
      <c r="G190" t="str">
        <f>"8"</f>
        <v>8</v>
      </c>
      <c r="H190" t="str">
        <f t="shared" si="23"/>
        <v>1</v>
      </c>
      <c r="I190" s="2">
        <v>84496875</v>
      </c>
    </row>
    <row r="191" spans="1:9" x14ac:dyDescent="0.25">
      <c r="A191">
        <v>184</v>
      </c>
      <c r="B191" s="1">
        <v>45380</v>
      </c>
      <c r="C191">
        <v>19</v>
      </c>
      <c r="D191" t="str">
        <f t="shared" si="24"/>
        <v>1867</v>
      </c>
      <c r="E191" t="str">
        <f t="shared" si="25"/>
        <v>Прочие дебиторы по неосновной деятельности</v>
      </c>
      <c r="F191" t="str">
        <f>"2"</f>
        <v>2</v>
      </c>
      <c r="G191" t="str">
        <f>"7"</f>
        <v>7</v>
      </c>
      <c r="H191" t="str">
        <f t="shared" si="23"/>
        <v>1</v>
      </c>
      <c r="I191" s="2">
        <v>9803245.8599999994</v>
      </c>
    </row>
    <row r="192" spans="1:9" x14ac:dyDescent="0.25">
      <c r="A192">
        <v>185</v>
      </c>
      <c r="B192" s="1">
        <v>45380</v>
      </c>
      <c r="C192">
        <v>19</v>
      </c>
      <c r="D192" t="str">
        <f t="shared" si="24"/>
        <v>1867</v>
      </c>
      <c r="E192" t="str">
        <f t="shared" si="25"/>
        <v>Прочие дебиторы по неосновной деятельности</v>
      </c>
      <c r="F192" t="str">
        <f>"1"</f>
        <v>1</v>
      </c>
      <c r="G192" t="str">
        <f>"6"</f>
        <v>6</v>
      </c>
      <c r="H192" t="str">
        <f t="shared" si="23"/>
        <v>1</v>
      </c>
      <c r="I192" s="2">
        <v>1880270.71</v>
      </c>
    </row>
    <row r="193" spans="1:9" x14ac:dyDescent="0.25">
      <c r="A193">
        <v>263</v>
      </c>
      <c r="B193" s="1">
        <v>45380</v>
      </c>
      <c r="C193">
        <v>19</v>
      </c>
      <c r="D193" t="str">
        <f t="shared" si="24"/>
        <v>1867</v>
      </c>
      <c r="E193" t="str">
        <f t="shared" si="25"/>
        <v>Прочие дебиторы по неосновной деятельности</v>
      </c>
      <c r="F193" t="str">
        <f>"1"</f>
        <v>1</v>
      </c>
      <c r="G193" t="str">
        <f>"7"</f>
        <v>7</v>
      </c>
      <c r="H193" t="str">
        <f t="shared" si="23"/>
        <v>1</v>
      </c>
      <c r="I193" s="2">
        <v>2649153275.8000002</v>
      </c>
    </row>
    <row r="194" spans="1:9" x14ac:dyDescent="0.25">
      <c r="A194">
        <v>186</v>
      </c>
      <c r="B194" s="1">
        <v>45380</v>
      </c>
      <c r="C194">
        <v>19</v>
      </c>
      <c r="D194" t="str">
        <f t="shared" ref="D194:D205" si="26">"1877"</f>
        <v>1877</v>
      </c>
      <c r="E194" t="str">
        <f t="shared" ref="E194:E205" si="2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194" t="str">
        <f>"1"</f>
        <v>1</v>
      </c>
      <c r="G194" t="str">
        <f>"5"</f>
        <v>5</v>
      </c>
      <c r="H194" t="str">
        <f t="shared" si="23"/>
        <v>1</v>
      </c>
      <c r="I194" s="2">
        <v>-6568.32</v>
      </c>
    </row>
    <row r="195" spans="1:9" x14ac:dyDescent="0.25">
      <c r="A195">
        <v>187</v>
      </c>
      <c r="B195" s="1">
        <v>45380</v>
      </c>
      <c r="C195">
        <v>19</v>
      </c>
      <c r="D195" t="str">
        <f t="shared" si="26"/>
        <v>1877</v>
      </c>
      <c r="E195" t="str">
        <f t="shared" si="27"/>
        <v>Резервы (провизии) по дебиторской задолженности, связанной с банковской деятельностью</v>
      </c>
      <c r="F195" t="str">
        <f>"1"</f>
        <v>1</v>
      </c>
      <c r="G195" t="str">
        <f>"5"</f>
        <v>5</v>
      </c>
      <c r="H195" t="str">
        <f>"2"</f>
        <v>2</v>
      </c>
      <c r="I195" s="2">
        <v>-1044169.54</v>
      </c>
    </row>
    <row r="196" spans="1:9" x14ac:dyDescent="0.25">
      <c r="A196">
        <v>188</v>
      </c>
      <c r="B196" s="1">
        <v>45380</v>
      </c>
      <c r="C196">
        <v>19</v>
      </c>
      <c r="D196" t="str">
        <f t="shared" si="26"/>
        <v>1877</v>
      </c>
      <c r="E196" t="str">
        <f t="shared" si="27"/>
        <v>Резервы (провизии) по дебиторской задолженности, связанной с банковской деятельностью</v>
      </c>
      <c r="F196" t="str">
        <f>"1"</f>
        <v>1</v>
      </c>
      <c r="G196" t="str">
        <f>"4"</f>
        <v>4</v>
      </c>
      <c r="H196" t="str">
        <f>"1"</f>
        <v>1</v>
      </c>
      <c r="I196" s="2">
        <v>-281181526.26999998</v>
      </c>
    </row>
    <row r="197" spans="1:9" x14ac:dyDescent="0.25">
      <c r="A197">
        <v>189</v>
      </c>
      <c r="B197" s="1">
        <v>45380</v>
      </c>
      <c r="C197">
        <v>19</v>
      </c>
      <c r="D197" t="str">
        <f t="shared" si="26"/>
        <v>1877</v>
      </c>
      <c r="E197" t="str">
        <f t="shared" si="27"/>
        <v>Резервы (провизии) по дебиторской задолженности, связанной с банковской деятельностью</v>
      </c>
      <c r="F197" t="str">
        <f>"2"</f>
        <v>2</v>
      </c>
      <c r="G197" t="str">
        <f>"5"</f>
        <v>5</v>
      </c>
      <c r="H197" t="str">
        <f>"1"</f>
        <v>1</v>
      </c>
      <c r="I197" s="2">
        <v>-17833.97</v>
      </c>
    </row>
    <row r="198" spans="1:9" x14ac:dyDescent="0.25">
      <c r="A198">
        <v>190</v>
      </c>
      <c r="B198" s="1">
        <v>45380</v>
      </c>
      <c r="C198">
        <v>19</v>
      </c>
      <c r="D198" t="str">
        <f t="shared" si="26"/>
        <v>1877</v>
      </c>
      <c r="E198" t="str">
        <f t="shared" si="27"/>
        <v>Резервы (провизии) по дебиторской задолженности, связанной с банковской деятельностью</v>
      </c>
      <c r="F198" t="str">
        <f>"1"</f>
        <v>1</v>
      </c>
      <c r="G198" t="str">
        <f>"8"</f>
        <v>8</v>
      </c>
      <c r="H198" t="str">
        <f>"1"</f>
        <v>1</v>
      </c>
      <c r="I198" s="2">
        <v>-551000</v>
      </c>
    </row>
    <row r="199" spans="1:9" x14ac:dyDescent="0.25">
      <c r="A199">
        <v>191</v>
      </c>
      <c r="B199" s="1">
        <v>45380</v>
      </c>
      <c r="C199">
        <v>19</v>
      </c>
      <c r="D199" t="str">
        <f t="shared" si="26"/>
        <v>1877</v>
      </c>
      <c r="E199" t="str">
        <f t="shared" si="27"/>
        <v>Резервы (провизии) по дебиторской задолженности, связанной с банковской деятельностью</v>
      </c>
      <c r="F199" t="str">
        <f>"1"</f>
        <v>1</v>
      </c>
      <c r="G199" t="str">
        <f>"7"</f>
        <v>7</v>
      </c>
      <c r="H199" t="str">
        <f>"1"</f>
        <v>1</v>
      </c>
      <c r="I199" s="2">
        <v>-819305452.30999994</v>
      </c>
    </row>
    <row r="200" spans="1:9" x14ac:dyDescent="0.25">
      <c r="A200">
        <v>192</v>
      </c>
      <c r="B200" s="1">
        <v>45380</v>
      </c>
      <c r="C200">
        <v>19</v>
      </c>
      <c r="D200" t="str">
        <f t="shared" si="26"/>
        <v>1877</v>
      </c>
      <c r="E200" t="str">
        <f t="shared" si="27"/>
        <v>Резервы (провизии) по дебиторской задолженности, связанной с банковской деятельностью</v>
      </c>
      <c r="F200" t="str">
        <f>"1"</f>
        <v>1</v>
      </c>
      <c r="G200" t="str">
        <f>"9"</f>
        <v>9</v>
      </c>
      <c r="H200" t="str">
        <f>"1"</f>
        <v>1</v>
      </c>
      <c r="I200" s="2">
        <v>-4219048572.8600001</v>
      </c>
    </row>
    <row r="201" spans="1:9" x14ac:dyDescent="0.25">
      <c r="A201">
        <v>193</v>
      </c>
      <c r="B201" s="1">
        <v>45380</v>
      </c>
      <c r="C201">
        <v>19</v>
      </c>
      <c r="D201" t="str">
        <f t="shared" si="26"/>
        <v>1877</v>
      </c>
      <c r="E201" t="str">
        <f t="shared" si="27"/>
        <v>Резервы (провизии) по дебиторской задолженности, связанной с банковской деятельностью</v>
      </c>
      <c r="F201" t="str">
        <f>"1"</f>
        <v>1</v>
      </c>
      <c r="G201" t="str">
        <f>"9"</f>
        <v>9</v>
      </c>
      <c r="H201" t="str">
        <f>"2"</f>
        <v>2</v>
      </c>
      <c r="I201" s="2">
        <v>-44393673.68</v>
      </c>
    </row>
    <row r="202" spans="1:9" x14ac:dyDescent="0.25">
      <c r="A202">
        <v>194</v>
      </c>
      <c r="B202" s="1">
        <v>45380</v>
      </c>
      <c r="C202">
        <v>19</v>
      </c>
      <c r="D202" t="str">
        <f t="shared" si="26"/>
        <v>1877</v>
      </c>
      <c r="E202" t="str">
        <f t="shared" si="27"/>
        <v>Резервы (провизии) по дебиторской задолженности, связанной с банковской деятельностью</v>
      </c>
      <c r="F202" t="str">
        <f>"2"</f>
        <v>2</v>
      </c>
      <c r="G202" t="str">
        <f>"9"</f>
        <v>9</v>
      </c>
      <c r="H202" t="str">
        <f>"1"</f>
        <v>1</v>
      </c>
      <c r="I202" s="2">
        <v>-20501763.550000001</v>
      </c>
    </row>
    <row r="203" spans="1:9" x14ac:dyDescent="0.25">
      <c r="A203">
        <v>197</v>
      </c>
      <c r="B203" s="1">
        <v>45380</v>
      </c>
      <c r="C203">
        <v>19</v>
      </c>
      <c r="D203" t="str">
        <f t="shared" si="26"/>
        <v>1877</v>
      </c>
      <c r="E203" t="str">
        <f t="shared" si="27"/>
        <v>Резервы (провизии) по дебиторской задолженности, связанной с банковской деятельностью</v>
      </c>
      <c r="F203" t="str">
        <f>"2"</f>
        <v>2</v>
      </c>
      <c r="G203" t="str">
        <f>"5"</f>
        <v>5</v>
      </c>
      <c r="H203" t="str">
        <f>"2"</f>
        <v>2</v>
      </c>
      <c r="I203" s="2">
        <v>-32283.88</v>
      </c>
    </row>
    <row r="204" spans="1:9" x14ac:dyDescent="0.25">
      <c r="A204">
        <v>203</v>
      </c>
      <c r="B204" s="1">
        <v>45380</v>
      </c>
      <c r="C204">
        <v>19</v>
      </c>
      <c r="D204" t="str">
        <f t="shared" si="26"/>
        <v>1877</v>
      </c>
      <c r="E204" t="str">
        <f t="shared" si="27"/>
        <v>Резервы (провизии) по дебиторской задолженности, связанной с банковской деятельностью</v>
      </c>
      <c r="F204" t="str">
        <f>"1"</f>
        <v>1</v>
      </c>
      <c r="G204" t="str">
        <f>"1"</f>
        <v>1</v>
      </c>
      <c r="H204" t="str">
        <f>"1"</f>
        <v>1</v>
      </c>
      <c r="I204" s="2">
        <v>-323265</v>
      </c>
    </row>
    <row r="205" spans="1:9" x14ac:dyDescent="0.25">
      <c r="A205">
        <v>221</v>
      </c>
      <c r="B205" s="1">
        <v>45380</v>
      </c>
      <c r="C205">
        <v>19</v>
      </c>
      <c r="D205" t="str">
        <f t="shared" si="26"/>
        <v>1877</v>
      </c>
      <c r="E205" t="str">
        <f t="shared" si="27"/>
        <v>Резервы (провизии) по дебиторской задолженности, связанной с банковской деятельностью</v>
      </c>
      <c r="F205" t="str">
        <f>"2"</f>
        <v>2</v>
      </c>
      <c r="G205" t="str">
        <f>"5"</f>
        <v>5</v>
      </c>
      <c r="H205" t="str">
        <f>"3"</f>
        <v>3</v>
      </c>
      <c r="I205" s="2">
        <v>-311874.59999999998</v>
      </c>
    </row>
    <row r="206" spans="1:9" x14ac:dyDescent="0.25">
      <c r="A206">
        <v>220</v>
      </c>
      <c r="B206" s="1">
        <v>45380</v>
      </c>
      <c r="C206">
        <v>19</v>
      </c>
      <c r="D206" t="str">
        <f>"1878"</f>
        <v>1878</v>
      </c>
      <c r="E20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06" t="str">
        <f>"1"</f>
        <v>1</v>
      </c>
      <c r="G206" t="str">
        <f>"4"</f>
        <v>4</v>
      </c>
      <c r="H206" t="str">
        <f>"1"</f>
        <v>1</v>
      </c>
      <c r="I206" s="2">
        <v>-3162346</v>
      </c>
    </row>
    <row r="207" spans="1:9" x14ac:dyDescent="0.25">
      <c r="A207">
        <v>195</v>
      </c>
      <c r="B207" s="1">
        <v>45380</v>
      </c>
      <c r="C207">
        <v>19</v>
      </c>
      <c r="D207" t="str">
        <f>"1894"</f>
        <v>1894</v>
      </c>
      <c r="E207" t="str">
        <f>"Требования по операциям спот"</f>
        <v>Требования по операциям спот</v>
      </c>
      <c r="F207" t="str">
        <f>"1"</f>
        <v>1</v>
      </c>
      <c r="G207" t="str">
        <f>"4"</f>
        <v>4</v>
      </c>
      <c r="H207" t="str">
        <f>"2"</f>
        <v>2</v>
      </c>
      <c r="I207" s="2">
        <v>3886986</v>
      </c>
    </row>
    <row r="208" spans="1:9" x14ac:dyDescent="0.25">
      <c r="A208">
        <v>196</v>
      </c>
      <c r="B208" s="1">
        <v>45380</v>
      </c>
      <c r="C208">
        <v>19</v>
      </c>
      <c r="D208" t="str">
        <f>"1895"</f>
        <v>1895</v>
      </c>
      <c r="E208" t="str">
        <f>"Требования по операциям своп"</f>
        <v>Требования по операциям своп</v>
      </c>
      <c r="F208" t="str">
        <f>"1"</f>
        <v>1</v>
      </c>
      <c r="G208" t="str">
        <f>"5"</f>
        <v>5</v>
      </c>
      <c r="H208" t="str">
        <f>"1"</f>
        <v>1</v>
      </c>
      <c r="I208" s="2">
        <v>985580000</v>
      </c>
    </row>
    <row r="209" spans="1:9" x14ac:dyDescent="0.25">
      <c r="A209">
        <v>224</v>
      </c>
      <c r="B209" s="1">
        <v>45380</v>
      </c>
      <c r="C209">
        <v>19</v>
      </c>
      <c r="D209" t="str">
        <f>"1895"</f>
        <v>1895</v>
      </c>
      <c r="E209" t="str">
        <f>"Требования по операциям своп"</f>
        <v>Требования по операциям своп</v>
      </c>
      <c r="F209" t="str">
        <f>"2"</f>
        <v>2</v>
      </c>
      <c r="G209" t="str">
        <f>"4"</f>
        <v>4</v>
      </c>
      <c r="H209" t="str">
        <f>"2"</f>
        <v>2</v>
      </c>
      <c r="I209" s="2">
        <v>96331620.819999993</v>
      </c>
    </row>
    <row r="210" spans="1:9" x14ac:dyDescent="0.25">
      <c r="A210">
        <v>199</v>
      </c>
      <c r="B210" s="1">
        <v>45380</v>
      </c>
      <c r="C210">
        <v>19</v>
      </c>
      <c r="D210" t="str">
        <f>"2013"</f>
        <v>2013</v>
      </c>
      <c r="E210" t="str">
        <f>"Корреспондентские счета других банков"</f>
        <v>Корреспондентские счета других банков</v>
      </c>
      <c r="F210" t="str">
        <f>"2"</f>
        <v>2</v>
      </c>
      <c r="G210" t="str">
        <f>"4"</f>
        <v>4</v>
      </c>
      <c r="H210" t="str">
        <f>"1"</f>
        <v>1</v>
      </c>
      <c r="I210" s="2">
        <v>8.93</v>
      </c>
    </row>
    <row r="211" spans="1:9" x14ac:dyDescent="0.25">
      <c r="A211">
        <v>206</v>
      </c>
      <c r="B211" s="1">
        <v>45380</v>
      </c>
      <c r="C211">
        <v>19</v>
      </c>
      <c r="D211" t="str">
        <f>"2122"</f>
        <v>2122</v>
      </c>
      <c r="E211" t="str">
        <f>"Срочные вклады иностранных центральных банков"</f>
        <v>Срочные вклады иностранных центральных банков</v>
      </c>
      <c r="F211" t="str">
        <f>"2"</f>
        <v>2</v>
      </c>
      <c r="G211" t="str">
        <f>"3"</f>
        <v>3</v>
      </c>
      <c r="H211" t="str">
        <f>"1"</f>
        <v>1</v>
      </c>
      <c r="I211" s="2">
        <v>17000000000</v>
      </c>
    </row>
    <row r="212" spans="1:9" x14ac:dyDescent="0.25">
      <c r="A212">
        <v>198</v>
      </c>
      <c r="B212" s="1">
        <v>45380</v>
      </c>
      <c r="C212">
        <v>19</v>
      </c>
      <c r="D212" t="str">
        <f t="shared" ref="D212:D231" si="28">"2203"</f>
        <v>2203</v>
      </c>
      <c r="E212" t="str">
        <f t="shared" ref="E212:E231" si="29">"Текущие счета юридических лиц"</f>
        <v>Текущие счета юридических лиц</v>
      </c>
      <c r="F212" t="str">
        <f t="shared" ref="F212:F222" si="30">"1"</f>
        <v>1</v>
      </c>
      <c r="G212" t="str">
        <f>"5"</f>
        <v>5</v>
      </c>
      <c r="H212" t="str">
        <f>"1"</f>
        <v>1</v>
      </c>
      <c r="I212" s="2">
        <v>3764840082.8299999</v>
      </c>
    </row>
    <row r="213" spans="1:9" x14ac:dyDescent="0.25">
      <c r="A213">
        <v>200</v>
      </c>
      <c r="B213" s="1">
        <v>45380</v>
      </c>
      <c r="C213">
        <v>19</v>
      </c>
      <c r="D213" t="str">
        <f t="shared" si="28"/>
        <v>2203</v>
      </c>
      <c r="E213" t="str">
        <f t="shared" si="29"/>
        <v>Текущие счета юридических лиц</v>
      </c>
      <c r="F213" t="str">
        <f t="shared" si="30"/>
        <v>1</v>
      </c>
      <c r="G213" t="str">
        <f>"1"</f>
        <v>1</v>
      </c>
      <c r="H213" t="str">
        <f>"1"</f>
        <v>1</v>
      </c>
      <c r="I213" s="2">
        <v>255511</v>
      </c>
    </row>
    <row r="214" spans="1:9" x14ac:dyDescent="0.25">
      <c r="A214">
        <v>201</v>
      </c>
      <c r="B214" s="1">
        <v>45380</v>
      </c>
      <c r="C214">
        <v>19</v>
      </c>
      <c r="D214" t="str">
        <f t="shared" si="28"/>
        <v>2203</v>
      </c>
      <c r="E214" t="str">
        <f t="shared" si="29"/>
        <v>Текущие счета юридических лиц</v>
      </c>
      <c r="F214" t="str">
        <f t="shared" si="30"/>
        <v>1</v>
      </c>
      <c r="G214" t="str">
        <f>"2"</f>
        <v>2</v>
      </c>
      <c r="H214" t="str">
        <f>"1"</f>
        <v>1</v>
      </c>
      <c r="I214" s="2">
        <v>33458.620000000003</v>
      </c>
    </row>
    <row r="215" spans="1:9" x14ac:dyDescent="0.25">
      <c r="A215">
        <v>202</v>
      </c>
      <c r="B215" s="1">
        <v>45380</v>
      </c>
      <c r="C215">
        <v>19</v>
      </c>
      <c r="D215" t="str">
        <f t="shared" si="28"/>
        <v>2203</v>
      </c>
      <c r="E215" t="str">
        <f t="shared" si="29"/>
        <v>Текущие счета юридических лиц</v>
      </c>
      <c r="F215" t="str">
        <f t="shared" si="30"/>
        <v>1</v>
      </c>
      <c r="G215" t="str">
        <f>"5"</f>
        <v>5</v>
      </c>
      <c r="H215" t="str">
        <f>"3"</f>
        <v>3</v>
      </c>
      <c r="I215" s="2">
        <v>12299.07</v>
      </c>
    </row>
    <row r="216" spans="1:9" x14ac:dyDescent="0.25">
      <c r="A216">
        <v>204</v>
      </c>
      <c r="B216" s="1">
        <v>45380</v>
      </c>
      <c r="C216">
        <v>19</v>
      </c>
      <c r="D216" t="str">
        <f t="shared" si="28"/>
        <v>2203</v>
      </c>
      <c r="E216" t="str">
        <f t="shared" si="29"/>
        <v>Текущие счета юридических лиц</v>
      </c>
      <c r="F216" t="str">
        <f t="shared" si="30"/>
        <v>1</v>
      </c>
      <c r="G216" t="str">
        <f>"6"</f>
        <v>6</v>
      </c>
      <c r="H216" t="str">
        <f>"3"</f>
        <v>3</v>
      </c>
      <c r="I216" s="2">
        <v>17529.61</v>
      </c>
    </row>
    <row r="217" spans="1:9" x14ac:dyDescent="0.25">
      <c r="A217">
        <v>205</v>
      </c>
      <c r="B217" s="1">
        <v>45380</v>
      </c>
      <c r="C217">
        <v>19</v>
      </c>
      <c r="D217" t="str">
        <f t="shared" si="28"/>
        <v>2203</v>
      </c>
      <c r="E217" t="str">
        <f t="shared" si="29"/>
        <v>Текущие счета юридических лиц</v>
      </c>
      <c r="F217" t="str">
        <f t="shared" si="30"/>
        <v>1</v>
      </c>
      <c r="G217" t="str">
        <f>"6"</f>
        <v>6</v>
      </c>
      <c r="H217" t="str">
        <f>"1"</f>
        <v>1</v>
      </c>
      <c r="I217" s="2">
        <v>4267797343.9200001</v>
      </c>
    </row>
    <row r="218" spans="1:9" x14ac:dyDescent="0.25">
      <c r="A218">
        <v>207</v>
      </c>
      <c r="B218" s="1">
        <v>45380</v>
      </c>
      <c r="C218">
        <v>19</v>
      </c>
      <c r="D218" t="str">
        <f t="shared" si="28"/>
        <v>2203</v>
      </c>
      <c r="E218" t="str">
        <f t="shared" si="29"/>
        <v>Текущие счета юридических лиц</v>
      </c>
      <c r="F218" t="str">
        <f t="shared" si="30"/>
        <v>1</v>
      </c>
      <c r="G218" t="str">
        <f>"5"</f>
        <v>5</v>
      </c>
      <c r="H218" t="str">
        <f>"2"</f>
        <v>2</v>
      </c>
      <c r="I218" s="2">
        <v>10896747551.9</v>
      </c>
    </row>
    <row r="219" spans="1:9" x14ac:dyDescent="0.25">
      <c r="A219">
        <v>208</v>
      </c>
      <c r="B219" s="1">
        <v>45380</v>
      </c>
      <c r="C219">
        <v>19</v>
      </c>
      <c r="D219" t="str">
        <f t="shared" si="28"/>
        <v>2203</v>
      </c>
      <c r="E219" t="str">
        <f t="shared" si="29"/>
        <v>Текущие счета юридических лиц</v>
      </c>
      <c r="F219" t="str">
        <f t="shared" si="30"/>
        <v>1</v>
      </c>
      <c r="G219" t="str">
        <f>"7"</f>
        <v>7</v>
      </c>
      <c r="H219" t="str">
        <f>"1"</f>
        <v>1</v>
      </c>
      <c r="I219" s="2">
        <v>169824578012.39999</v>
      </c>
    </row>
    <row r="220" spans="1:9" x14ac:dyDescent="0.25">
      <c r="A220">
        <v>209</v>
      </c>
      <c r="B220" s="1">
        <v>45380</v>
      </c>
      <c r="C220">
        <v>19</v>
      </c>
      <c r="D220" t="str">
        <f t="shared" si="28"/>
        <v>2203</v>
      </c>
      <c r="E220" t="str">
        <f t="shared" si="29"/>
        <v>Текущие счета юридических лиц</v>
      </c>
      <c r="F220" t="str">
        <f t="shared" si="30"/>
        <v>1</v>
      </c>
      <c r="G220" t="str">
        <f>"8"</f>
        <v>8</v>
      </c>
      <c r="H220" t="str">
        <f>"1"</f>
        <v>1</v>
      </c>
      <c r="I220" s="2">
        <v>5268308466.8900003</v>
      </c>
    </row>
    <row r="221" spans="1:9" x14ac:dyDescent="0.25">
      <c r="A221">
        <v>210</v>
      </c>
      <c r="B221" s="1">
        <v>45380</v>
      </c>
      <c r="C221">
        <v>19</v>
      </c>
      <c r="D221" t="str">
        <f t="shared" si="28"/>
        <v>2203</v>
      </c>
      <c r="E221" t="str">
        <f t="shared" si="29"/>
        <v>Текущие счета юридических лиц</v>
      </c>
      <c r="F221" t="str">
        <f t="shared" si="30"/>
        <v>1</v>
      </c>
      <c r="G221" t="str">
        <f>"7"</f>
        <v>7</v>
      </c>
      <c r="H221" t="str">
        <f>"2"</f>
        <v>2</v>
      </c>
      <c r="I221" s="2">
        <v>18730597718.349998</v>
      </c>
    </row>
    <row r="222" spans="1:9" x14ac:dyDescent="0.25">
      <c r="A222">
        <v>211</v>
      </c>
      <c r="B222" s="1">
        <v>45380</v>
      </c>
      <c r="C222">
        <v>19</v>
      </c>
      <c r="D222" t="str">
        <f t="shared" si="28"/>
        <v>2203</v>
      </c>
      <c r="E222" t="str">
        <f t="shared" si="29"/>
        <v>Текущие счета юридических лиц</v>
      </c>
      <c r="F222" t="str">
        <f t="shared" si="30"/>
        <v>1</v>
      </c>
      <c r="G222" t="str">
        <f>"7"</f>
        <v>7</v>
      </c>
      <c r="H222" t="str">
        <f>"3"</f>
        <v>3</v>
      </c>
      <c r="I222" s="2">
        <v>1200489129.04</v>
      </c>
    </row>
    <row r="223" spans="1:9" x14ac:dyDescent="0.25">
      <c r="A223">
        <v>212</v>
      </c>
      <c r="B223" s="1">
        <v>45380</v>
      </c>
      <c r="C223">
        <v>19</v>
      </c>
      <c r="D223" t="str">
        <f t="shared" si="28"/>
        <v>2203</v>
      </c>
      <c r="E223" t="str">
        <f t="shared" si="29"/>
        <v>Текущие счета юридических лиц</v>
      </c>
      <c r="F223" t="str">
        <f>"2"</f>
        <v>2</v>
      </c>
      <c r="G223" t="str">
        <f>"1"</f>
        <v>1</v>
      </c>
      <c r="H223" t="str">
        <f>"1"</f>
        <v>1</v>
      </c>
      <c r="I223" s="2">
        <v>35268.050000000003</v>
      </c>
    </row>
    <row r="224" spans="1:9" x14ac:dyDescent="0.25">
      <c r="A224">
        <v>213</v>
      </c>
      <c r="B224" s="1">
        <v>45380</v>
      </c>
      <c r="C224">
        <v>19</v>
      </c>
      <c r="D224" t="str">
        <f t="shared" si="28"/>
        <v>2203</v>
      </c>
      <c r="E224" t="str">
        <f t="shared" si="29"/>
        <v>Текущие счета юридических лиц</v>
      </c>
      <c r="F224" t="str">
        <f>"1"</f>
        <v>1</v>
      </c>
      <c r="G224" t="str">
        <f>"8"</f>
        <v>8</v>
      </c>
      <c r="H224" t="str">
        <f>"2"</f>
        <v>2</v>
      </c>
      <c r="I224" s="2">
        <v>1349874029.98</v>
      </c>
    </row>
    <row r="225" spans="1:9" x14ac:dyDescent="0.25">
      <c r="A225">
        <v>214</v>
      </c>
      <c r="B225" s="1">
        <v>45380</v>
      </c>
      <c r="C225">
        <v>19</v>
      </c>
      <c r="D225" t="str">
        <f t="shared" si="28"/>
        <v>2203</v>
      </c>
      <c r="E225" t="str">
        <f t="shared" si="29"/>
        <v>Текущие счета юридических лиц</v>
      </c>
      <c r="F225" t="str">
        <f>"1"</f>
        <v>1</v>
      </c>
      <c r="G225" t="str">
        <f>"8"</f>
        <v>8</v>
      </c>
      <c r="H225" t="str">
        <f>"3"</f>
        <v>3</v>
      </c>
      <c r="I225" s="2">
        <v>503633.12</v>
      </c>
    </row>
    <row r="226" spans="1:9" x14ac:dyDescent="0.25">
      <c r="A226">
        <v>215</v>
      </c>
      <c r="B226" s="1">
        <v>45380</v>
      </c>
      <c r="C226">
        <v>19</v>
      </c>
      <c r="D226" t="str">
        <f t="shared" si="28"/>
        <v>2203</v>
      </c>
      <c r="E226" t="str">
        <f t="shared" si="29"/>
        <v>Текущие счета юридических лиц</v>
      </c>
      <c r="F226" t="str">
        <f>"2"</f>
        <v>2</v>
      </c>
      <c r="G226" t="str">
        <f>"5"</f>
        <v>5</v>
      </c>
      <c r="H226" t="str">
        <f>"1"</f>
        <v>1</v>
      </c>
      <c r="I226" s="2">
        <v>917.37</v>
      </c>
    </row>
    <row r="227" spans="1:9" x14ac:dyDescent="0.25">
      <c r="A227">
        <v>217</v>
      </c>
      <c r="B227" s="1">
        <v>45380</v>
      </c>
      <c r="C227">
        <v>19</v>
      </c>
      <c r="D227" t="str">
        <f t="shared" si="28"/>
        <v>2203</v>
      </c>
      <c r="E227" t="str">
        <f t="shared" si="29"/>
        <v>Текущие счета юридических лиц</v>
      </c>
      <c r="F227" t="str">
        <f>"2"</f>
        <v>2</v>
      </c>
      <c r="G227" t="str">
        <f>"7"</f>
        <v>7</v>
      </c>
      <c r="H227" t="str">
        <f>"1"</f>
        <v>1</v>
      </c>
      <c r="I227" s="2">
        <v>203929629.71000001</v>
      </c>
    </row>
    <row r="228" spans="1:9" x14ac:dyDescent="0.25">
      <c r="A228">
        <v>222</v>
      </c>
      <c r="B228" s="1">
        <v>45380</v>
      </c>
      <c r="C228">
        <v>19</v>
      </c>
      <c r="D228" t="str">
        <f t="shared" si="28"/>
        <v>2203</v>
      </c>
      <c r="E228" t="str">
        <f t="shared" si="29"/>
        <v>Текущие счета юридических лиц</v>
      </c>
      <c r="F228" t="str">
        <f>"1"</f>
        <v>1</v>
      </c>
      <c r="G228" t="str">
        <f>"6"</f>
        <v>6</v>
      </c>
      <c r="H228" t="str">
        <f>"2"</f>
        <v>2</v>
      </c>
      <c r="I228" s="2">
        <v>645899.66</v>
      </c>
    </row>
    <row r="229" spans="1:9" x14ac:dyDescent="0.25">
      <c r="A229">
        <v>226</v>
      </c>
      <c r="B229" s="1">
        <v>45380</v>
      </c>
      <c r="C229">
        <v>19</v>
      </c>
      <c r="D229" t="str">
        <f t="shared" si="28"/>
        <v>2203</v>
      </c>
      <c r="E229" t="str">
        <f t="shared" si="29"/>
        <v>Текущие счета юридических лиц</v>
      </c>
      <c r="F229" t="str">
        <f>"2"</f>
        <v>2</v>
      </c>
      <c r="G229" t="str">
        <f>"7"</f>
        <v>7</v>
      </c>
      <c r="H229" t="str">
        <f>"3"</f>
        <v>3</v>
      </c>
      <c r="I229" s="2">
        <v>1610252.09</v>
      </c>
    </row>
    <row r="230" spans="1:9" x14ac:dyDescent="0.25">
      <c r="A230">
        <v>229</v>
      </c>
      <c r="B230" s="1">
        <v>45380</v>
      </c>
      <c r="C230">
        <v>19</v>
      </c>
      <c r="D230" t="str">
        <f t="shared" si="28"/>
        <v>2203</v>
      </c>
      <c r="E230" t="str">
        <f t="shared" si="29"/>
        <v>Текущие счета юридических лиц</v>
      </c>
      <c r="F230" t="str">
        <f>"2"</f>
        <v>2</v>
      </c>
      <c r="G230" t="str">
        <f>"1"</f>
        <v>1</v>
      </c>
      <c r="H230" t="str">
        <f>"2"</f>
        <v>2</v>
      </c>
      <c r="I230" s="2">
        <v>147683379.19999999</v>
      </c>
    </row>
    <row r="231" spans="1:9" x14ac:dyDescent="0.25">
      <c r="A231">
        <v>270</v>
      </c>
      <c r="B231" s="1">
        <v>45380</v>
      </c>
      <c r="C231">
        <v>19</v>
      </c>
      <c r="D231" t="str">
        <f t="shared" si="28"/>
        <v>2203</v>
      </c>
      <c r="E231" t="str">
        <f t="shared" si="29"/>
        <v>Текущие счета юридических лиц</v>
      </c>
      <c r="F231" t="str">
        <f>"2"</f>
        <v>2</v>
      </c>
      <c r="G231" t="str">
        <f>"7"</f>
        <v>7</v>
      </c>
      <c r="H231" t="str">
        <f>"2"</f>
        <v>2</v>
      </c>
      <c r="I231" s="2">
        <v>37420855.630000003</v>
      </c>
    </row>
    <row r="232" spans="1:9" x14ac:dyDescent="0.25">
      <c r="A232">
        <v>216</v>
      </c>
      <c r="B232" s="1">
        <v>45380</v>
      </c>
      <c r="C232">
        <v>19</v>
      </c>
      <c r="D232" t="str">
        <f t="shared" ref="D232:D237" si="31">"2204"</f>
        <v>2204</v>
      </c>
      <c r="E232" t="str">
        <f t="shared" ref="E232:E237" si="32">"Текущие счета физических лиц"</f>
        <v>Текущие счета физических лиц</v>
      </c>
      <c r="F232" t="str">
        <f>"1"</f>
        <v>1</v>
      </c>
      <c r="G232" t="str">
        <f t="shared" ref="G232:G254" si="33">"9"</f>
        <v>9</v>
      </c>
      <c r="H232" t="str">
        <f>"2"</f>
        <v>2</v>
      </c>
      <c r="I232" s="2">
        <v>8871218211.8500004</v>
      </c>
    </row>
    <row r="233" spans="1:9" x14ac:dyDescent="0.25">
      <c r="A233">
        <v>218</v>
      </c>
      <c r="B233" s="1">
        <v>45380</v>
      </c>
      <c r="C233">
        <v>19</v>
      </c>
      <c r="D233" t="str">
        <f t="shared" si="31"/>
        <v>2204</v>
      </c>
      <c r="E233" t="str">
        <f t="shared" si="32"/>
        <v>Текущие счета физических лиц</v>
      </c>
      <c r="F233" t="str">
        <f>"2"</f>
        <v>2</v>
      </c>
      <c r="G233" t="str">
        <f t="shared" si="33"/>
        <v>9</v>
      </c>
      <c r="H233" t="str">
        <f>"3"</f>
        <v>3</v>
      </c>
      <c r="I233" s="2">
        <v>456380.3</v>
      </c>
    </row>
    <row r="234" spans="1:9" x14ac:dyDescent="0.25">
      <c r="A234">
        <v>219</v>
      </c>
      <c r="B234" s="1">
        <v>45380</v>
      </c>
      <c r="C234">
        <v>19</v>
      </c>
      <c r="D234" t="str">
        <f t="shared" si="31"/>
        <v>2204</v>
      </c>
      <c r="E234" t="str">
        <f t="shared" si="32"/>
        <v>Текущие счета физических лиц</v>
      </c>
      <c r="F234" t="str">
        <f>"2"</f>
        <v>2</v>
      </c>
      <c r="G234" t="str">
        <f t="shared" si="33"/>
        <v>9</v>
      </c>
      <c r="H234" t="str">
        <f>"1"</f>
        <v>1</v>
      </c>
      <c r="I234" s="2">
        <v>53744483604.839996</v>
      </c>
    </row>
    <row r="235" spans="1:9" x14ac:dyDescent="0.25">
      <c r="A235">
        <v>225</v>
      </c>
      <c r="B235" s="1">
        <v>45380</v>
      </c>
      <c r="C235">
        <v>19</v>
      </c>
      <c r="D235" t="str">
        <f t="shared" si="31"/>
        <v>2204</v>
      </c>
      <c r="E235" t="str">
        <f t="shared" si="32"/>
        <v>Текущие счета физических лиц</v>
      </c>
      <c r="F235" t="str">
        <f>"2"</f>
        <v>2</v>
      </c>
      <c r="G235" t="str">
        <f t="shared" si="33"/>
        <v>9</v>
      </c>
      <c r="H235" t="str">
        <f>"2"</f>
        <v>2</v>
      </c>
      <c r="I235" s="2">
        <v>283692853.99000001</v>
      </c>
    </row>
    <row r="236" spans="1:9" x14ac:dyDescent="0.25">
      <c r="A236">
        <v>230</v>
      </c>
      <c r="B236" s="1">
        <v>45380</v>
      </c>
      <c r="C236">
        <v>19</v>
      </c>
      <c r="D236" t="str">
        <f t="shared" si="31"/>
        <v>2204</v>
      </c>
      <c r="E236" t="str">
        <f t="shared" si="32"/>
        <v>Текущие счета физических лиц</v>
      </c>
      <c r="F236" t="str">
        <f>"1"</f>
        <v>1</v>
      </c>
      <c r="G236" t="str">
        <f t="shared" si="33"/>
        <v>9</v>
      </c>
      <c r="H236" t="str">
        <f>"1"</f>
        <v>1</v>
      </c>
      <c r="I236" s="2">
        <v>618172838081.57996</v>
      </c>
    </row>
    <row r="237" spans="1:9" x14ac:dyDescent="0.25">
      <c r="A237">
        <v>275</v>
      </c>
      <c r="B237" s="1">
        <v>45380</v>
      </c>
      <c r="C237">
        <v>19</v>
      </c>
      <c r="D237" t="str">
        <f t="shared" si="31"/>
        <v>2204</v>
      </c>
      <c r="E237" t="str">
        <f t="shared" si="32"/>
        <v>Текущие счета физических лиц</v>
      </c>
      <c r="F237" t="str">
        <f>"1"</f>
        <v>1</v>
      </c>
      <c r="G237" t="str">
        <f t="shared" si="33"/>
        <v>9</v>
      </c>
      <c r="H237" t="str">
        <f>"3"</f>
        <v>3</v>
      </c>
      <c r="I237" s="2">
        <v>804917827.10000002</v>
      </c>
    </row>
    <row r="238" spans="1:9" x14ac:dyDescent="0.25">
      <c r="A238">
        <v>223</v>
      </c>
      <c r="B238" s="1">
        <v>45380</v>
      </c>
      <c r="C238">
        <v>19</v>
      </c>
      <c r="D238" t="str">
        <f>"2205"</f>
        <v>2205</v>
      </c>
      <c r="E238" t="str">
        <f>"Вклады до востребования физических лиц"</f>
        <v>Вклады до востребования физических лиц</v>
      </c>
      <c r="F238" t="str">
        <f>"1"</f>
        <v>1</v>
      </c>
      <c r="G238" t="str">
        <f t="shared" si="33"/>
        <v>9</v>
      </c>
      <c r="H238" t="str">
        <f>"1"</f>
        <v>1</v>
      </c>
      <c r="I238" s="2">
        <v>3933851813.5300002</v>
      </c>
    </row>
    <row r="239" spans="1:9" x14ac:dyDescent="0.25">
      <c r="A239">
        <v>227</v>
      </c>
      <c r="B239" s="1">
        <v>45380</v>
      </c>
      <c r="C239">
        <v>19</v>
      </c>
      <c r="D239" t="str">
        <f>"2205"</f>
        <v>2205</v>
      </c>
      <c r="E239" t="str">
        <f>"Вклады до востребования физических лиц"</f>
        <v>Вклады до востребования физических лиц</v>
      </c>
      <c r="F239" t="str">
        <f>"1"</f>
        <v>1</v>
      </c>
      <c r="G239" t="str">
        <f t="shared" si="33"/>
        <v>9</v>
      </c>
      <c r="H239" t="str">
        <f>"2"</f>
        <v>2</v>
      </c>
      <c r="I239" s="2">
        <v>31367714.18</v>
      </c>
    </row>
    <row r="240" spans="1:9" x14ac:dyDescent="0.25">
      <c r="A240">
        <v>228</v>
      </c>
      <c r="B240" s="1">
        <v>45380</v>
      </c>
      <c r="C240">
        <v>19</v>
      </c>
      <c r="D240" t="str">
        <f>"2205"</f>
        <v>2205</v>
      </c>
      <c r="E240" t="str">
        <f>"Вклады до востребования физических лиц"</f>
        <v>Вклады до востребования физических лиц</v>
      </c>
      <c r="F240" t="str">
        <f>"1"</f>
        <v>1</v>
      </c>
      <c r="G240" t="str">
        <f t="shared" si="33"/>
        <v>9</v>
      </c>
      <c r="H240" t="str">
        <f>"3"</f>
        <v>3</v>
      </c>
      <c r="I240" s="2">
        <v>445622.53</v>
      </c>
    </row>
    <row r="241" spans="1:9" x14ac:dyDescent="0.25">
      <c r="A241">
        <v>233</v>
      </c>
      <c r="B241" s="1">
        <v>45380</v>
      </c>
      <c r="C241">
        <v>19</v>
      </c>
      <c r="D241" t="str">
        <f>"2205"</f>
        <v>2205</v>
      </c>
      <c r="E241" t="str">
        <f>"Вклады до востребования физических лиц"</f>
        <v>Вклады до востребования физических лиц</v>
      </c>
      <c r="F241" t="str">
        <f>"2"</f>
        <v>2</v>
      </c>
      <c r="G241" t="str">
        <f t="shared" si="33"/>
        <v>9</v>
      </c>
      <c r="H241" t="str">
        <f>"2"</f>
        <v>2</v>
      </c>
      <c r="I241" s="2">
        <v>21510311.699999999</v>
      </c>
    </row>
    <row r="242" spans="1:9" x14ac:dyDescent="0.25">
      <c r="A242">
        <v>249</v>
      </c>
      <c r="B242" s="1">
        <v>45380</v>
      </c>
      <c r="C242">
        <v>19</v>
      </c>
      <c r="D242" t="str">
        <f>"2205"</f>
        <v>2205</v>
      </c>
      <c r="E242" t="str">
        <f>"Вклады до востребования физических лиц"</f>
        <v>Вклады до востребования физических лиц</v>
      </c>
      <c r="F242" t="str">
        <f>"2"</f>
        <v>2</v>
      </c>
      <c r="G242" t="str">
        <f t="shared" si="33"/>
        <v>9</v>
      </c>
      <c r="H242" t="str">
        <f>"1"</f>
        <v>1</v>
      </c>
      <c r="I242" s="2">
        <v>31361648.539999999</v>
      </c>
    </row>
    <row r="243" spans="1:9" x14ac:dyDescent="0.25">
      <c r="A243">
        <v>231</v>
      </c>
      <c r="B243" s="1">
        <v>45380</v>
      </c>
      <c r="C243">
        <v>19</v>
      </c>
      <c r="D243" t="str">
        <f>"2206"</f>
        <v>2206</v>
      </c>
      <c r="E243" t="str">
        <f>"Краткосрочные вклады физических лиц"</f>
        <v>Краткосрочные вклады физических лиц</v>
      </c>
      <c r="F243" t="str">
        <f>"1"</f>
        <v>1</v>
      </c>
      <c r="G243" t="str">
        <f t="shared" si="33"/>
        <v>9</v>
      </c>
      <c r="H243" t="str">
        <f>"2"</f>
        <v>2</v>
      </c>
      <c r="I243" s="2">
        <v>138764535640.89999</v>
      </c>
    </row>
    <row r="244" spans="1:9" x14ac:dyDescent="0.25">
      <c r="A244">
        <v>234</v>
      </c>
      <c r="B244" s="1">
        <v>45380</v>
      </c>
      <c r="C244">
        <v>19</v>
      </c>
      <c r="D244" t="str">
        <f>"2206"</f>
        <v>2206</v>
      </c>
      <c r="E244" t="str">
        <f>"Краткосрочные вклады физических лиц"</f>
        <v>Краткосрочные вклады физических лиц</v>
      </c>
      <c r="F244" t="str">
        <f>"2"</f>
        <v>2</v>
      </c>
      <c r="G244" t="str">
        <f t="shared" si="33"/>
        <v>9</v>
      </c>
      <c r="H244" t="str">
        <f>"2"</f>
        <v>2</v>
      </c>
      <c r="I244" s="2">
        <v>1075009362.6199999</v>
      </c>
    </row>
    <row r="245" spans="1:9" x14ac:dyDescent="0.25">
      <c r="A245">
        <v>240</v>
      </c>
      <c r="B245" s="1">
        <v>45380</v>
      </c>
      <c r="C245">
        <v>19</v>
      </c>
      <c r="D245" t="str">
        <f>"2206"</f>
        <v>2206</v>
      </c>
      <c r="E245" t="str">
        <f>"Краткосрочные вклады физических лиц"</f>
        <v>Краткосрочные вклады физических лиц</v>
      </c>
      <c r="F245" t="str">
        <f>"1"</f>
        <v>1</v>
      </c>
      <c r="G245" t="str">
        <f t="shared" si="33"/>
        <v>9</v>
      </c>
      <c r="H245" t="str">
        <f>"1"</f>
        <v>1</v>
      </c>
      <c r="I245" s="2">
        <v>852567614699.31995</v>
      </c>
    </row>
    <row r="246" spans="1:9" x14ac:dyDescent="0.25">
      <c r="A246">
        <v>286</v>
      </c>
      <c r="B246" s="1">
        <v>45380</v>
      </c>
      <c r="C246">
        <v>19</v>
      </c>
      <c r="D246" t="str">
        <f>"2206"</f>
        <v>2206</v>
      </c>
      <c r="E246" t="str">
        <f>"Краткосрочные вклады физических лиц"</f>
        <v>Краткосрочные вклады физических лиц</v>
      </c>
      <c r="F246" t="str">
        <f>"2"</f>
        <v>2</v>
      </c>
      <c r="G246" t="str">
        <f t="shared" si="33"/>
        <v>9</v>
      </c>
      <c r="H246" t="str">
        <f>"1"</f>
        <v>1</v>
      </c>
      <c r="I246" s="2">
        <v>2700576175.8499999</v>
      </c>
    </row>
    <row r="247" spans="1:9" x14ac:dyDescent="0.25">
      <c r="A247">
        <v>232</v>
      </c>
      <c r="B247" s="1">
        <v>45380</v>
      </c>
      <c r="C247">
        <v>19</v>
      </c>
      <c r="D247" t="str">
        <f>"2207"</f>
        <v>2207</v>
      </c>
      <c r="E247" t="str">
        <f>"Долгосрочные вклады физических лиц"</f>
        <v>Долгосрочные вклады физических лиц</v>
      </c>
      <c r="F247" t="str">
        <f>"1"</f>
        <v>1</v>
      </c>
      <c r="G247" t="str">
        <f t="shared" si="33"/>
        <v>9</v>
      </c>
      <c r="H247" t="str">
        <f>"2"</f>
        <v>2</v>
      </c>
      <c r="I247" s="2">
        <v>262436995764.20999</v>
      </c>
    </row>
    <row r="248" spans="1:9" x14ac:dyDescent="0.25">
      <c r="A248">
        <v>236</v>
      </c>
      <c r="B248" s="1">
        <v>45380</v>
      </c>
      <c r="C248">
        <v>19</v>
      </c>
      <c r="D248" t="str">
        <f>"2207"</f>
        <v>2207</v>
      </c>
      <c r="E248" t="str">
        <f>"Долгосрочные вклады физических лиц"</f>
        <v>Долгосрочные вклады физических лиц</v>
      </c>
      <c r="F248" t="str">
        <f>"2"</f>
        <v>2</v>
      </c>
      <c r="G248" t="str">
        <f t="shared" si="33"/>
        <v>9</v>
      </c>
      <c r="H248" t="str">
        <f>"2"</f>
        <v>2</v>
      </c>
      <c r="I248" s="2">
        <v>26587090850.650002</v>
      </c>
    </row>
    <row r="249" spans="1:9" x14ac:dyDescent="0.25">
      <c r="A249">
        <v>237</v>
      </c>
      <c r="B249" s="1">
        <v>45380</v>
      </c>
      <c r="C249">
        <v>19</v>
      </c>
      <c r="D249" t="str">
        <f>"2207"</f>
        <v>2207</v>
      </c>
      <c r="E249" t="str">
        <f>"Долгосрочные вклады физических лиц"</f>
        <v>Долгосрочные вклады физических лиц</v>
      </c>
      <c r="F249" t="str">
        <f>"1"</f>
        <v>1</v>
      </c>
      <c r="G249" t="str">
        <f t="shared" si="33"/>
        <v>9</v>
      </c>
      <c r="H249" t="str">
        <f>"1"</f>
        <v>1</v>
      </c>
      <c r="I249" s="2">
        <v>2921538221708.3501</v>
      </c>
    </row>
    <row r="250" spans="1:9" x14ac:dyDescent="0.25">
      <c r="A250">
        <v>238</v>
      </c>
      <c r="B250" s="1">
        <v>45380</v>
      </c>
      <c r="C250">
        <v>19</v>
      </c>
      <c r="D250" t="str">
        <f>"2207"</f>
        <v>2207</v>
      </c>
      <c r="E250" t="str">
        <f>"Долгосрочные вклады физических лиц"</f>
        <v>Долгосрочные вклады физических лиц</v>
      </c>
      <c r="F250" t="str">
        <f>"2"</f>
        <v>2</v>
      </c>
      <c r="G250" t="str">
        <f t="shared" si="33"/>
        <v>9</v>
      </c>
      <c r="H250" t="str">
        <f>"1"</f>
        <v>1</v>
      </c>
      <c r="I250" s="2">
        <v>53075527191.690002</v>
      </c>
    </row>
    <row r="251" spans="1:9" x14ac:dyDescent="0.25">
      <c r="A251">
        <v>235</v>
      </c>
      <c r="B251" s="1">
        <v>45380</v>
      </c>
      <c r="C251">
        <v>19</v>
      </c>
      <c r="D251" t="str">
        <f>"2208"</f>
        <v>2208</v>
      </c>
      <c r="E251" t="str">
        <f>"Условные вклады физических лиц"</f>
        <v>Условные вклады физических лиц</v>
      </c>
      <c r="F251" t="str">
        <f>"1"</f>
        <v>1</v>
      </c>
      <c r="G251" t="str">
        <f t="shared" si="33"/>
        <v>9</v>
      </c>
      <c r="H251" t="str">
        <f>"1"</f>
        <v>1</v>
      </c>
      <c r="I251" s="2">
        <v>764542.64</v>
      </c>
    </row>
    <row r="252" spans="1:9" x14ac:dyDescent="0.25">
      <c r="A252">
        <v>239</v>
      </c>
      <c r="B252" s="1">
        <v>45380</v>
      </c>
      <c r="C252">
        <v>19</v>
      </c>
      <c r="D252" t="str">
        <f>"2208"</f>
        <v>2208</v>
      </c>
      <c r="E252" t="str">
        <f>"Условные вклады физических лиц"</f>
        <v>Условные вклады физических лиц</v>
      </c>
      <c r="F252" t="str">
        <f>"1"</f>
        <v>1</v>
      </c>
      <c r="G252" t="str">
        <f t="shared" si="33"/>
        <v>9</v>
      </c>
      <c r="H252" t="str">
        <f>"2"</f>
        <v>2</v>
      </c>
      <c r="I252" s="2">
        <v>23071.72</v>
      </c>
    </row>
    <row r="253" spans="1:9" x14ac:dyDescent="0.25">
      <c r="A253">
        <v>241</v>
      </c>
      <c r="B253" s="1">
        <v>45380</v>
      </c>
      <c r="C253">
        <v>19</v>
      </c>
      <c r="D253" t="str">
        <f>"2208"</f>
        <v>2208</v>
      </c>
      <c r="E253" t="str">
        <f>"Условные вклады физических лиц"</f>
        <v>Условные вклады физических лиц</v>
      </c>
      <c r="F253" t="str">
        <f>"2"</f>
        <v>2</v>
      </c>
      <c r="G253" t="str">
        <f t="shared" si="33"/>
        <v>9</v>
      </c>
      <c r="H253" t="str">
        <f>"1"</f>
        <v>1</v>
      </c>
      <c r="I253" s="2">
        <v>25000</v>
      </c>
    </row>
    <row r="254" spans="1:9" x14ac:dyDescent="0.25">
      <c r="A254">
        <v>244</v>
      </c>
      <c r="B254" s="1">
        <v>45380</v>
      </c>
      <c r="C254">
        <v>19</v>
      </c>
      <c r="D254" t="str">
        <f>"2213"</f>
        <v>2213</v>
      </c>
      <c r="E25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54" t="str">
        <f t="shared" ref="F254:F265" si="34">"1"</f>
        <v>1</v>
      </c>
      <c r="G254" t="str">
        <f t="shared" si="33"/>
        <v>9</v>
      </c>
      <c r="H254" t="str">
        <f>"1"</f>
        <v>1</v>
      </c>
      <c r="I254" s="2">
        <v>0.4</v>
      </c>
    </row>
    <row r="255" spans="1:9" x14ac:dyDescent="0.25">
      <c r="A255">
        <v>242</v>
      </c>
      <c r="B255" s="1">
        <v>45380</v>
      </c>
      <c r="C255">
        <v>19</v>
      </c>
      <c r="D255" t="str">
        <f t="shared" ref="D255:D260" si="35">"2215"</f>
        <v>2215</v>
      </c>
      <c r="E255" t="str">
        <f t="shared" ref="E255:E260" si="36">"Краткосрочные вклады юридических лиц"</f>
        <v>Краткосрочные вклады юридических лиц</v>
      </c>
      <c r="F255" t="str">
        <f t="shared" si="34"/>
        <v>1</v>
      </c>
      <c r="G255" t="str">
        <f>"6"</f>
        <v>6</v>
      </c>
      <c r="H255" t="str">
        <f>"1"</f>
        <v>1</v>
      </c>
      <c r="I255" s="2">
        <v>291337871</v>
      </c>
    </row>
    <row r="256" spans="1:9" x14ac:dyDescent="0.25">
      <c r="A256">
        <v>243</v>
      </c>
      <c r="B256" s="1">
        <v>45380</v>
      </c>
      <c r="C256">
        <v>19</v>
      </c>
      <c r="D256" t="str">
        <f t="shared" si="35"/>
        <v>2215</v>
      </c>
      <c r="E256" t="str">
        <f t="shared" si="36"/>
        <v>Краткосрочные вклады юридических лиц</v>
      </c>
      <c r="F256" t="str">
        <f t="shared" si="34"/>
        <v>1</v>
      </c>
      <c r="G256" t="str">
        <f>"5"</f>
        <v>5</v>
      </c>
      <c r="H256" t="str">
        <f>"1"</f>
        <v>1</v>
      </c>
      <c r="I256" s="2">
        <v>371983000000</v>
      </c>
    </row>
    <row r="257" spans="1:9" x14ac:dyDescent="0.25">
      <c r="A257">
        <v>245</v>
      </c>
      <c r="B257" s="1">
        <v>45380</v>
      </c>
      <c r="C257">
        <v>19</v>
      </c>
      <c r="D257" t="str">
        <f t="shared" si="35"/>
        <v>2215</v>
      </c>
      <c r="E257" t="str">
        <f t="shared" si="36"/>
        <v>Краткосрочные вклады юридических лиц</v>
      </c>
      <c r="F257" t="str">
        <f t="shared" si="34"/>
        <v>1</v>
      </c>
      <c r="G257" t="str">
        <f>"7"</f>
        <v>7</v>
      </c>
      <c r="H257" t="str">
        <f>"2"</f>
        <v>2</v>
      </c>
      <c r="I257" s="2">
        <v>1412419102.28</v>
      </c>
    </row>
    <row r="258" spans="1:9" x14ac:dyDescent="0.25">
      <c r="A258">
        <v>246</v>
      </c>
      <c r="B258" s="1">
        <v>45380</v>
      </c>
      <c r="C258">
        <v>19</v>
      </c>
      <c r="D258" t="str">
        <f t="shared" si="35"/>
        <v>2215</v>
      </c>
      <c r="E258" t="str">
        <f t="shared" si="36"/>
        <v>Краткосрочные вклады юридических лиц</v>
      </c>
      <c r="F258" t="str">
        <f t="shared" si="34"/>
        <v>1</v>
      </c>
      <c r="G258" t="str">
        <f>"7"</f>
        <v>7</v>
      </c>
      <c r="H258" t="str">
        <f>"1"</f>
        <v>1</v>
      </c>
      <c r="I258" s="2">
        <v>16397136275.51</v>
      </c>
    </row>
    <row r="259" spans="1:9" x14ac:dyDescent="0.25">
      <c r="A259">
        <v>252</v>
      </c>
      <c r="B259" s="1">
        <v>45380</v>
      </c>
      <c r="C259">
        <v>19</v>
      </c>
      <c r="D259" t="str">
        <f t="shared" si="35"/>
        <v>2215</v>
      </c>
      <c r="E259" t="str">
        <f t="shared" si="36"/>
        <v>Краткосрочные вклады юридических лиц</v>
      </c>
      <c r="F259" t="str">
        <f t="shared" si="34"/>
        <v>1</v>
      </c>
      <c r="G259" t="str">
        <f>"8"</f>
        <v>8</v>
      </c>
      <c r="H259" t="str">
        <f>"1"</f>
        <v>1</v>
      </c>
      <c r="I259" s="2">
        <v>8138727840.4200001</v>
      </c>
    </row>
    <row r="260" spans="1:9" x14ac:dyDescent="0.25">
      <c r="A260">
        <v>253</v>
      </c>
      <c r="B260" s="1">
        <v>45380</v>
      </c>
      <c r="C260">
        <v>19</v>
      </c>
      <c r="D260" t="str">
        <f t="shared" si="35"/>
        <v>2215</v>
      </c>
      <c r="E260" t="str">
        <f t="shared" si="36"/>
        <v>Краткосрочные вклады юридических лиц</v>
      </c>
      <c r="F260" t="str">
        <f t="shared" si="34"/>
        <v>1</v>
      </c>
      <c r="G260" t="str">
        <f>"7"</f>
        <v>7</v>
      </c>
      <c r="H260" t="str">
        <f>"3"</f>
        <v>3</v>
      </c>
      <c r="I260" s="2">
        <v>14520000</v>
      </c>
    </row>
    <row r="261" spans="1:9" x14ac:dyDescent="0.25">
      <c r="A261">
        <v>247</v>
      </c>
      <c r="B261" s="1">
        <v>45380</v>
      </c>
      <c r="C261">
        <v>19</v>
      </c>
      <c r="D261" t="str">
        <f>"2217"</f>
        <v>2217</v>
      </c>
      <c r="E261" t="str">
        <f>"Долгосрочные вклады юридических лиц"</f>
        <v>Долгосрочные вклады юридических лиц</v>
      </c>
      <c r="F261" t="str">
        <f t="shared" si="34"/>
        <v>1</v>
      </c>
      <c r="G261" t="str">
        <f>"7"</f>
        <v>7</v>
      </c>
      <c r="H261" t="str">
        <f>"2"</f>
        <v>2</v>
      </c>
      <c r="I261" s="2">
        <v>476997495.44</v>
      </c>
    </row>
    <row r="262" spans="1:9" x14ac:dyDescent="0.25">
      <c r="A262">
        <v>248</v>
      </c>
      <c r="B262" s="1">
        <v>45380</v>
      </c>
      <c r="C262">
        <v>19</v>
      </c>
      <c r="D262" t="str">
        <f>"2217"</f>
        <v>2217</v>
      </c>
      <c r="E262" t="str">
        <f>"Долгосрочные вклады юридических лиц"</f>
        <v>Долгосрочные вклады юридических лиц</v>
      </c>
      <c r="F262" t="str">
        <f t="shared" si="34"/>
        <v>1</v>
      </c>
      <c r="G262" t="str">
        <f>"5"</f>
        <v>5</v>
      </c>
      <c r="H262" t="str">
        <f>"1"</f>
        <v>1</v>
      </c>
      <c r="I262" s="2">
        <v>25775946850.5</v>
      </c>
    </row>
    <row r="263" spans="1:9" x14ac:dyDescent="0.25">
      <c r="A263">
        <v>250</v>
      </c>
      <c r="B263" s="1">
        <v>45380</v>
      </c>
      <c r="C263">
        <v>19</v>
      </c>
      <c r="D263" t="str">
        <f>"2217"</f>
        <v>2217</v>
      </c>
      <c r="E263" t="str">
        <f>"Долгосрочные вклады юридических лиц"</f>
        <v>Долгосрочные вклады юридических лиц</v>
      </c>
      <c r="F263" t="str">
        <f t="shared" si="34"/>
        <v>1</v>
      </c>
      <c r="G263" t="str">
        <f>"6"</f>
        <v>6</v>
      </c>
      <c r="H263" t="str">
        <f>"1"</f>
        <v>1</v>
      </c>
      <c r="I263" s="2">
        <v>1171428571.5699999</v>
      </c>
    </row>
    <row r="264" spans="1:9" x14ac:dyDescent="0.25">
      <c r="A264">
        <v>251</v>
      </c>
      <c r="B264" s="1">
        <v>45380</v>
      </c>
      <c r="C264">
        <v>19</v>
      </c>
      <c r="D264" t="str">
        <f>"2219"</f>
        <v>2219</v>
      </c>
      <c r="E264" t="str">
        <f>"Условные вклады юридических лиц"</f>
        <v>Условные вклады юридических лиц</v>
      </c>
      <c r="F264" t="str">
        <f t="shared" si="34"/>
        <v>1</v>
      </c>
      <c r="G264" t="str">
        <f>"7"</f>
        <v>7</v>
      </c>
      <c r="H264" t="str">
        <f>"1"</f>
        <v>1</v>
      </c>
      <c r="I264" s="2">
        <v>69787037.209999993</v>
      </c>
    </row>
    <row r="265" spans="1:9" x14ac:dyDescent="0.25">
      <c r="A265">
        <v>254</v>
      </c>
      <c r="B265" s="1">
        <v>45380</v>
      </c>
      <c r="C265">
        <v>19</v>
      </c>
      <c r="D265" t="str">
        <f>"2219"</f>
        <v>2219</v>
      </c>
      <c r="E265" t="str">
        <f>"Условные вклады юридических лиц"</f>
        <v>Условные вклады юридических лиц</v>
      </c>
      <c r="F265" t="str">
        <f t="shared" si="34"/>
        <v>1</v>
      </c>
      <c r="G265" t="str">
        <f>"6"</f>
        <v>6</v>
      </c>
      <c r="H265" t="str">
        <f>"1"</f>
        <v>1</v>
      </c>
      <c r="I265" s="2">
        <v>10000</v>
      </c>
    </row>
    <row r="266" spans="1:9" x14ac:dyDescent="0.25">
      <c r="A266">
        <v>265</v>
      </c>
      <c r="B266" s="1">
        <v>45380</v>
      </c>
      <c r="C266">
        <v>19</v>
      </c>
      <c r="D266" t="str">
        <f>"2219"</f>
        <v>2219</v>
      </c>
      <c r="E266" t="str">
        <f>"Условные вклады юридических лиц"</f>
        <v>Условные вклады юридических лиц</v>
      </c>
      <c r="F266" t="str">
        <f>"2"</f>
        <v>2</v>
      </c>
      <c r="G266" t="str">
        <f>"7"</f>
        <v>7</v>
      </c>
      <c r="H266" t="str">
        <f>"2"</f>
        <v>2</v>
      </c>
      <c r="I266" s="2">
        <v>134034</v>
      </c>
    </row>
    <row r="267" spans="1:9" x14ac:dyDescent="0.25">
      <c r="A267">
        <v>268</v>
      </c>
      <c r="B267" s="1">
        <v>45380</v>
      </c>
      <c r="C267">
        <v>19</v>
      </c>
      <c r="D267" t="str">
        <f>"2219"</f>
        <v>2219</v>
      </c>
      <c r="E267" t="str">
        <f>"Условные вклады юридических лиц"</f>
        <v>Условные вклады юридических лиц</v>
      </c>
      <c r="F267" t="str">
        <f>"2"</f>
        <v>2</v>
      </c>
      <c r="G267" t="str">
        <f>"6"</f>
        <v>6</v>
      </c>
      <c r="H267" t="str">
        <f>"2"</f>
        <v>2</v>
      </c>
      <c r="I267" s="2">
        <v>500393.6</v>
      </c>
    </row>
    <row r="268" spans="1:9" x14ac:dyDescent="0.25">
      <c r="A268">
        <v>255</v>
      </c>
      <c r="B268" s="1">
        <v>45380</v>
      </c>
      <c r="C268">
        <v>19</v>
      </c>
      <c r="D268" t="str">
        <f t="shared" ref="D268:D277" si="37">"2237"</f>
        <v>2237</v>
      </c>
      <c r="E268" t="str">
        <f t="shared" ref="E268:E277" si="38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68" t="str">
        <f t="shared" ref="F268:F275" si="39">"1"</f>
        <v>1</v>
      </c>
      <c r="G268" t="str">
        <f>"7"</f>
        <v>7</v>
      </c>
      <c r="H268" t="str">
        <f>"3"</f>
        <v>3</v>
      </c>
      <c r="I268" s="2">
        <v>123867204.78</v>
      </c>
    </row>
    <row r="269" spans="1:9" x14ac:dyDescent="0.25">
      <c r="A269">
        <v>256</v>
      </c>
      <c r="B269" s="1">
        <v>45380</v>
      </c>
      <c r="C269">
        <v>19</v>
      </c>
      <c r="D269" t="str">
        <f t="shared" si="37"/>
        <v>2237</v>
      </c>
      <c r="E269" t="str">
        <f t="shared" si="38"/>
        <v>Счет хранения указаний отправителя в соответствии с валютным законодательством Республики Казахстан</v>
      </c>
      <c r="F269" t="str">
        <f t="shared" si="39"/>
        <v>1</v>
      </c>
      <c r="G269" t="str">
        <f>"7"</f>
        <v>7</v>
      </c>
      <c r="H269" t="str">
        <f>"2"</f>
        <v>2</v>
      </c>
      <c r="I269" s="2">
        <v>256388630.81</v>
      </c>
    </row>
    <row r="270" spans="1:9" x14ac:dyDescent="0.25">
      <c r="A270">
        <v>257</v>
      </c>
      <c r="B270" s="1">
        <v>45380</v>
      </c>
      <c r="C270">
        <v>19</v>
      </c>
      <c r="D270" t="str">
        <f t="shared" si="37"/>
        <v>2237</v>
      </c>
      <c r="E270" t="str">
        <f t="shared" si="38"/>
        <v>Счет хранения указаний отправителя в соответствии с валютным законодательством Республики Казахстан</v>
      </c>
      <c r="F270" t="str">
        <f t="shared" si="39"/>
        <v>1</v>
      </c>
      <c r="G270" t="str">
        <f>"8"</f>
        <v>8</v>
      </c>
      <c r="H270" t="str">
        <f>"2"</f>
        <v>2</v>
      </c>
      <c r="I270" s="2">
        <v>34654804.049999997</v>
      </c>
    </row>
    <row r="271" spans="1:9" x14ac:dyDescent="0.25">
      <c r="A271">
        <v>258</v>
      </c>
      <c r="B271" s="1">
        <v>45380</v>
      </c>
      <c r="C271">
        <v>19</v>
      </c>
      <c r="D271" t="str">
        <f t="shared" si="37"/>
        <v>2237</v>
      </c>
      <c r="E271" t="str">
        <f t="shared" si="38"/>
        <v>Счет хранения указаний отправителя в соответствии с валютным законодательством Республики Казахстан</v>
      </c>
      <c r="F271" t="str">
        <f t="shared" si="39"/>
        <v>1</v>
      </c>
      <c r="G271" t="str">
        <f>"9"</f>
        <v>9</v>
      </c>
      <c r="H271" t="str">
        <f>"2"</f>
        <v>2</v>
      </c>
      <c r="I271" s="2">
        <v>809189339.23000002</v>
      </c>
    </row>
    <row r="272" spans="1:9" x14ac:dyDescent="0.25">
      <c r="A272">
        <v>259</v>
      </c>
      <c r="B272" s="1">
        <v>45380</v>
      </c>
      <c r="C272">
        <v>19</v>
      </c>
      <c r="D272" t="str">
        <f t="shared" si="37"/>
        <v>2237</v>
      </c>
      <c r="E272" t="str">
        <f t="shared" si="38"/>
        <v>Счет хранения указаний отправителя в соответствии с валютным законодательством Республики Казахстан</v>
      </c>
      <c r="F272" t="str">
        <f t="shared" si="39"/>
        <v>1</v>
      </c>
      <c r="G272" t="str">
        <f>"9"</f>
        <v>9</v>
      </c>
      <c r="H272" t="str">
        <f>"1"</f>
        <v>1</v>
      </c>
      <c r="I272" s="2">
        <v>32311084.469999999</v>
      </c>
    </row>
    <row r="273" spans="1:9" x14ac:dyDescent="0.25">
      <c r="A273">
        <v>260</v>
      </c>
      <c r="B273" s="1">
        <v>45380</v>
      </c>
      <c r="C273">
        <v>19</v>
      </c>
      <c r="D273" t="str">
        <f t="shared" si="37"/>
        <v>2237</v>
      </c>
      <c r="E273" t="str">
        <f t="shared" si="38"/>
        <v>Счет хранения указаний отправителя в соответствии с валютным законодательством Республики Казахстан</v>
      </c>
      <c r="F273" t="str">
        <f t="shared" si="39"/>
        <v>1</v>
      </c>
      <c r="G273" t="str">
        <f>"8"</f>
        <v>8</v>
      </c>
      <c r="H273" t="str">
        <f>"1"</f>
        <v>1</v>
      </c>
      <c r="I273" s="2">
        <v>50000</v>
      </c>
    </row>
    <row r="274" spans="1:9" x14ac:dyDescent="0.25">
      <c r="A274">
        <v>261</v>
      </c>
      <c r="B274" s="1">
        <v>45380</v>
      </c>
      <c r="C274">
        <v>19</v>
      </c>
      <c r="D274" t="str">
        <f t="shared" si="37"/>
        <v>2237</v>
      </c>
      <c r="E274" t="str">
        <f t="shared" si="38"/>
        <v>Счет хранения указаний отправителя в соответствии с валютным законодательством Республики Казахстан</v>
      </c>
      <c r="F274" t="str">
        <f t="shared" si="39"/>
        <v>1</v>
      </c>
      <c r="G274" t="str">
        <f>"8"</f>
        <v>8</v>
      </c>
      <c r="H274" t="str">
        <f>"3"</f>
        <v>3</v>
      </c>
      <c r="I274" s="2">
        <v>72600</v>
      </c>
    </row>
    <row r="275" spans="1:9" x14ac:dyDescent="0.25">
      <c r="A275">
        <v>282</v>
      </c>
      <c r="B275" s="1">
        <v>45380</v>
      </c>
      <c r="C275">
        <v>19</v>
      </c>
      <c r="D275" t="str">
        <f t="shared" si="37"/>
        <v>2237</v>
      </c>
      <c r="E275" t="str">
        <f t="shared" si="38"/>
        <v>Счет хранения указаний отправителя в соответствии с валютным законодательством Республики Казахстан</v>
      </c>
      <c r="F275" t="str">
        <f t="shared" si="39"/>
        <v>1</v>
      </c>
      <c r="G275" t="str">
        <f>"9"</f>
        <v>9</v>
      </c>
      <c r="H275" t="str">
        <f>"3"</f>
        <v>3</v>
      </c>
      <c r="I275" s="2">
        <v>40064499.789999999</v>
      </c>
    </row>
    <row r="276" spans="1:9" x14ac:dyDescent="0.25">
      <c r="A276">
        <v>283</v>
      </c>
      <c r="B276" s="1">
        <v>45380</v>
      </c>
      <c r="C276">
        <v>19</v>
      </c>
      <c r="D276" t="str">
        <f t="shared" si="37"/>
        <v>2237</v>
      </c>
      <c r="E276" t="str">
        <f t="shared" si="38"/>
        <v>Счет хранения указаний отправителя в соответствии с валютным законодательством Республики Казахстан</v>
      </c>
      <c r="F276" t="str">
        <f>"2"</f>
        <v>2</v>
      </c>
      <c r="G276" t="str">
        <f>"9"</f>
        <v>9</v>
      </c>
      <c r="H276" t="str">
        <f>"1"</f>
        <v>1</v>
      </c>
      <c r="I276" s="2">
        <v>29314696.899999999</v>
      </c>
    </row>
    <row r="277" spans="1:9" x14ac:dyDescent="0.25">
      <c r="A277">
        <v>297</v>
      </c>
      <c r="B277" s="1">
        <v>45380</v>
      </c>
      <c r="C277">
        <v>19</v>
      </c>
      <c r="D277" t="str">
        <f t="shared" si="37"/>
        <v>2237</v>
      </c>
      <c r="E277" t="str">
        <f t="shared" si="38"/>
        <v>Счет хранения указаний отправителя в соответствии с валютным законодательством Республики Казахстан</v>
      </c>
      <c r="F277" t="str">
        <f t="shared" ref="F277:F285" si="40">"1"</f>
        <v>1</v>
      </c>
      <c r="G277" t="str">
        <f>"7"</f>
        <v>7</v>
      </c>
      <c r="H277" t="str">
        <f>"1"</f>
        <v>1</v>
      </c>
      <c r="I277" s="2">
        <v>55563685.590000004</v>
      </c>
    </row>
    <row r="278" spans="1:9" x14ac:dyDescent="0.25">
      <c r="A278">
        <v>262</v>
      </c>
      <c r="B278" s="1">
        <v>45380</v>
      </c>
      <c r="C278">
        <v>19</v>
      </c>
      <c r="D278" t="str">
        <f t="shared" ref="D278:D283" si="41">"2239"</f>
        <v>2239</v>
      </c>
      <c r="E278" t="str">
        <f t="shared" ref="E278:E283" si="42">"Дисконт по вкладам, привлеченным от клиентов"</f>
        <v>Дисконт по вкладам, привлеченным от клиентов</v>
      </c>
      <c r="F278" t="str">
        <f t="shared" si="40"/>
        <v>1</v>
      </c>
      <c r="G278" t="str">
        <f>"5"</f>
        <v>5</v>
      </c>
      <c r="H278" t="str">
        <f>"1"</f>
        <v>1</v>
      </c>
      <c r="I278" s="2">
        <v>-3648120.22</v>
      </c>
    </row>
    <row r="279" spans="1:9" x14ac:dyDescent="0.25">
      <c r="A279">
        <v>264</v>
      </c>
      <c r="B279" s="1">
        <v>45380</v>
      </c>
      <c r="C279">
        <v>19</v>
      </c>
      <c r="D279" t="str">
        <f t="shared" si="41"/>
        <v>2239</v>
      </c>
      <c r="E279" t="str">
        <f t="shared" si="42"/>
        <v>Дисконт по вкладам, привлеченным от клиентов</v>
      </c>
      <c r="F279" t="str">
        <f t="shared" si="40"/>
        <v>1</v>
      </c>
      <c r="G279" t="str">
        <f>"7"</f>
        <v>7</v>
      </c>
      <c r="H279" t="str">
        <f>"2"</f>
        <v>2</v>
      </c>
      <c r="I279" s="2">
        <v>-10681.34</v>
      </c>
    </row>
    <row r="280" spans="1:9" x14ac:dyDescent="0.25">
      <c r="A280">
        <v>266</v>
      </c>
      <c r="B280" s="1">
        <v>45380</v>
      </c>
      <c r="C280">
        <v>19</v>
      </c>
      <c r="D280" t="str">
        <f t="shared" si="41"/>
        <v>2239</v>
      </c>
      <c r="E280" t="str">
        <f t="shared" si="42"/>
        <v>Дисконт по вкладам, привлеченным от клиентов</v>
      </c>
      <c r="F280" t="str">
        <f t="shared" si="40"/>
        <v>1</v>
      </c>
      <c r="G280" t="str">
        <f>"6"</f>
        <v>6</v>
      </c>
      <c r="H280" t="str">
        <f>"1"</f>
        <v>1</v>
      </c>
      <c r="I280" s="2">
        <v>-635879.86</v>
      </c>
    </row>
    <row r="281" spans="1:9" x14ac:dyDescent="0.25">
      <c r="A281">
        <v>267</v>
      </c>
      <c r="B281" s="1">
        <v>45380</v>
      </c>
      <c r="C281">
        <v>19</v>
      </c>
      <c r="D281" t="str">
        <f t="shared" si="41"/>
        <v>2239</v>
      </c>
      <c r="E281" t="str">
        <f t="shared" si="42"/>
        <v>Дисконт по вкладам, привлеченным от клиентов</v>
      </c>
      <c r="F281" t="str">
        <f t="shared" si="40"/>
        <v>1</v>
      </c>
      <c r="G281" t="str">
        <f>"8"</f>
        <v>8</v>
      </c>
      <c r="H281" t="str">
        <f>"1"</f>
        <v>1</v>
      </c>
      <c r="I281" s="2">
        <v>-3133690.15</v>
      </c>
    </row>
    <row r="282" spans="1:9" x14ac:dyDescent="0.25">
      <c r="A282">
        <v>272</v>
      </c>
      <c r="B282" s="1">
        <v>45380</v>
      </c>
      <c r="C282">
        <v>19</v>
      </c>
      <c r="D282" t="str">
        <f t="shared" si="41"/>
        <v>2239</v>
      </c>
      <c r="E282" t="str">
        <f t="shared" si="42"/>
        <v>Дисконт по вкладам, привлеченным от клиентов</v>
      </c>
      <c r="F282" t="str">
        <f t="shared" si="40"/>
        <v>1</v>
      </c>
      <c r="G282" t="str">
        <f>"7"</f>
        <v>7</v>
      </c>
      <c r="H282" t="str">
        <f>"3"</f>
        <v>3</v>
      </c>
      <c r="I282" s="2">
        <v>-6706.59</v>
      </c>
    </row>
    <row r="283" spans="1:9" x14ac:dyDescent="0.25">
      <c r="A283">
        <v>273</v>
      </c>
      <c r="B283" s="1">
        <v>45380</v>
      </c>
      <c r="C283">
        <v>19</v>
      </c>
      <c r="D283" t="str">
        <f t="shared" si="41"/>
        <v>2239</v>
      </c>
      <c r="E283" t="str">
        <f t="shared" si="42"/>
        <v>Дисконт по вкладам, привлеченным от клиентов</v>
      </c>
      <c r="F283" t="str">
        <f t="shared" si="40"/>
        <v>1</v>
      </c>
      <c r="G283" t="str">
        <f>"7"</f>
        <v>7</v>
      </c>
      <c r="H283" t="str">
        <f t="shared" ref="H283:H299" si="43">"1"</f>
        <v>1</v>
      </c>
      <c r="I283" s="2">
        <v>-5815696.2300000004</v>
      </c>
    </row>
    <row r="284" spans="1:9" x14ac:dyDescent="0.25">
      <c r="A284">
        <v>269</v>
      </c>
      <c r="B284" s="1">
        <v>45380</v>
      </c>
      <c r="C284">
        <v>19</v>
      </c>
      <c r="D284" t="str">
        <f>"2240"</f>
        <v>2240</v>
      </c>
      <c r="E28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4" t="str">
        <f t="shared" si="40"/>
        <v>1</v>
      </c>
      <c r="G284" t="str">
        <f>"9"</f>
        <v>9</v>
      </c>
      <c r="H284" t="str">
        <f t="shared" si="43"/>
        <v>1</v>
      </c>
      <c r="I284" s="2">
        <v>50460303608.419998</v>
      </c>
    </row>
    <row r="285" spans="1:9" x14ac:dyDescent="0.25">
      <c r="A285">
        <v>271</v>
      </c>
      <c r="B285" s="1">
        <v>45380</v>
      </c>
      <c r="C285">
        <v>19</v>
      </c>
      <c r="D285" t="str">
        <f>"2240"</f>
        <v>2240</v>
      </c>
      <c r="E28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5" t="str">
        <f t="shared" si="40"/>
        <v>1</v>
      </c>
      <c r="G285" t="str">
        <f>"7"</f>
        <v>7</v>
      </c>
      <c r="H285" t="str">
        <f t="shared" si="43"/>
        <v>1</v>
      </c>
      <c r="I285" s="2">
        <v>655125082.05999994</v>
      </c>
    </row>
    <row r="286" spans="1:9" x14ac:dyDescent="0.25">
      <c r="A286">
        <v>274</v>
      </c>
      <c r="B286" s="1">
        <v>45380</v>
      </c>
      <c r="C286">
        <v>19</v>
      </c>
      <c r="D286" t="str">
        <f>"2240"</f>
        <v>2240</v>
      </c>
      <c r="E28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86" t="str">
        <f>"2"</f>
        <v>2</v>
      </c>
      <c r="G286" t="str">
        <f>"9"</f>
        <v>9</v>
      </c>
      <c r="H286" t="str">
        <f t="shared" si="43"/>
        <v>1</v>
      </c>
      <c r="I286" s="2">
        <v>1204101.75</v>
      </c>
    </row>
    <row r="287" spans="1:9" x14ac:dyDescent="0.25">
      <c r="A287">
        <v>285</v>
      </c>
      <c r="B287" s="1">
        <v>45380</v>
      </c>
      <c r="C287">
        <v>19</v>
      </c>
      <c r="D287" t="str">
        <f>"2241"</f>
        <v>2241</v>
      </c>
      <c r="E28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287" t="str">
        <f t="shared" ref="F287:F294" si="44">"1"</f>
        <v>1</v>
      </c>
      <c r="G287" t="str">
        <f>"9"</f>
        <v>9</v>
      </c>
      <c r="H287" t="str">
        <f t="shared" si="43"/>
        <v>1</v>
      </c>
      <c r="I287" s="2">
        <v>216528</v>
      </c>
    </row>
    <row r="288" spans="1:9" x14ac:dyDescent="0.25">
      <c r="A288">
        <v>277</v>
      </c>
      <c r="B288" s="1">
        <v>45380</v>
      </c>
      <c r="C288">
        <v>19</v>
      </c>
      <c r="D288" t="str">
        <f>"2255"</f>
        <v>2255</v>
      </c>
      <c r="E288" t="str">
        <f>"Операции «РЕПО» с ценными бумагами"</f>
        <v>Операции «РЕПО» с ценными бумагами</v>
      </c>
      <c r="F288" t="str">
        <f t="shared" si="44"/>
        <v>1</v>
      </c>
      <c r="G288" t="str">
        <f t="shared" ref="G288:G294" si="45">"5"</f>
        <v>5</v>
      </c>
      <c r="H288" t="str">
        <f t="shared" si="43"/>
        <v>1</v>
      </c>
      <c r="I288" s="2">
        <v>86851803346.850006</v>
      </c>
    </row>
    <row r="289" spans="1:9" x14ac:dyDescent="0.25">
      <c r="A289">
        <v>279</v>
      </c>
      <c r="B289" s="1">
        <v>45380</v>
      </c>
      <c r="C289">
        <v>19</v>
      </c>
      <c r="D289" t="str">
        <f>"2301"</f>
        <v>2301</v>
      </c>
      <c r="E289" t="str">
        <f>"Выпущенные в обращение облигации"</f>
        <v>Выпущенные в обращение облигации</v>
      </c>
      <c r="F289" t="str">
        <f t="shared" si="44"/>
        <v>1</v>
      </c>
      <c r="G289" t="str">
        <f t="shared" si="45"/>
        <v>5</v>
      </c>
      <c r="H289" t="str">
        <f t="shared" si="43"/>
        <v>1</v>
      </c>
      <c r="I289" s="2">
        <v>48996136000</v>
      </c>
    </row>
    <row r="290" spans="1:9" x14ac:dyDescent="0.25">
      <c r="A290">
        <v>276</v>
      </c>
      <c r="B290" s="1">
        <v>45380</v>
      </c>
      <c r="C290">
        <v>19</v>
      </c>
      <c r="D290" t="str">
        <f>"2305"</f>
        <v>2305</v>
      </c>
      <c r="E290" t="str">
        <f>"Дисконт по выпущенным в обращение ценным бумагам"</f>
        <v>Дисконт по выпущенным в обращение ценным бумагам</v>
      </c>
      <c r="F290" t="str">
        <f t="shared" si="44"/>
        <v>1</v>
      </c>
      <c r="G290" t="str">
        <f t="shared" si="45"/>
        <v>5</v>
      </c>
      <c r="H290" t="str">
        <f t="shared" si="43"/>
        <v>1</v>
      </c>
      <c r="I290" s="2">
        <v>-14894325.529999999</v>
      </c>
    </row>
    <row r="291" spans="1:9" x14ac:dyDescent="0.25">
      <c r="A291">
        <v>290</v>
      </c>
      <c r="B291" s="1">
        <v>45380</v>
      </c>
      <c r="C291">
        <v>19</v>
      </c>
      <c r="D291" t="str">
        <f>"2403"</f>
        <v>2403</v>
      </c>
      <c r="E291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291" t="str">
        <f t="shared" si="44"/>
        <v>1</v>
      </c>
      <c r="G291" t="str">
        <f t="shared" si="45"/>
        <v>5</v>
      </c>
      <c r="H291" t="str">
        <f t="shared" si="43"/>
        <v>1</v>
      </c>
      <c r="I291" s="2">
        <v>1823.7</v>
      </c>
    </row>
    <row r="292" spans="1:9" x14ac:dyDescent="0.25">
      <c r="A292">
        <v>278</v>
      </c>
      <c r="B292" s="1">
        <v>45380</v>
      </c>
      <c r="C292">
        <v>19</v>
      </c>
      <c r="D292" t="str">
        <f>"2404"</f>
        <v>2404</v>
      </c>
      <c r="E292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292" t="str">
        <f t="shared" si="44"/>
        <v>1</v>
      </c>
      <c r="G292" t="str">
        <f t="shared" si="45"/>
        <v>5</v>
      </c>
      <c r="H292" t="str">
        <f t="shared" si="43"/>
        <v>1</v>
      </c>
      <c r="I292" s="2">
        <v>-25172387.530000001</v>
      </c>
    </row>
    <row r="293" spans="1:9" x14ac:dyDescent="0.25">
      <c r="A293">
        <v>287</v>
      </c>
      <c r="B293" s="1">
        <v>45380</v>
      </c>
      <c r="C293">
        <v>19</v>
      </c>
      <c r="D293" t="str">
        <f>"2405"</f>
        <v>2405</v>
      </c>
      <c r="E293" t="str">
        <f>"Выкупленные субординированные облигации"</f>
        <v>Выкупленные субординированные облигации</v>
      </c>
      <c r="F293" t="str">
        <f t="shared" si="44"/>
        <v>1</v>
      </c>
      <c r="G293" t="str">
        <f t="shared" si="45"/>
        <v>5</v>
      </c>
      <c r="H293" t="str">
        <f t="shared" si="43"/>
        <v>1</v>
      </c>
      <c r="I293" s="2">
        <v>-401900</v>
      </c>
    </row>
    <row r="294" spans="1:9" x14ac:dyDescent="0.25">
      <c r="A294">
        <v>280</v>
      </c>
      <c r="B294" s="1">
        <v>45380</v>
      </c>
      <c r="C294">
        <v>19</v>
      </c>
      <c r="D294" t="str">
        <f>"2406"</f>
        <v>2406</v>
      </c>
      <c r="E294" t="str">
        <f>"Субординированные облигации"</f>
        <v>Субординированные облигации</v>
      </c>
      <c r="F294" t="str">
        <f t="shared" si="44"/>
        <v>1</v>
      </c>
      <c r="G294" t="str">
        <f t="shared" si="45"/>
        <v>5</v>
      </c>
      <c r="H294" t="str">
        <f t="shared" si="43"/>
        <v>1</v>
      </c>
      <c r="I294" s="2">
        <v>59100599700</v>
      </c>
    </row>
    <row r="295" spans="1:9" x14ac:dyDescent="0.25">
      <c r="A295">
        <v>288</v>
      </c>
      <c r="B295" s="1">
        <v>45380</v>
      </c>
      <c r="C295">
        <v>19</v>
      </c>
      <c r="D295" t="str">
        <f>"2712"</f>
        <v>2712</v>
      </c>
      <c r="E295" t="str">
        <f>"Начисленные расходы по срочным вкладам других банков"</f>
        <v>Начисленные расходы по срочным вкладам других банков</v>
      </c>
      <c r="F295" t="str">
        <f>"2"</f>
        <v>2</v>
      </c>
      <c r="G295" t="str">
        <f>"3"</f>
        <v>3</v>
      </c>
      <c r="H295" t="str">
        <f t="shared" si="43"/>
        <v>1</v>
      </c>
      <c r="I295" s="2">
        <v>34236111.109999999</v>
      </c>
    </row>
    <row r="296" spans="1:9" x14ac:dyDescent="0.25">
      <c r="A296">
        <v>281</v>
      </c>
      <c r="B296" s="1">
        <v>45380</v>
      </c>
      <c r="C296">
        <v>19</v>
      </c>
      <c r="D296" t="str">
        <f>"2719"</f>
        <v>2719</v>
      </c>
      <c r="E296" t="str">
        <f>"Начисленные расходы по условным вкладам клиентов"</f>
        <v>Начисленные расходы по условным вкладам клиентов</v>
      </c>
      <c r="F296" t="str">
        <f>"1"</f>
        <v>1</v>
      </c>
      <c r="G296" t="str">
        <f>"6"</f>
        <v>6</v>
      </c>
      <c r="H296" t="str">
        <f t="shared" si="43"/>
        <v>1</v>
      </c>
      <c r="I296" s="2">
        <v>1376.25</v>
      </c>
    </row>
    <row r="297" spans="1:9" x14ac:dyDescent="0.25">
      <c r="A297">
        <v>284</v>
      </c>
      <c r="B297" s="1">
        <v>45380</v>
      </c>
      <c r="C297">
        <v>19</v>
      </c>
      <c r="D297" t="str">
        <f>"2719"</f>
        <v>2719</v>
      </c>
      <c r="E297" t="str">
        <f>"Начисленные расходы по условным вкладам клиентов"</f>
        <v>Начисленные расходы по условным вкладам клиентов</v>
      </c>
      <c r="F297" t="str">
        <f>"1"</f>
        <v>1</v>
      </c>
      <c r="G297" t="str">
        <f>"9"</f>
        <v>9</v>
      </c>
      <c r="H297" t="str">
        <f t="shared" si="43"/>
        <v>1</v>
      </c>
      <c r="I297" s="2">
        <v>18758.189999999999</v>
      </c>
    </row>
    <row r="298" spans="1:9" x14ac:dyDescent="0.25">
      <c r="A298">
        <v>292</v>
      </c>
      <c r="B298" s="1">
        <v>45380</v>
      </c>
      <c r="C298">
        <v>19</v>
      </c>
      <c r="D298" t="str">
        <f>"2719"</f>
        <v>2719</v>
      </c>
      <c r="E298" t="str">
        <f>"Начисленные расходы по условным вкладам клиентов"</f>
        <v>Начисленные расходы по условным вкладам клиентов</v>
      </c>
      <c r="F298" t="str">
        <f>"1"</f>
        <v>1</v>
      </c>
      <c r="G298" t="str">
        <f>"7"</f>
        <v>7</v>
      </c>
      <c r="H298" t="str">
        <f t="shared" si="43"/>
        <v>1</v>
      </c>
      <c r="I298" s="2">
        <v>1974837.5</v>
      </c>
    </row>
    <row r="299" spans="1:9" x14ac:dyDescent="0.25">
      <c r="A299">
        <v>289</v>
      </c>
      <c r="B299" s="1">
        <v>45380</v>
      </c>
      <c r="C299">
        <v>19</v>
      </c>
      <c r="D299" t="str">
        <f>"2720"</f>
        <v>2720</v>
      </c>
      <c r="E29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299" t="str">
        <f>"1"</f>
        <v>1</v>
      </c>
      <c r="G299" t="str">
        <f>"9"</f>
        <v>9</v>
      </c>
      <c r="H299" t="str">
        <f t="shared" si="43"/>
        <v>1</v>
      </c>
      <c r="I299" s="2">
        <v>2999686.96</v>
      </c>
    </row>
    <row r="300" spans="1:9" x14ac:dyDescent="0.25">
      <c r="A300">
        <v>291</v>
      </c>
      <c r="B300" s="1">
        <v>45380</v>
      </c>
      <c r="C300">
        <v>19</v>
      </c>
      <c r="D300" t="str">
        <f>"2720"</f>
        <v>2720</v>
      </c>
      <c r="E30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0" t="str">
        <f>"1"</f>
        <v>1</v>
      </c>
      <c r="G300" t="str">
        <f>"9"</f>
        <v>9</v>
      </c>
      <c r="H300" t="str">
        <f>"2"</f>
        <v>2</v>
      </c>
      <c r="I300" s="2">
        <v>14087.14</v>
      </c>
    </row>
    <row r="301" spans="1:9" x14ac:dyDescent="0.25">
      <c r="A301">
        <v>293</v>
      </c>
      <c r="B301" s="1">
        <v>45380</v>
      </c>
      <c r="C301">
        <v>19</v>
      </c>
      <c r="D301" t="str">
        <f>"2720"</f>
        <v>2720</v>
      </c>
      <c r="E30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1" t="str">
        <f>"2"</f>
        <v>2</v>
      </c>
      <c r="G301" t="str">
        <f>"9"</f>
        <v>9</v>
      </c>
      <c r="H301" t="str">
        <f>"2"</f>
        <v>2</v>
      </c>
      <c r="I301" s="2">
        <v>11397.41</v>
      </c>
    </row>
    <row r="302" spans="1:9" x14ac:dyDescent="0.25">
      <c r="A302">
        <v>294</v>
      </c>
      <c r="B302" s="1">
        <v>45380</v>
      </c>
      <c r="C302">
        <v>19</v>
      </c>
      <c r="D302" t="str">
        <f>"2720"</f>
        <v>2720</v>
      </c>
      <c r="E30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2" t="str">
        <f>"2"</f>
        <v>2</v>
      </c>
      <c r="G302" t="str">
        <f>"9"</f>
        <v>9</v>
      </c>
      <c r="H302" t="str">
        <f>"1"</f>
        <v>1</v>
      </c>
      <c r="I302" s="2">
        <v>42523.27</v>
      </c>
    </row>
    <row r="303" spans="1:9" x14ac:dyDescent="0.25">
      <c r="A303">
        <v>298</v>
      </c>
      <c r="B303" s="1">
        <v>45380</v>
      </c>
      <c r="C303">
        <v>19</v>
      </c>
      <c r="D303" t="str">
        <f>"2720"</f>
        <v>2720</v>
      </c>
      <c r="E30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3" t="str">
        <f t="shared" ref="F303:F310" si="46">"1"</f>
        <v>1</v>
      </c>
      <c r="G303" t="str">
        <f>"9"</f>
        <v>9</v>
      </c>
      <c r="H303" t="str">
        <f>"3"</f>
        <v>3</v>
      </c>
      <c r="I303" s="2">
        <v>37.22</v>
      </c>
    </row>
    <row r="304" spans="1:9" x14ac:dyDescent="0.25">
      <c r="A304">
        <v>295</v>
      </c>
      <c r="B304" s="1">
        <v>45380</v>
      </c>
      <c r="C304">
        <v>19</v>
      </c>
      <c r="D304" t="str">
        <f t="shared" ref="D304:D313" si="47">"2721"</f>
        <v>2721</v>
      </c>
      <c r="E304" t="str">
        <f t="shared" ref="E304:E313" si="48">"Начисленные расходы по срочным вкладам клиентов"</f>
        <v>Начисленные расходы по срочным вкладам клиентов</v>
      </c>
      <c r="F304" t="str">
        <f t="shared" si="46"/>
        <v>1</v>
      </c>
      <c r="G304" t="str">
        <f>"5"</f>
        <v>5</v>
      </c>
      <c r="H304" t="str">
        <f>"1"</f>
        <v>1</v>
      </c>
      <c r="I304" s="2">
        <v>2836377631.5599999</v>
      </c>
    </row>
    <row r="305" spans="1:9" x14ac:dyDescent="0.25">
      <c r="A305">
        <v>296</v>
      </c>
      <c r="B305" s="1">
        <v>45380</v>
      </c>
      <c r="C305">
        <v>19</v>
      </c>
      <c r="D305" t="str">
        <f t="shared" si="47"/>
        <v>2721</v>
      </c>
      <c r="E305" t="str">
        <f t="shared" si="48"/>
        <v>Начисленные расходы по срочным вкладам клиентов</v>
      </c>
      <c r="F305" t="str">
        <f t="shared" si="46"/>
        <v>1</v>
      </c>
      <c r="G305" t="str">
        <f>"6"</f>
        <v>6</v>
      </c>
      <c r="H305" t="str">
        <f>"1"</f>
        <v>1</v>
      </c>
      <c r="I305" s="2">
        <v>23006997.960000001</v>
      </c>
    </row>
    <row r="306" spans="1:9" x14ac:dyDescent="0.25">
      <c r="A306">
        <v>299</v>
      </c>
      <c r="B306" s="1">
        <v>45380</v>
      </c>
      <c r="C306">
        <v>19</v>
      </c>
      <c r="D306" t="str">
        <f t="shared" si="47"/>
        <v>2721</v>
      </c>
      <c r="E306" t="str">
        <f t="shared" si="48"/>
        <v>Начисленные расходы по срочным вкладам клиентов</v>
      </c>
      <c r="F306" t="str">
        <f t="shared" si="46"/>
        <v>1</v>
      </c>
      <c r="G306" t="str">
        <f>"9"</f>
        <v>9</v>
      </c>
      <c r="H306" t="str">
        <f>"1"</f>
        <v>1</v>
      </c>
      <c r="I306" s="2">
        <v>41526865867.989998</v>
      </c>
    </row>
    <row r="307" spans="1:9" x14ac:dyDescent="0.25">
      <c r="A307">
        <v>300</v>
      </c>
      <c r="B307" s="1">
        <v>45380</v>
      </c>
      <c r="C307">
        <v>19</v>
      </c>
      <c r="D307" t="str">
        <f t="shared" si="47"/>
        <v>2721</v>
      </c>
      <c r="E307" t="str">
        <f t="shared" si="48"/>
        <v>Начисленные расходы по срочным вкладам клиентов</v>
      </c>
      <c r="F307" t="str">
        <f t="shared" si="46"/>
        <v>1</v>
      </c>
      <c r="G307" t="str">
        <f>"7"</f>
        <v>7</v>
      </c>
      <c r="H307" t="str">
        <f>"2"</f>
        <v>2</v>
      </c>
      <c r="I307" s="2">
        <v>5051665.21</v>
      </c>
    </row>
    <row r="308" spans="1:9" x14ac:dyDescent="0.25">
      <c r="A308">
        <v>301</v>
      </c>
      <c r="B308" s="1">
        <v>45380</v>
      </c>
      <c r="C308">
        <v>19</v>
      </c>
      <c r="D308" t="str">
        <f t="shared" si="47"/>
        <v>2721</v>
      </c>
      <c r="E308" t="str">
        <f t="shared" si="48"/>
        <v>Начисленные расходы по срочным вкладам клиентов</v>
      </c>
      <c r="F308" t="str">
        <f t="shared" si="46"/>
        <v>1</v>
      </c>
      <c r="G308" t="str">
        <f>"7"</f>
        <v>7</v>
      </c>
      <c r="H308" t="str">
        <f>"1"</f>
        <v>1</v>
      </c>
      <c r="I308" s="2">
        <v>233860634.56999999</v>
      </c>
    </row>
    <row r="309" spans="1:9" x14ac:dyDescent="0.25">
      <c r="A309">
        <v>302</v>
      </c>
      <c r="B309" s="1">
        <v>45380</v>
      </c>
      <c r="C309">
        <v>19</v>
      </c>
      <c r="D309" t="str">
        <f t="shared" si="47"/>
        <v>2721</v>
      </c>
      <c r="E309" t="str">
        <f t="shared" si="48"/>
        <v>Начисленные расходы по срочным вкладам клиентов</v>
      </c>
      <c r="F309" t="str">
        <f t="shared" si="46"/>
        <v>1</v>
      </c>
      <c r="G309" t="str">
        <f>"7"</f>
        <v>7</v>
      </c>
      <c r="H309" t="str">
        <f>"3"</f>
        <v>3</v>
      </c>
      <c r="I309" s="2">
        <v>244420</v>
      </c>
    </row>
    <row r="310" spans="1:9" x14ac:dyDescent="0.25">
      <c r="A310">
        <v>303</v>
      </c>
      <c r="B310" s="1">
        <v>45380</v>
      </c>
      <c r="C310">
        <v>19</v>
      </c>
      <c r="D310" t="str">
        <f t="shared" si="47"/>
        <v>2721</v>
      </c>
      <c r="E310" t="str">
        <f t="shared" si="48"/>
        <v>Начисленные расходы по срочным вкладам клиентов</v>
      </c>
      <c r="F310" t="str">
        <f t="shared" si="46"/>
        <v>1</v>
      </c>
      <c r="G310" t="str">
        <f>"8"</f>
        <v>8</v>
      </c>
      <c r="H310" t="str">
        <f>"1"</f>
        <v>1</v>
      </c>
      <c r="I310" s="2">
        <v>248376175.46000001</v>
      </c>
    </row>
    <row r="311" spans="1:9" x14ac:dyDescent="0.25">
      <c r="A311">
        <v>304</v>
      </c>
      <c r="B311" s="1">
        <v>45380</v>
      </c>
      <c r="C311">
        <v>19</v>
      </c>
      <c r="D311" t="str">
        <f t="shared" si="47"/>
        <v>2721</v>
      </c>
      <c r="E311" t="str">
        <f t="shared" si="48"/>
        <v>Начисленные расходы по срочным вкладам клиентов</v>
      </c>
      <c r="F311" t="str">
        <f>"2"</f>
        <v>2</v>
      </c>
      <c r="G311" t="str">
        <f>"9"</f>
        <v>9</v>
      </c>
      <c r="H311" t="str">
        <f>"1"</f>
        <v>1</v>
      </c>
      <c r="I311" s="2">
        <v>635826533.24000001</v>
      </c>
    </row>
    <row r="312" spans="1:9" x14ac:dyDescent="0.25">
      <c r="A312">
        <v>305</v>
      </c>
      <c r="B312" s="1">
        <v>45380</v>
      </c>
      <c r="C312">
        <v>19</v>
      </c>
      <c r="D312" t="str">
        <f t="shared" si="47"/>
        <v>2721</v>
      </c>
      <c r="E312" t="str">
        <f t="shared" si="48"/>
        <v>Начисленные расходы по срочным вкладам клиентов</v>
      </c>
      <c r="F312" t="str">
        <f>"2"</f>
        <v>2</v>
      </c>
      <c r="G312" t="str">
        <f>"9"</f>
        <v>9</v>
      </c>
      <c r="H312" t="str">
        <f>"2"</f>
        <v>2</v>
      </c>
      <c r="I312" s="2">
        <v>22203866.920000002</v>
      </c>
    </row>
    <row r="313" spans="1:9" x14ac:dyDescent="0.25">
      <c r="A313">
        <v>306</v>
      </c>
      <c r="B313" s="1">
        <v>45380</v>
      </c>
      <c r="C313">
        <v>19</v>
      </c>
      <c r="D313" t="str">
        <f t="shared" si="47"/>
        <v>2721</v>
      </c>
      <c r="E313" t="str">
        <f t="shared" si="48"/>
        <v>Начисленные расходы по срочным вкладам клиентов</v>
      </c>
      <c r="F313" t="str">
        <f>"1"</f>
        <v>1</v>
      </c>
      <c r="G313" t="str">
        <f>"9"</f>
        <v>9</v>
      </c>
      <c r="H313" t="str">
        <f>"2"</f>
        <v>2</v>
      </c>
      <c r="I313" s="2">
        <v>316516910.88999999</v>
      </c>
    </row>
    <row r="314" spans="1:9" x14ac:dyDescent="0.25">
      <c r="A314">
        <v>307</v>
      </c>
      <c r="B314" s="1">
        <v>45380</v>
      </c>
      <c r="C314">
        <v>19</v>
      </c>
      <c r="D314" t="str">
        <f>"2725"</f>
        <v>2725</v>
      </c>
      <c r="E31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14" t="str">
        <f>"1"</f>
        <v>1</v>
      </c>
      <c r="G314" t="str">
        <f>"5"</f>
        <v>5</v>
      </c>
      <c r="H314" t="str">
        <f t="shared" ref="H314:H334" si="49">"1"</f>
        <v>1</v>
      </c>
      <c r="I314" s="2">
        <v>168576851.78999999</v>
      </c>
    </row>
    <row r="315" spans="1:9" x14ac:dyDescent="0.25">
      <c r="A315">
        <v>308</v>
      </c>
      <c r="B315" s="1">
        <v>45380</v>
      </c>
      <c r="C315">
        <v>19</v>
      </c>
      <c r="D315" t="str">
        <f>"2730"</f>
        <v>2730</v>
      </c>
      <c r="E31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15" t="str">
        <f>"1"</f>
        <v>1</v>
      </c>
      <c r="G315" t="str">
        <f>"5"</f>
        <v>5</v>
      </c>
      <c r="H315" t="str">
        <f t="shared" si="49"/>
        <v>1</v>
      </c>
      <c r="I315" s="2">
        <v>848858056.22000003</v>
      </c>
    </row>
    <row r="316" spans="1:9" x14ac:dyDescent="0.25">
      <c r="A316">
        <v>309</v>
      </c>
      <c r="B316" s="1">
        <v>45380</v>
      </c>
      <c r="C316">
        <v>19</v>
      </c>
      <c r="D316" t="str">
        <f>"2731"</f>
        <v>2731</v>
      </c>
      <c r="E316" t="str">
        <f>"Начисленные расходы по прочим операциям"</f>
        <v>Начисленные расходы по прочим операциям</v>
      </c>
      <c r="F316" t="str">
        <f>"1"</f>
        <v>1</v>
      </c>
      <c r="G316" t="str">
        <f>"5"</f>
        <v>5</v>
      </c>
      <c r="H316" t="str">
        <f t="shared" si="49"/>
        <v>1</v>
      </c>
      <c r="I316" s="2">
        <v>479741.8</v>
      </c>
    </row>
    <row r="317" spans="1:9" x14ac:dyDescent="0.25">
      <c r="A317">
        <v>310</v>
      </c>
      <c r="B317" s="1">
        <v>45380</v>
      </c>
      <c r="C317">
        <v>19</v>
      </c>
      <c r="D317" t="str">
        <f>"2731"</f>
        <v>2731</v>
      </c>
      <c r="E317" t="str">
        <f>"Начисленные расходы по прочим операциям"</f>
        <v>Начисленные расходы по прочим операциям</v>
      </c>
      <c r="F317" t="str">
        <f>"2"</f>
        <v>2</v>
      </c>
      <c r="G317" t="str">
        <f>"9"</f>
        <v>9</v>
      </c>
      <c r="H317" t="str">
        <f t="shared" si="49"/>
        <v>1</v>
      </c>
      <c r="I317" s="2">
        <v>80051374.620000005</v>
      </c>
    </row>
    <row r="318" spans="1:9" x14ac:dyDescent="0.25">
      <c r="A318">
        <v>362</v>
      </c>
      <c r="B318" s="1">
        <v>45380</v>
      </c>
      <c r="C318">
        <v>19</v>
      </c>
      <c r="D318" t="str">
        <f>"2731"</f>
        <v>2731</v>
      </c>
      <c r="E318" t="str">
        <f>"Начисленные расходы по прочим операциям"</f>
        <v>Начисленные расходы по прочим операциям</v>
      </c>
      <c r="F318" t="str">
        <f>"1"</f>
        <v>1</v>
      </c>
      <c r="G318" t="str">
        <f>"9"</f>
        <v>9</v>
      </c>
      <c r="H318" t="str">
        <f t="shared" si="49"/>
        <v>1</v>
      </c>
      <c r="I318" s="2">
        <v>2111796923.49</v>
      </c>
    </row>
    <row r="319" spans="1:9" x14ac:dyDescent="0.25">
      <c r="A319">
        <v>333</v>
      </c>
      <c r="B319" s="1">
        <v>45380</v>
      </c>
      <c r="C319">
        <v>19</v>
      </c>
      <c r="D319" t="str">
        <f>"2756"</f>
        <v>2756</v>
      </c>
      <c r="E319" t="str">
        <f>"Начисленные расходы по субординированным облигациям"</f>
        <v>Начисленные расходы по субординированным облигациям</v>
      </c>
      <c r="F319" t="str">
        <f>"1"</f>
        <v>1</v>
      </c>
      <c r="G319" t="str">
        <f>"5"</f>
        <v>5</v>
      </c>
      <c r="H319" t="str">
        <f t="shared" si="49"/>
        <v>1</v>
      </c>
      <c r="I319" s="2">
        <v>1598496183.5999999</v>
      </c>
    </row>
    <row r="320" spans="1:9" x14ac:dyDescent="0.25">
      <c r="A320">
        <v>311</v>
      </c>
      <c r="B320" s="1">
        <v>45380</v>
      </c>
      <c r="C320">
        <v>19</v>
      </c>
      <c r="D320" t="str">
        <f t="shared" ref="D320:D326" si="50">"2770"</f>
        <v>2770</v>
      </c>
      <c r="E320" t="str">
        <f t="shared" ref="E320:E326" si="51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20" t="str">
        <f>"1"</f>
        <v>1</v>
      </c>
      <c r="G320" t="str">
        <f>"6"</f>
        <v>6</v>
      </c>
      <c r="H320" t="str">
        <f t="shared" si="49"/>
        <v>1</v>
      </c>
      <c r="I320" s="2">
        <v>80477586.659999996</v>
      </c>
    </row>
    <row r="321" spans="1:9" x14ac:dyDescent="0.25">
      <c r="A321">
        <v>312</v>
      </c>
      <c r="B321" s="1">
        <v>45380</v>
      </c>
      <c r="C321">
        <v>19</v>
      </c>
      <c r="D321" t="str">
        <f t="shared" si="50"/>
        <v>2770</v>
      </c>
      <c r="E321" t="str">
        <f t="shared" si="51"/>
        <v>Начисленные расходы по административно-хозяйственной деятельности</v>
      </c>
      <c r="F321" t="str">
        <f>"1"</f>
        <v>1</v>
      </c>
      <c r="G321" t="str">
        <f>"7"</f>
        <v>7</v>
      </c>
      <c r="H321" t="str">
        <f t="shared" si="49"/>
        <v>1</v>
      </c>
      <c r="I321" s="2">
        <v>3389009884.4699998</v>
      </c>
    </row>
    <row r="322" spans="1:9" x14ac:dyDescent="0.25">
      <c r="A322">
        <v>313</v>
      </c>
      <c r="B322" s="1">
        <v>45380</v>
      </c>
      <c r="C322">
        <v>19</v>
      </c>
      <c r="D322" t="str">
        <f t="shared" si="50"/>
        <v>2770</v>
      </c>
      <c r="E322" t="str">
        <f t="shared" si="51"/>
        <v>Начисленные расходы по административно-хозяйственной деятельности</v>
      </c>
      <c r="F322" t="str">
        <f>"1"</f>
        <v>1</v>
      </c>
      <c r="G322" t="str">
        <f>"8"</f>
        <v>8</v>
      </c>
      <c r="H322" t="str">
        <f t="shared" si="49"/>
        <v>1</v>
      </c>
      <c r="I322" s="2">
        <v>235144602.66</v>
      </c>
    </row>
    <row r="323" spans="1:9" x14ac:dyDescent="0.25">
      <c r="A323">
        <v>315</v>
      </c>
      <c r="B323" s="1">
        <v>45380</v>
      </c>
      <c r="C323">
        <v>19</v>
      </c>
      <c r="D323" t="str">
        <f t="shared" si="50"/>
        <v>2770</v>
      </c>
      <c r="E323" t="str">
        <f t="shared" si="51"/>
        <v>Начисленные расходы по административно-хозяйственной деятельности</v>
      </c>
      <c r="F323" t="str">
        <f>"2"</f>
        <v>2</v>
      </c>
      <c r="G323" t="str">
        <f>"7"</f>
        <v>7</v>
      </c>
      <c r="H323" t="str">
        <f t="shared" si="49"/>
        <v>1</v>
      </c>
      <c r="I323" s="2">
        <v>174627559.53999999</v>
      </c>
    </row>
    <row r="324" spans="1:9" x14ac:dyDescent="0.25">
      <c r="A324">
        <v>317</v>
      </c>
      <c r="B324" s="1">
        <v>45380</v>
      </c>
      <c r="C324">
        <v>19</v>
      </c>
      <c r="D324" t="str">
        <f t="shared" si="50"/>
        <v>2770</v>
      </c>
      <c r="E324" t="str">
        <f t="shared" si="51"/>
        <v>Начисленные расходы по административно-хозяйственной деятельности</v>
      </c>
      <c r="F324" t="str">
        <f>"1"</f>
        <v>1</v>
      </c>
      <c r="G324" t="str">
        <f>"5"</f>
        <v>5</v>
      </c>
      <c r="H324" t="str">
        <f t="shared" si="49"/>
        <v>1</v>
      </c>
      <c r="I324" s="2">
        <v>1268339.29</v>
      </c>
    </row>
    <row r="325" spans="1:9" x14ac:dyDescent="0.25">
      <c r="A325">
        <v>325</v>
      </c>
      <c r="B325" s="1">
        <v>45380</v>
      </c>
      <c r="C325">
        <v>19</v>
      </c>
      <c r="D325" t="str">
        <f t="shared" si="50"/>
        <v>2770</v>
      </c>
      <c r="E325" t="str">
        <f t="shared" si="51"/>
        <v>Начисленные расходы по административно-хозяйственной деятельности</v>
      </c>
      <c r="F325" t="str">
        <f>"1"</f>
        <v>1</v>
      </c>
      <c r="G325" t="str">
        <f>"9"</f>
        <v>9</v>
      </c>
      <c r="H325" t="str">
        <f t="shared" si="49"/>
        <v>1</v>
      </c>
      <c r="I325" s="2">
        <v>165640993.80000001</v>
      </c>
    </row>
    <row r="326" spans="1:9" x14ac:dyDescent="0.25">
      <c r="A326">
        <v>409</v>
      </c>
      <c r="B326" s="1">
        <v>45380</v>
      </c>
      <c r="C326">
        <v>19</v>
      </c>
      <c r="D326" t="str">
        <f t="shared" si="50"/>
        <v>2770</v>
      </c>
      <c r="E326" t="str">
        <f t="shared" si="51"/>
        <v>Начисленные расходы по административно-хозяйственной деятельности</v>
      </c>
      <c r="F326" t="str">
        <f>"2"</f>
        <v>2</v>
      </c>
      <c r="G326" t="str">
        <f>"9"</f>
        <v>9</v>
      </c>
      <c r="H326" t="str">
        <f t="shared" si="49"/>
        <v>1</v>
      </c>
      <c r="I326" s="2">
        <v>6680525.75</v>
      </c>
    </row>
    <row r="327" spans="1:9" x14ac:dyDescent="0.25">
      <c r="A327">
        <v>314</v>
      </c>
      <c r="B327" s="1">
        <v>45380</v>
      </c>
      <c r="C327">
        <v>19</v>
      </c>
      <c r="D327" t="str">
        <f t="shared" ref="D327:D333" si="52">"2794"</f>
        <v>2794</v>
      </c>
      <c r="E327" t="str">
        <f t="shared" ref="E327:E333" si="53">"Доходы будущих периодов"</f>
        <v>Доходы будущих периодов</v>
      </c>
      <c r="F327" t="str">
        <f>"1"</f>
        <v>1</v>
      </c>
      <c r="G327" t="str">
        <f>"5"</f>
        <v>5</v>
      </c>
      <c r="H327" t="str">
        <f t="shared" si="49"/>
        <v>1</v>
      </c>
      <c r="I327" s="2">
        <v>24643</v>
      </c>
    </row>
    <row r="328" spans="1:9" x14ac:dyDescent="0.25">
      <c r="A328">
        <v>316</v>
      </c>
      <c r="B328" s="1">
        <v>45380</v>
      </c>
      <c r="C328">
        <v>19</v>
      </c>
      <c r="D328" t="str">
        <f t="shared" si="52"/>
        <v>2794</v>
      </c>
      <c r="E328" t="str">
        <f t="shared" si="53"/>
        <v>Доходы будущих периодов</v>
      </c>
      <c r="F328" t="str">
        <f>"1"</f>
        <v>1</v>
      </c>
      <c r="G328" t="str">
        <f>"6"</f>
        <v>6</v>
      </c>
      <c r="H328" t="str">
        <f t="shared" si="49"/>
        <v>1</v>
      </c>
      <c r="I328" s="2">
        <v>7150</v>
      </c>
    </row>
    <row r="329" spans="1:9" x14ac:dyDescent="0.25">
      <c r="A329">
        <v>318</v>
      </c>
      <c r="B329" s="1">
        <v>45380</v>
      </c>
      <c r="C329">
        <v>19</v>
      </c>
      <c r="D329" t="str">
        <f t="shared" si="52"/>
        <v>2794</v>
      </c>
      <c r="E329" t="str">
        <f t="shared" si="53"/>
        <v>Доходы будущих периодов</v>
      </c>
      <c r="F329" t="str">
        <f>"1"</f>
        <v>1</v>
      </c>
      <c r="G329" t="str">
        <f>"8"</f>
        <v>8</v>
      </c>
      <c r="H329" t="str">
        <f t="shared" si="49"/>
        <v>1</v>
      </c>
      <c r="I329" s="2">
        <v>159028</v>
      </c>
    </row>
    <row r="330" spans="1:9" x14ac:dyDescent="0.25">
      <c r="A330">
        <v>319</v>
      </c>
      <c r="B330" s="1">
        <v>45380</v>
      </c>
      <c r="C330">
        <v>19</v>
      </c>
      <c r="D330" t="str">
        <f t="shared" si="52"/>
        <v>2794</v>
      </c>
      <c r="E330" t="str">
        <f t="shared" si="53"/>
        <v>Доходы будущих периодов</v>
      </c>
      <c r="F330" t="str">
        <f>"1"</f>
        <v>1</v>
      </c>
      <c r="G330" t="str">
        <f>"9"</f>
        <v>9</v>
      </c>
      <c r="H330" t="str">
        <f t="shared" si="49"/>
        <v>1</v>
      </c>
      <c r="I330" s="2">
        <v>9608566031.8899994</v>
      </c>
    </row>
    <row r="331" spans="1:9" x14ac:dyDescent="0.25">
      <c r="A331">
        <v>320</v>
      </c>
      <c r="B331" s="1">
        <v>45380</v>
      </c>
      <c r="C331">
        <v>19</v>
      </c>
      <c r="D331" t="str">
        <f t="shared" si="52"/>
        <v>2794</v>
      </c>
      <c r="E331" t="str">
        <f t="shared" si="53"/>
        <v>Доходы будущих периодов</v>
      </c>
      <c r="F331" t="str">
        <f>"1"</f>
        <v>1</v>
      </c>
      <c r="G331" t="str">
        <f>"7"</f>
        <v>7</v>
      </c>
      <c r="H331" t="str">
        <f t="shared" si="49"/>
        <v>1</v>
      </c>
      <c r="I331" s="2">
        <v>4234098</v>
      </c>
    </row>
    <row r="332" spans="1:9" x14ac:dyDescent="0.25">
      <c r="A332">
        <v>322</v>
      </c>
      <c r="B332" s="1">
        <v>45380</v>
      </c>
      <c r="C332">
        <v>19</v>
      </c>
      <c r="D332" t="str">
        <f t="shared" si="52"/>
        <v>2794</v>
      </c>
      <c r="E332" t="str">
        <f t="shared" si="53"/>
        <v>Доходы будущих периодов</v>
      </c>
      <c r="F332" t="str">
        <f>"2"</f>
        <v>2</v>
      </c>
      <c r="G332" t="str">
        <f>"9"</f>
        <v>9</v>
      </c>
      <c r="H332" t="str">
        <f t="shared" si="49"/>
        <v>1</v>
      </c>
      <c r="I332" s="2">
        <v>287338089.26999998</v>
      </c>
    </row>
    <row r="333" spans="1:9" x14ac:dyDescent="0.25">
      <c r="A333">
        <v>340</v>
      </c>
      <c r="B333" s="1">
        <v>45380</v>
      </c>
      <c r="C333">
        <v>19</v>
      </c>
      <c r="D333" t="str">
        <f t="shared" si="52"/>
        <v>2794</v>
      </c>
      <c r="E333" t="str">
        <f t="shared" si="53"/>
        <v>Доходы будущих периодов</v>
      </c>
      <c r="F333" t="str">
        <f>"2"</f>
        <v>2</v>
      </c>
      <c r="G333" t="str">
        <f>"7"</f>
        <v>7</v>
      </c>
      <c r="H333" t="str">
        <f t="shared" si="49"/>
        <v>1</v>
      </c>
      <c r="I333" s="2">
        <v>1331</v>
      </c>
    </row>
    <row r="334" spans="1:9" x14ac:dyDescent="0.25">
      <c r="A334">
        <v>321</v>
      </c>
      <c r="B334" s="1">
        <v>45380</v>
      </c>
      <c r="C334">
        <v>19</v>
      </c>
      <c r="D334" t="str">
        <f>"2811"</f>
        <v>2811</v>
      </c>
      <c r="E33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4" t="str">
        <f>"2"</f>
        <v>2</v>
      </c>
      <c r="G334" t="str">
        <f>""</f>
        <v/>
      </c>
      <c r="H334" t="str">
        <f t="shared" si="49"/>
        <v>1</v>
      </c>
      <c r="I334" s="2">
        <v>2000000</v>
      </c>
    </row>
    <row r="335" spans="1:9" x14ac:dyDescent="0.25">
      <c r="A335">
        <v>323</v>
      </c>
      <c r="B335" s="1">
        <v>45380</v>
      </c>
      <c r="C335">
        <v>19</v>
      </c>
      <c r="D335" t="str">
        <f>"2811"</f>
        <v>2811</v>
      </c>
      <c r="E335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5" t="str">
        <f>"2"</f>
        <v>2</v>
      </c>
      <c r="G335" t="str">
        <f>""</f>
        <v/>
      </c>
      <c r="H335" t="str">
        <f>"3"</f>
        <v>3</v>
      </c>
      <c r="I335" s="2">
        <v>58064.84</v>
      </c>
    </row>
    <row r="336" spans="1:9" x14ac:dyDescent="0.25">
      <c r="A336">
        <v>324</v>
      </c>
      <c r="B336" s="1">
        <v>45380</v>
      </c>
      <c r="C336">
        <v>19</v>
      </c>
      <c r="D336" t="str">
        <f>"2811"</f>
        <v>2811</v>
      </c>
      <c r="E336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36" t="str">
        <f>"2"</f>
        <v>2</v>
      </c>
      <c r="G336" t="str">
        <f>""</f>
        <v/>
      </c>
      <c r="H336" t="str">
        <f>"2"</f>
        <v>2</v>
      </c>
      <c r="I336" s="2">
        <v>6701700</v>
      </c>
    </row>
    <row r="337" spans="1:9" x14ac:dyDescent="0.25">
      <c r="A337">
        <v>330</v>
      </c>
      <c r="B337" s="1">
        <v>45380</v>
      </c>
      <c r="C337">
        <v>19</v>
      </c>
      <c r="D337" t="str">
        <f>"2812"</f>
        <v>2812</v>
      </c>
      <c r="E337" t="str">
        <f>"Начисленные комиссионные расходы по агентским услугам"</f>
        <v>Начисленные комиссионные расходы по агентским услугам</v>
      </c>
      <c r="F337" t="str">
        <f>"1"</f>
        <v>1</v>
      </c>
      <c r="G337" t="str">
        <f>""</f>
        <v/>
      </c>
      <c r="H337" t="str">
        <f>"1"</f>
        <v>1</v>
      </c>
      <c r="I337" s="2">
        <v>61361804.719999999</v>
      </c>
    </row>
    <row r="338" spans="1:9" x14ac:dyDescent="0.25">
      <c r="A338">
        <v>366</v>
      </c>
      <c r="B338" s="1">
        <v>45380</v>
      </c>
      <c r="C338">
        <v>19</v>
      </c>
      <c r="D338" t="str">
        <f>"2813"</f>
        <v>2813</v>
      </c>
      <c r="E338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338" t="str">
        <f>"1"</f>
        <v>1</v>
      </c>
      <c r="G338" t="str">
        <f>""</f>
        <v/>
      </c>
      <c r="H338" t="str">
        <f>"1"</f>
        <v>1</v>
      </c>
      <c r="I338" s="2">
        <v>43726906.18</v>
      </c>
    </row>
    <row r="339" spans="1:9" x14ac:dyDescent="0.25">
      <c r="A339">
        <v>327</v>
      </c>
      <c r="B339" s="1">
        <v>45380</v>
      </c>
      <c r="C339">
        <v>19</v>
      </c>
      <c r="D339" t="str">
        <f>"2818"</f>
        <v>2818</v>
      </c>
      <c r="E339" t="str">
        <f>"Начисленные прочие комиссионные расходы"</f>
        <v>Начисленные прочие комиссионные расходы</v>
      </c>
      <c r="F339" t="str">
        <f>"2"</f>
        <v>2</v>
      </c>
      <c r="G339" t="str">
        <f>""</f>
        <v/>
      </c>
      <c r="H339" t="str">
        <f>"1"</f>
        <v>1</v>
      </c>
      <c r="I339" s="2">
        <v>1846461856.28</v>
      </c>
    </row>
    <row r="340" spans="1:9" x14ac:dyDescent="0.25">
      <c r="A340">
        <v>347</v>
      </c>
      <c r="B340" s="1">
        <v>45380</v>
      </c>
      <c r="C340">
        <v>19</v>
      </c>
      <c r="D340" t="str">
        <f>"2818"</f>
        <v>2818</v>
      </c>
      <c r="E340" t="str">
        <f>"Начисленные прочие комиссионные расходы"</f>
        <v>Начисленные прочие комиссионные расходы</v>
      </c>
      <c r="F340" t="str">
        <f>"1"</f>
        <v>1</v>
      </c>
      <c r="G340" t="str">
        <f>""</f>
        <v/>
      </c>
      <c r="H340" t="str">
        <f>"1"</f>
        <v>1</v>
      </c>
      <c r="I340" s="2">
        <v>60191473.149999999</v>
      </c>
    </row>
    <row r="341" spans="1:9" x14ac:dyDescent="0.25">
      <c r="A341">
        <v>326</v>
      </c>
      <c r="B341" s="1">
        <v>45380</v>
      </c>
      <c r="C341">
        <v>19</v>
      </c>
      <c r="D341" t="str">
        <f>"2851"</f>
        <v>2851</v>
      </c>
      <c r="E34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41" t="str">
        <f>"1"</f>
        <v>1</v>
      </c>
      <c r="G341" t="str">
        <f>"1"</f>
        <v>1</v>
      </c>
      <c r="H341" t="str">
        <f>"1"</f>
        <v>1</v>
      </c>
      <c r="I341" s="2">
        <v>1737882749.22</v>
      </c>
    </row>
    <row r="342" spans="1:9" x14ac:dyDescent="0.25">
      <c r="A342">
        <v>329</v>
      </c>
      <c r="B342" s="1">
        <v>45380</v>
      </c>
      <c r="C342">
        <v>19</v>
      </c>
      <c r="D342" t="str">
        <f>"2852"</f>
        <v>2852</v>
      </c>
      <c r="E342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342" t="str">
        <f>"2"</f>
        <v>2</v>
      </c>
      <c r="G342" t="str">
        <f>"5"</f>
        <v>5</v>
      </c>
      <c r="H342" t="str">
        <f>"2"</f>
        <v>2</v>
      </c>
      <c r="I342" s="2">
        <v>383582.97</v>
      </c>
    </row>
    <row r="343" spans="1:9" x14ac:dyDescent="0.25">
      <c r="A343">
        <v>331</v>
      </c>
      <c r="B343" s="1">
        <v>45380</v>
      </c>
      <c r="C343">
        <v>19</v>
      </c>
      <c r="D343" t="str">
        <f>"2852"</f>
        <v>2852</v>
      </c>
      <c r="E34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343" t="str">
        <f>"1"</f>
        <v>1</v>
      </c>
      <c r="G343" t="str">
        <f>"5"</f>
        <v>5</v>
      </c>
      <c r="H343" t="str">
        <f>"1"</f>
        <v>1</v>
      </c>
      <c r="I343" s="2">
        <v>428230000</v>
      </c>
    </row>
    <row r="344" spans="1:9" x14ac:dyDescent="0.25">
      <c r="A344">
        <v>328</v>
      </c>
      <c r="B344" s="1">
        <v>45380</v>
      </c>
      <c r="C344">
        <v>19</v>
      </c>
      <c r="D344" t="str">
        <f>"2853"</f>
        <v>2853</v>
      </c>
      <c r="E344" t="str">
        <f>"Расчеты с акционерами (по дивидендам)"</f>
        <v>Расчеты с акционерами (по дивидендам)</v>
      </c>
      <c r="F344" t="str">
        <f>"1"</f>
        <v>1</v>
      </c>
      <c r="G344" t="str">
        <f>"9"</f>
        <v>9</v>
      </c>
      <c r="H344" t="str">
        <f>"1"</f>
        <v>1</v>
      </c>
      <c r="I344" s="2">
        <v>331308000</v>
      </c>
    </row>
    <row r="345" spans="1:9" x14ac:dyDescent="0.25">
      <c r="A345">
        <v>332</v>
      </c>
      <c r="B345" s="1">
        <v>45380</v>
      </c>
      <c r="C345">
        <v>19</v>
      </c>
      <c r="D345" t="str">
        <f>"2853"</f>
        <v>2853</v>
      </c>
      <c r="E345" t="str">
        <f>"Расчеты с акционерами (по дивидендам)"</f>
        <v>Расчеты с акционерами (по дивидендам)</v>
      </c>
      <c r="F345" t="str">
        <f>"1"</f>
        <v>1</v>
      </c>
      <c r="G345" t="str">
        <f>"7"</f>
        <v>7</v>
      </c>
      <c r="H345" t="str">
        <f>"1"</f>
        <v>1</v>
      </c>
      <c r="I345" s="2">
        <v>247208000</v>
      </c>
    </row>
    <row r="346" spans="1:9" x14ac:dyDescent="0.25">
      <c r="A346">
        <v>336</v>
      </c>
      <c r="B346" s="1">
        <v>45380</v>
      </c>
      <c r="C346">
        <v>19</v>
      </c>
      <c r="D346" t="str">
        <f>"2853"</f>
        <v>2853</v>
      </c>
      <c r="E346" t="str">
        <f>"Расчеты с акционерами (по дивидендам)"</f>
        <v>Расчеты с акционерами (по дивидендам)</v>
      </c>
      <c r="F346" t="str">
        <f>"2"</f>
        <v>2</v>
      </c>
      <c r="G346" t="str">
        <f>"9"</f>
        <v>9</v>
      </c>
      <c r="H346" t="str">
        <f>"1"</f>
        <v>1</v>
      </c>
      <c r="I346" s="2">
        <v>3884000</v>
      </c>
    </row>
    <row r="347" spans="1:9" x14ac:dyDescent="0.25">
      <c r="A347">
        <v>375</v>
      </c>
      <c r="B347" s="1">
        <v>45380</v>
      </c>
      <c r="C347">
        <v>19</v>
      </c>
      <c r="D347" t="str">
        <f>"2853"</f>
        <v>2853</v>
      </c>
      <c r="E347" t="str">
        <f>"Расчеты с акционерами (по дивидендам)"</f>
        <v>Расчеты с акционерами (по дивидендам)</v>
      </c>
      <c r="F347" t="str">
        <f>"2"</f>
        <v>2</v>
      </c>
      <c r="G347" t="str">
        <f>"7"</f>
        <v>7</v>
      </c>
      <c r="H347" t="str">
        <f>"1"</f>
        <v>1</v>
      </c>
      <c r="I347" s="2">
        <v>244000</v>
      </c>
    </row>
    <row r="348" spans="1:9" x14ac:dyDescent="0.25">
      <c r="A348">
        <v>351</v>
      </c>
      <c r="B348" s="1">
        <v>45380</v>
      </c>
      <c r="C348">
        <v>19</v>
      </c>
      <c r="D348" t="str">
        <f>"2854"</f>
        <v>2854</v>
      </c>
      <c r="E348" t="str">
        <f>"Расчеты с работниками"</f>
        <v>Расчеты с работниками</v>
      </c>
      <c r="F348" t="str">
        <f>""</f>
        <v/>
      </c>
      <c r="G348" t="str">
        <f>""</f>
        <v/>
      </c>
      <c r="H348" t="str">
        <f>""</f>
        <v/>
      </c>
      <c r="I348" s="2">
        <v>3645184531.4200001</v>
      </c>
    </row>
    <row r="349" spans="1:9" x14ac:dyDescent="0.25">
      <c r="A349">
        <v>461</v>
      </c>
      <c r="B349" s="1">
        <v>45380</v>
      </c>
      <c r="C349">
        <v>19</v>
      </c>
      <c r="D349" t="str">
        <f>"2857"</f>
        <v>2857</v>
      </c>
      <c r="E349" t="str">
        <f>"Отложенные налоговые обязательства"</f>
        <v>Отложенные налоговые обязательства</v>
      </c>
      <c r="F349" t="str">
        <f>""</f>
        <v/>
      </c>
      <c r="G349" t="str">
        <f>""</f>
        <v/>
      </c>
      <c r="H349" t="str">
        <f>""</f>
        <v/>
      </c>
      <c r="I349" s="2">
        <v>2382563344.02</v>
      </c>
    </row>
    <row r="350" spans="1:9" x14ac:dyDescent="0.25">
      <c r="A350">
        <v>334</v>
      </c>
      <c r="B350" s="1">
        <v>45380</v>
      </c>
      <c r="C350">
        <v>19</v>
      </c>
      <c r="D350" t="str">
        <f t="shared" ref="D350:D367" si="54">"2860"</f>
        <v>2860</v>
      </c>
      <c r="E350" t="str">
        <f t="shared" ref="E350:E367" si="55">"Прочие кредиторы по банковской деятельности"</f>
        <v>Прочие кредиторы по банковской деятельности</v>
      </c>
      <c r="F350" t="str">
        <f>"1"</f>
        <v>1</v>
      </c>
      <c r="G350" t="str">
        <f>"1"</f>
        <v>1</v>
      </c>
      <c r="H350" t="str">
        <f>"1"</f>
        <v>1</v>
      </c>
      <c r="I350" s="2">
        <v>647136199.04999995</v>
      </c>
    </row>
    <row r="351" spans="1:9" x14ac:dyDescent="0.25">
      <c r="A351">
        <v>335</v>
      </c>
      <c r="B351" s="1">
        <v>45380</v>
      </c>
      <c r="C351">
        <v>19</v>
      </c>
      <c r="D351" t="str">
        <f t="shared" si="54"/>
        <v>2860</v>
      </c>
      <c r="E351" t="str">
        <f t="shared" si="55"/>
        <v>Прочие кредиторы по банковской деятельности</v>
      </c>
      <c r="F351" t="str">
        <f t="shared" ref="F351:F356" si="56">"1"</f>
        <v>1</v>
      </c>
      <c r="G351" t="str">
        <f>"2"</f>
        <v>2</v>
      </c>
      <c r="H351" t="str">
        <f>"1"</f>
        <v>1</v>
      </c>
      <c r="I351" s="2">
        <v>2097227.75</v>
      </c>
    </row>
    <row r="352" spans="1:9" x14ac:dyDescent="0.25">
      <c r="A352">
        <v>337</v>
      </c>
      <c r="B352" s="1">
        <v>45380</v>
      </c>
      <c r="C352">
        <v>19</v>
      </c>
      <c r="D352" t="str">
        <f t="shared" si="54"/>
        <v>2860</v>
      </c>
      <c r="E352" t="str">
        <f t="shared" si="55"/>
        <v>Прочие кредиторы по банковской деятельности</v>
      </c>
      <c r="F352" t="str">
        <f t="shared" si="56"/>
        <v>1</v>
      </c>
      <c r="G352" t="str">
        <f>"4"</f>
        <v>4</v>
      </c>
      <c r="H352" t="str">
        <f>"2"</f>
        <v>2</v>
      </c>
      <c r="I352" s="2">
        <v>413027507.29000002</v>
      </c>
    </row>
    <row r="353" spans="1:9" x14ac:dyDescent="0.25">
      <c r="A353">
        <v>338</v>
      </c>
      <c r="B353" s="1">
        <v>45380</v>
      </c>
      <c r="C353">
        <v>19</v>
      </c>
      <c r="D353" t="str">
        <f t="shared" si="54"/>
        <v>2860</v>
      </c>
      <c r="E353" t="str">
        <f t="shared" si="55"/>
        <v>Прочие кредиторы по банковской деятельности</v>
      </c>
      <c r="F353" t="str">
        <f t="shared" si="56"/>
        <v>1</v>
      </c>
      <c r="G353" t="str">
        <f>"4"</f>
        <v>4</v>
      </c>
      <c r="H353" t="str">
        <f>"1"</f>
        <v>1</v>
      </c>
      <c r="I353" s="2">
        <v>4715355047.7299995</v>
      </c>
    </row>
    <row r="354" spans="1:9" x14ac:dyDescent="0.25">
      <c r="A354">
        <v>339</v>
      </c>
      <c r="B354" s="1">
        <v>45380</v>
      </c>
      <c r="C354">
        <v>19</v>
      </c>
      <c r="D354" t="str">
        <f t="shared" si="54"/>
        <v>2860</v>
      </c>
      <c r="E354" t="str">
        <f t="shared" si="55"/>
        <v>Прочие кредиторы по банковской деятельности</v>
      </c>
      <c r="F354" t="str">
        <f t="shared" si="56"/>
        <v>1</v>
      </c>
      <c r="G354" t="str">
        <f>"6"</f>
        <v>6</v>
      </c>
      <c r="H354" t="str">
        <f>"1"</f>
        <v>1</v>
      </c>
      <c r="I354" s="2">
        <v>1125178221.8399999</v>
      </c>
    </row>
    <row r="355" spans="1:9" x14ac:dyDescent="0.25">
      <c r="A355">
        <v>341</v>
      </c>
      <c r="B355" s="1">
        <v>45380</v>
      </c>
      <c r="C355">
        <v>19</v>
      </c>
      <c r="D355" t="str">
        <f t="shared" si="54"/>
        <v>2860</v>
      </c>
      <c r="E355" t="str">
        <f t="shared" si="55"/>
        <v>Прочие кредиторы по банковской деятельности</v>
      </c>
      <c r="F355" t="str">
        <f t="shared" si="56"/>
        <v>1</v>
      </c>
      <c r="G355" t="str">
        <f>"9"</f>
        <v>9</v>
      </c>
      <c r="H355" t="str">
        <f>"2"</f>
        <v>2</v>
      </c>
      <c r="I355" s="2">
        <v>635808.15</v>
      </c>
    </row>
    <row r="356" spans="1:9" x14ac:dyDescent="0.25">
      <c r="A356">
        <v>342</v>
      </c>
      <c r="B356" s="1">
        <v>45380</v>
      </c>
      <c r="C356">
        <v>19</v>
      </c>
      <c r="D356" t="str">
        <f t="shared" si="54"/>
        <v>2860</v>
      </c>
      <c r="E356" t="str">
        <f t="shared" si="55"/>
        <v>Прочие кредиторы по банковской деятельности</v>
      </c>
      <c r="F356" t="str">
        <f t="shared" si="56"/>
        <v>1</v>
      </c>
      <c r="G356" t="str">
        <f>"9"</f>
        <v>9</v>
      </c>
      <c r="H356" t="str">
        <f>"1"</f>
        <v>1</v>
      </c>
      <c r="I356" s="2">
        <v>2084798163.1900001</v>
      </c>
    </row>
    <row r="357" spans="1:9" x14ac:dyDescent="0.25">
      <c r="A357">
        <v>343</v>
      </c>
      <c r="B357" s="1">
        <v>45380</v>
      </c>
      <c r="C357">
        <v>19</v>
      </c>
      <c r="D357" t="str">
        <f t="shared" si="54"/>
        <v>2860</v>
      </c>
      <c r="E357" t="str">
        <f t="shared" si="55"/>
        <v>Прочие кредиторы по банковской деятельности</v>
      </c>
      <c r="F357" t="str">
        <f>"2"</f>
        <v>2</v>
      </c>
      <c r="G357" t="str">
        <f>"4"</f>
        <v>4</v>
      </c>
      <c r="H357" t="str">
        <f>"3"</f>
        <v>3</v>
      </c>
      <c r="I357" s="2">
        <v>9677475.9100000001</v>
      </c>
    </row>
    <row r="358" spans="1:9" x14ac:dyDescent="0.25">
      <c r="A358">
        <v>344</v>
      </c>
      <c r="B358" s="1">
        <v>45380</v>
      </c>
      <c r="C358">
        <v>19</v>
      </c>
      <c r="D358" t="str">
        <f t="shared" si="54"/>
        <v>2860</v>
      </c>
      <c r="E358" t="str">
        <f t="shared" si="55"/>
        <v>Прочие кредиторы по банковской деятельности</v>
      </c>
      <c r="F358" t="str">
        <f>"1"</f>
        <v>1</v>
      </c>
      <c r="G358" t="str">
        <f>"8"</f>
        <v>8</v>
      </c>
      <c r="H358" t="str">
        <f>"1"</f>
        <v>1</v>
      </c>
      <c r="I358" s="2">
        <v>489051777.77999997</v>
      </c>
    </row>
    <row r="359" spans="1:9" x14ac:dyDescent="0.25">
      <c r="A359">
        <v>346</v>
      </c>
      <c r="B359" s="1">
        <v>45380</v>
      </c>
      <c r="C359">
        <v>19</v>
      </c>
      <c r="D359" t="str">
        <f t="shared" si="54"/>
        <v>2860</v>
      </c>
      <c r="E359" t="str">
        <f t="shared" si="55"/>
        <v>Прочие кредиторы по банковской деятельности</v>
      </c>
      <c r="F359" t="str">
        <f t="shared" ref="F359:F365" si="57">"2"</f>
        <v>2</v>
      </c>
      <c r="G359" t="str">
        <f>"5"</f>
        <v>5</v>
      </c>
      <c r="H359" t="str">
        <f>"1"</f>
        <v>1</v>
      </c>
      <c r="I359" s="2">
        <v>1339329886.9000001</v>
      </c>
    </row>
    <row r="360" spans="1:9" x14ac:dyDescent="0.25">
      <c r="A360">
        <v>348</v>
      </c>
      <c r="B360" s="1">
        <v>45380</v>
      </c>
      <c r="C360">
        <v>19</v>
      </c>
      <c r="D360" t="str">
        <f t="shared" si="54"/>
        <v>2860</v>
      </c>
      <c r="E360" t="str">
        <f t="shared" si="55"/>
        <v>Прочие кредиторы по банковской деятельности</v>
      </c>
      <c r="F360" t="str">
        <f t="shared" si="57"/>
        <v>2</v>
      </c>
      <c r="G360" t="str">
        <f>"5"</f>
        <v>5</v>
      </c>
      <c r="H360" t="str">
        <f>"2"</f>
        <v>2</v>
      </c>
      <c r="I360" s="2">
        <v>5795733349.46</v>
      </c>
    </row>
    <row r="361" spans="1:9" x14ac:dyDescent="0.25">
      <c r="A361">
        <v>349</v>
      </c>
      <c r="B361" s="1">
        <v>45380</v>
      </c>
      <c r="C361">
        <v>19</v>
      </c>
      <c r="D361" t="str">
        <f t="shared" si="54"/>
        <v>2860</v>
      </c>
      <c r="E361" t="str">
        <f t="shared" si="55"/>
        <v>Прочие кредиторы по банковской деятельности</v>
      </c>
      <c r="F361" t="str">
        <f t="shared" si="57"/>
        <v>2</v>
      </c>
      <c r="G361" t="str">
        <f>"7"</f>
        <v>7</v>
      </c>
      <c r="H361" t="str">
        <f>"3"</f>
        <v>3</v>
      </c>
      <c r="I361" s="2">
        <v>3873364.06</v>
      </c>
    </row>
    <row r="362" spans="1:9" x14ac:dyDescent="0.25">
      <c r="A362">
        <v>350</v>
      </c>
      <c r="B362" s="1">
        <v>45380</v>
      </c>
      <c r="C362">
        <v>19</v>
      </c>
      <c r="D362" t="str">
        <f t="shared" si="54"/>
        <v>2860</v>
      </c>
      <c r="E362" t="str">
        <f t="shared" si="55"/>
        <v>Прочие кредиторы по банковской деятельности</v>
      </c>
      <c r="F362" t="str">
        <f t="shared" si="57"/>
        <v>2</v>
      </c>
      <c r="G362" t="str">
        <f>"7"</f>
        <v>7</v>
      </c>
      <c r="H362" t="str">
        <f>"1"</f>
        <v>1</v>
      </c>
      <c r="I362" s="2">
        <v>12033235.640000001</v>
      </c>
    </row>
    <row r="363" spans="1:9" x14ac:dyDescent="0.25">
      <c r="A363">
        <v>352</v>
      </c>
      <c r="B363" s="1">
        <v>45380</v>
      </c>
      <c r="C363">
        <v>19</v>
      </c>
      <c r="D363" t="str">
        <f t="shared" si="54"/>
        <v>2860</v>
      </c>
      <c r="E363" t="str">
        <f t="shared" si="55"/>
        <v>Прочие кредиторы по банковской деятельности</v>
      </c>
      <c r="F363" t="str">
        <f t="shared" si="57"/>
        <v>2</v>
      </c>
      <c r="G363" t="str">
        <f>"9"</f>
        <v>9</v>
      </c>
      <c r="H363" t="str">
        <f>"1"</f>
        <v>1</v>
      </c>
      <c r="I363" s="2">
        <v>3120270.82</v>
      </c>
    </row>
    <row r="364" spans="1:9" x14ac:dyDescent="0.25">
      <c r="A364">
        <v>355</v>
      </c>
      <c r="B364" s="1">
        <v>45380</v>
      </c>
      <c r="C364">
        <v>19</v>
      </c>
      <c r="D364" t="str">
        <f t="shared" si="54"/>
        <v>2860</v>
      </c>
      <c r="E364" t="str">
        <f t="shared" si="55"/>
        <v>Прочие кредиторы по банковской деятельности</v>
      </c>
      <c r="F364" t="str">
        <f t="shared" si="57"/>
        <v>2</v>
      </c>
      <c r="G364" t="str">
        <f>"9"</f>
        <v>9</v>
      </c>
      <c r="H364" t="str">
        <f>"3"</f>
        <v>3</v>
      </c>
      <c r="I364" s="2">
        <v>1179549.4099999999</v>
      </c>
    </row>
    <row r="365" spans="1:9" x14ac:dyDescent="0.25">
      <c r="A365">
        <v>356</v>
      </c>
      <c r="B365" s="1">
        <v>45380</v>
      </c>
      <c r="C365">
        <v>19</v>
      </c>
      <c r="D365" t="str">
        <f t="shared" si="54"/>
        <v>2860</v>
      </c>
      <c r="E365" t="str">
        <f t="shared" si="55"/>
        <v>Прочие кредиторы по банковской деятельности</v>
      </c>
      <c r="F365" t="str">
        <f t="shared" si="57"/>
        <v>2</v>
      </c>
      <c r="G365" t="str">
        <f>"9"</f>
        <v>9</v>
      </c>
      <c r="H365" t="str">
        <f>"2"</f>
        <v>2</v>
      </c>
      <c r="I365" s="2">
        <v>87747.59</v>
      </c>
    </row>
    <row r="366" spans="1:9" x14ac:dyDescent="0.25">
      <c r="A366">
        <v>361</v>
      </c>
      <c r="B366" s="1">
        <v>45380</v>
      </c>
      <c r="C366">
        <v>19</v>
      </c>
      <c r="D366" t="str">
        <f t="shared" si="54"/>
        <v>2860</v>
      </c>
      <c r="E366" t="str">
        <f t="shared" si="55"/>
        <v>Прочие кредиторы по банковской деятельности</v>
      </c>
      <c r="F366" t="str">
        <f>"1"</f>
        <v>1</v>
      </c>
      <c r="G366" t="str">
        <f>"7"</f>
        <v>7</v>
      </c>
      <c r="H366" t="str">
        <f>"1"</f>
        <v>1</v>
      </c>
      <c r="I366" s="2">
        <v>15574438817.379999</v>
      </c>
    </row>
    <row r="367" spans="1:9" x14ac:dyDescent="0.25">
      <c r="A367">
        <v>376</v>
      </c>
      <c r="B367" s="1">
        <v>45380</v>
      </c>
      <c r="C367">
        <v>19</v>
      </c>
      <c r="D367" t="str">
        <f t="shared" si="54"/>
        <v>2860</v>
      </c>
      <c r="E367" t="str">
        <f t="shared" si="55"/>
        <v>Прочие кредиторы по банковской деятельности</v>
      </c>
      <c r="F367" t="str">
        <f>"1"</f>
        <v>1</v>
      </c>
      <c r="G367" t="str">
        <f>"5"</f>
        <v>5</v>
      </c>
      <c r="H367" t="str">
        <f>"1"</f>
        <v>1</v>
      </c>
      <c r="I367" s="2">
        <v>4030989773.1500001</v>
      </c>
    </row>
    <row r="368" spans="1:9" x14ac:dyDescent="0.25">
      <c r="A368">
        <v>345</v>
      </c>
      <c r="B368" s="1">
        <v>45380</v>
      </c>
      <c r="C368">
        <v>19</v>
      </c>
      <c r="D368" t="str">
        <f>"2861"</f>
        <v>2861</v>
      </c>
      <c r="E368" t="str">
        <f>"Резерв на отпускные выплаты"</f>
        <v>Резерв на отпускные выплаты</v>
      </c>
      <c r="F368" t="str">
        <f>""</f>
        <v/>
      </c>
      <c r="G368" t="str">
        <f>""</f>
        <v/>
      </c>
      <c r="H368" t="str">
        <f>""</f>
        <v/>
      </c>
      <c r="I368" s="2">
        <v>2752565620.9299998</v>
      </c>
    </row>
    <row r="369" spans="1:9" x14ac:dyDescent="0.25">
      <c r="A369">
        <v>353</v>
      </c>
      <c r="B369" s="1">
        <v>45380</v>
      </c>
      <c r="C369">
        <v>19</v>
      </c>
      <c r="D369" t="str">
        <f>"2863"</f>
        <v>2863</v>
      </c>
      <c r="E369" t="str">
        <f>"Обязательства по привилегированным акциям"</f>
        <v>Обязательства по привилегированным акциям</v>
      </c>
      <c r="F369" t="str">
        <f>"1"</f>
        <v>1</v>
      </c>
      <c r="G369" t="str">
        <f>"7"</f>
        <v>7</v>
      </c>
      <c r="H369" t="str">
        <f t="shared" ref="H369:H377" si="58">"1"</f>
        <v>1</v>
      </c>
      <c r="I369" s="2">
        <v>86987369.75</v>
      </c>
    </row>
    <row r="370" spans="1:9" x14ac:dyDescent="0.25">
      <c r="A370">
        <v>354</v>
      </c>
      <c r="B370" s="1">
        <v>45380</v>
      </c>
      <c r="C370">
        <v>19</v>
      </c>
      <c r="D370" t="str">
        <f>"2863"</f>
        <v>2863</v>
      </c>
      <c r="E370" t="str">
        <f>"Обязательства по привилегированным акциям"</f>
        <v>Обязательства по привилегированным акциям</v>
      </c>
      <c r="F370" t="str">
        <f>"1"</f>
        <v>1</v>
      </c>
      <c r="G370" t="str">
        <f>"9"</f>
        <v>9</v>
      </c>
      <c r="H370" t="str">
        <f t="shared" si="58"/>
        <v>1</v>
      </c>
      <c r="I370" s="2">
        <v>60284159.25</v>
      </c>
    </row>
    <row r="371" spans="1:9" x14ac:dyDescent="0.25">
      <c r="A371">
        <v>357</v>
      </c>
      <c r="B371" s="1">
        <v>45380</v>
      </c>
      <c r="C371">
        <v>19</v>
      </c>
      <c r="D371" t="str">
        <f>"2863"</f>
        <v>2863</v>
      </c>
      <c r="E371" t="str">
        <f>"Обязательства по привилегированным акциям"</f>
        <v>Обязательства по привилегированным акциям</v>
      </c>
      <c r="F371" t="str">
        <f>"2"</f>
        <v>2</v>
      </c>
      <c r="G371" t="str">
        <f>"9"</f>
        <v>9</v>
      </c>
      <c r="H371" t="str">
        <f t="shared" si="58"/>
        <v>1</v>
      </c>
      <c r="I371" s="2">
        <v>551050.25</v>
      </c>
    </row>
    <row r="372" spans="1:9" x14ac:dyDescent="0.25">
      <c r="A372">
        <v>358</v>
      </c>
      <c r="B372" s="1">
        <v>45380</v>
      </c>
      <c r="C372">
        <v>19</v>
      </c>
      <c r="D372" t="str">
        <f>"2863"</f>
        <v>2863</v>
      </c>
      <c r="E372" t="str">
        <f>"Обязательства по привилегированным акциям"</f>
        <v>Обязательства по привилегированным акциям</v>
      </c>
      <c r="F372" t="str">
        <f>"1"</f>
        <v>1</v>
      </c>
      <c r="G372" t="str">
        <f>"5"</f>
        <v>5</v>
      </c>
      <c r="H372" t="str">
        <f t="shared" si="58"/>
        <v>1</v>
      </c>
      <c r="I372" s="2">
        <v>1686420.75</v>
      </c>
    </row>
    <row r="373" spans="1:9" x14ac:dyDescent="0.25">
      <c r="A373">
        <v>359</v>
      </c>
      <c r="B373" s="1">
        <v>45380</v>
      </c>
      <c r="C373">
        <v>19</v>
      </c>
      <c r="D373" t="str">
        <f>"2865"</f>
        <v>2865</v>
      </c>
      <c r="E373" t="str">
        <f>"Обязательства по выпущенным электронным деньгам"</f>
        <v>Обязательства по выпущенным электронным деньгам</v>
      </c>
      <c r="F373" t="str">
        <f>"2"</f>
        <v>2</v>
      </c>
      <c r="G373" t="str">
        <f>"9"</f>
        <v>9</v>
      </c>
      <c r="H373" t="str">
        <f t="shared" si="58"/>
        <v>1</v>
      </c>
      <c r="I373" s="2">
        <v>8439126.1300000008</v>
      </c>
    </row>
    <row r="374" spans="1:9" x14ac:dyDescent="0.25">
      <c r="A374">
        <v>360</v>
      </c>
      <c r="B374" s="1">
        <v>45380</v>
      </c>
      <c r="C374">
        <v>19</v>
      </c>
      <c r="D374" t="str">
        <f>"2865"</f>
        <v>2865</v>
      </c>
      <c r="E374" t="str">
        <f>"Обязательства по выпущенным электронным деньгам"</f>
        <v>Обязательства по выпущенным электронным деньгам</v>
      </c>
      <c r="F374" t="str">
        <f t="shared" ref="F374:F379" si="59">"1"</f>
        <v>1</v>
      </c>
      <c r="G374" t="str">
        <f>"9"</f>
        <v>9</v>
      </c>
      <c r="H374" t="str">
        <f t="shared" si="58"/>
        <v>1</v>
      </c>
      <c r="I374" s="2">
        <v>54263108.5</v>
      </c>
    </row>
    <row r="375" spans="1:9" x14ac:dyDescent="0.25">
      <c r="A375">
        <v>363</v>
      </c>
      <c r="B375" s="1">
        <v>45380</v>
      </c>
      <c r="C375">
        <v>19</v>
      </c>
      <c r="D375" t="str">
        <f>"2867"</f>
        <v>2867</v>
      </c>
      <c r="E375" t="str">
        <f>"Прочие кредиторы по неосновной деятельности"</f>
        <v>Прочие кредиторы по неосновной деятельности</v>
      </c>
      <c r="F375" t="str">
        <f t="shared" si="59"/>
        <v>1</v>
      </c>
      <c r="G375" t="str">
        <f>"9"</f>
        <v>9</v>
      </c>
      <c r="H375" t="str">
        <f t="shared" si="58"/>
        <v>1</v>
      </c>
      <c r="I375" s="2">
        <v>19884011.280000001</v>
      </c>
    </row>
    <row r="376" spans="1:9" x14ac:dyDescent="0.25">
      <c r="A376">
        <v>364</v>
      </c>
      <c r="B376" s="1">
        <v>45380</v>
      </c>
      <c r="C376">
        <v>19</v>
      </c>
      <c r="D376" t="str">
        <f>"2867"</f>
        <v>2867</v>
      </c>
      <c r="E376" t="str">
        <f>"Прочие кредиторы по неосновной деятельности"</f>
        <v>Прочие кредиторы по неосновной деятельности</v>
      </c>
      <c r="F376" t="str">
        <f t="shared" si="59"/>
        <v>1</v>
      </c>
      <c r="G376" t="str">
        <f>"1"</f>
        <v>1</v>
      </c>
      <c r="H376" t="str">
        <f t="shared" si="58"/>
        <v>1</v>
      </c>
      <c r="I376" s="2">
        <v>946645451</v>
      </c>
    </row>
    <row r="377" spans="1:9" x14ac:dyDescent="0.25">
      <c r="A377">
        <v>396</v>
      </c>
      <c r="B377" s="1">
        <v>45380</v>
      </c>
      <c r="C377">
        <v>19</v>
      </c>
      <c r="D377" t="str">
        <f>"2867"</f>
        <v>2867</v>
      </c>
      <c r="E377" t="str">
        <f>"Прочие кредиторы по неосновной деятельности"</f>
        <v>Прочие кредиторы по неосновной деятельности</v>
      </c>
      <c r="F377" t="str">
        <f t="shared" si="59"/>
        <v>1</v>
      </c>
      <c r="G377" t="str">
        <f>"7"</f>
        <v>7</v>
      </c>
      <c r="H377" t="str">
        <f t="shared" si="58"/>
        <v>1</v>
      </c>
      <c r="I377" s="2">
        <v>13800511.83</v>
      </c>
    </row>
    <row r="378" spans="1:9" x14ac:dyDescent="0.25">
      <c r="A378">
        <v>368</v>
      </c>
      <c r="B378" s="1">
        <v>45380</v>
      </c>
      <c r="C378">
        <v>19</v>
      </c>
      <c r="D378" t="str">
        <f>"2869"</f>
        <v>2869</v>
      </c>
      <c r="E378" t="str">
        <f>"Выданные гарантии"</f>
        <v>Выданные гарантии</v>
      </c>
      <c r="F378" t="str">
        <f t="shared" si="59"/>
        <v>1</v>
      </c>
      <c r="G378" t="str">
        <f>"7"</f>
        <v>7</v>
      </c>
      <c r="H378" t="str">
        <f>"2"</f>
        <v>2</v>
      </c>
      <c r="I378" s="2">
        <v>11689328.529999999</v>
      </c>
    </row>
    <row r="379" spans="1:9" x14ac:dyDescent="0.25">
      <c r="A379">
        <v>365</v>
      </c>
      <c r="B379" s="1">
        <v>45380</v>
      </c>
      <c r="C379">
        <v>19</v>
      </c>
      <c r="D379" t="str">
        <f>"2870"</f>
        <v>2870</v>
      </c>
      <c r="E379" t="str">
        <f>"Прочие транзитные счета"</f>
        <v>Прочие транзитные счета</v>
      </c>
      <c r="F379" t="str">
        <f t="shared" si="59"/>
        <v>1</v>
      </c>
      <c r="G379" t="str">
        <f>"4"</f>
        <v>4</v>
      </c>
      <c r="H379" t="str">
        <f>"1"</f>
        <v>1</v>
      </c>
      <c r="I379" s="2">
        <v>275548.32</v>
      </c>
    </row>
    <row r="380" spans="1:9" x14ac:dyDescent="0.25">
      <c r="A380">
        <v>424</v>
      </c>
      <c r="B380" s="1">
        <v>45380</v>
      </c>
      <c r="C380">
        <v>19</v>
      </c>
      <c r="D380" t="str">
        <f>"2892"</f>
        <v>2892</v>
      </c>
      <c r="E380" t="str">
        <f>"Обязательства по операциям форвард"</f>
        <v>Обязательства по операциям форвард</v>
      </c>
      <c r="F380" t="str">
        <f>"2"</f>
        <v>2</v>
      </c>
      <c r="G380" t="str">
        <f>"4"</f>
        <v>4</v>
      </c>
      <c r="H380" t="str">
        <f>"1"</f>
        <v>1</v>
      </c>
      <c r="I380" s="2">
        <v>1216599775</v>
      </c>
    </row>
    <row r="381" spans="1:9" x14ac:dyDescent="0.25">
      <c r="A381">
        <v>370</v>
      </c>
      <c r="B381" s="1">
        <v>45380</v>
      </c>
      <c r="C381">
        <v>19</v>
      </c>
      <c r="D381" t="str">
        <f>"2894"</f>
        <v>2894</v>
      </c>
      <c r="E381" t="str">
        <f>"Обязательства по операциям спот"</f>
        <v>Обязательства по операциям спот</v>
      </c>
      <c r="F381" t="str">
        <f>"2"</f>
        <v>2</v>
      </c>
      <c r="G381" t="str">
        <f>"4"</f>
        <v>4</v>
      </c>
      <c r="H381" t="str">
        <f>"2"</f>
        <v>2</v>
      </c>
      <c r="I381" s="2">
        <v>3801467.84</v>
      </c>
    </row>
    <row r="382" spans="1:9" x14ac:dyDescent="0.25">
      <c r="A382">
        <v>367</v>
      </c>
      <c r="B382" s="1">
        <v>45380</v>
      </c>
      <c r="C382">
        <v>19</v>
      </c>
      <c r="D382" t="str">
        <f>"2895"</f>
        <v>2895</v>
      </c>
      <c r="E382" t="str">
        <f>"Обязательства по операциям своп"</f>
        <v>Обязательства по операциям своп</v>
      </c>
      <c r="F382" t="str">
        <f>"1"</f>
        <v>1</v>
      </c>
      <c r="G382" t="str">
        <f>"5"</f>
        <v>5</v>
      </c>
      <c r="H382" t="str">
        <f>"1"</f>
        <v>1</v>
      </c>
      <c r="I382" s="2">
        <v>172430700</v>
      </c>
    </row>
    <row r="383" spans="1:9" x14ac:dyDescent="0.25">
      <c r="A383">
        <v>371</v>
      </c>
      <c r="B383" s="1">
        <v>45380</v>
      </c>
      <c r="C383">
        <v>19</v>
      </c>
      <c r="D383" t="str">
        <f>"2895"</f>
        <v>2895</v>
      </c>
      <c r="E383" t="str">
        <f>"Обязательства по операциям своп"</f>
        <v>Обязательства по операциям своп</v>
      </c>
      <c r="F383" t="str">
        <f>"2"</f>
        <v>2</v>
      </c>
      <c r="G383" t="str">
        <f>"4"</f>
        <v>4</v>
      </c>
      <c r="H383" t="str">
        <f>"1"</f>
        <v>1</v>
      </c>
      <c r="I383" s="2">
        <v>119639972.58</v>
      </c>
    </row>
    <row r="384" spans="1:9" x14ac:dyDescent="0.25">
      <c r="A384">
        <v>374</v>
      </c>
      <c r="B384" s="1">
        <v>45380</v>
      </c>
      <c r="C384">
        <v>19</v>
      </c>
      <c r="D384" t="str">
        <f>"2895"</f>
        <v>2895</v>
      </c>
      <c r="E384" t="str">
        <f>"Обязательства по операциям своп"</f>
        <v>Обязательства по операциям своп</v>
      </c>
      <c r="F384" t="str">
        <f>"2"</f>
        <v>2</v>
      </c>
      <c r="G384" t="str">
        <f>"4"</f>
        <v>4</v>
      </c>
      <c r="H384" t="str">
        <f>"2"</f>
        <v>2</v>
      </c>
      <c r="I384" s="2">
        <v>2594534.34</v>
      </c>
    </row>
    <row r="385" spans="1:9" x14ac:dyDescent="0.25">
      <c r="A385">
        <v>388</v>
      </c>
      <c r="B385" s="1">
        <v>45380</v>
      </c>
      <c r="C385">
        <v>19</v>
      </c>
      <c r="D385" t="str">
        <f>"3001"</f>
        <v>3001</v>
      </c>
      <c r="E385" t="str">
        <f>"Уставный капитал – простые акции"</f>
        <v>Уставный капитал – простые акции</v>
      </c>
      <c r="F385" t="str">
        <f>""</f>
        <v/>
      </c>
      <c r="G385" t="str">
        <f>""</f>
        <v/>
      </c>
      <c r="H385" t="str">
        <f>""</f>
        <v/>
      </c>
      <c r="I385" s="2">
        <v>17363740402</v>
      </c>
    </row>
    <row r="386" spans="1:9" x14ac:dyDescent="0.25">
      <c r="A386">
        <v>384</v>
      </c>
      <c r="B386" s="1">
        <v>45380</v>
      </c>
      <c r="C386">
        <v>19</v>
      </c>
      <c r="D386" t="str">
        <f>"3003"</f>
        <v>3003</v>
      </c>
      <c r="E386" t="str">
        <f>"Выкупленные простые акции"</f>
        <v>Выкупленные простые акции</v>
      </c>
      <c r="F386" t="str">
        <f>""</f>
        <v/>
      </c>
      <c r="G386" t="str">
        <f>""</f>
        <v/>
      </c>
      <c r="H386" t="str">
        <f>""</f>
        <v/>
      </c>
      <c r="I386" s="2">
        <v>-9548276610.5200005</v>
      </c>
    </row>
    <row r="387" spans="1:9" x14ac:dyDescent="0.25">
      <c r="A387">
        <v>369</v>
      </c>
      <c r="B387" s="1">
        <v>45380</v>
      </c>
      <c r="C387">
        <v>19</v>
      </c>
      <c r="D387" t="str">
        <f>"3025"</f>
        <v>3025</v>
      </c>
      <c r="E387" t="str">
        <f>"Уставный капитал – привилегированные акции"</f>
        <v>Уставный капитал – привилегированные акции</v>
      </c>
      <c r="F387" t="str">
        <f>""</f>
        <v/>
      </c>
      <c r="G387" t="str">
        <f>""</f>
        <v/>
      </c>
      <c r="H387" t="str">
        <f>""</f>
        <v/>
      </c>
      <c r="I387" s="2">
        <v>409150000</v>
      </c>
    </row>
    <row r="388" spans="1:9" x14ac:dyDescent="0.25">
      <c r="A388">
        <v>372</v>
      </c>
      <c r="B388" s="1">
        <v>45380</v>
      </c>
      <c r="C388">
        <v>19</v>
      </c>
      <c r="D388" t="str">
        <f>"3027"</f>
        <v>3027</v>
      </c>
      <c r="E388" t="str">
        <f>"Выкупленные привилегированные акции"</f>
        <v>Выкупленные привилегированные акции</v>
      </c>
      <c r="F388" t="str">
        <f>""</f>
        <v/>
      </c>
      <c r="G388" t="str">
        <f>""</f>
        <v/>
      </c>
      <c r="H388" t="str">
        <f>""</f>
        <v/>
      </c>
      <c r="I388" s="2">
        <v>-481844819.58999997</v>
      </c>
    </row>
    <row r="389" spans="1:9" x14ac:dyDescent="0.25">
      <c r="A389">
        <v>489</v>
      </c>
      <c r="B389" s="1">
        <v>45380</v>
      </c>
      <c r="C389">
        <v>19</v>
      </c>
      <c r="D389" t="str">
        <f>"3101"</f>
        <v>3101</v>
      </c>
      <c r="E389" t="str">
        <f>"Дополнительный оплаченный капитал"</f>
        <v>Дополнительный оплаченный капитал</v>
      </c>
      <c r="F389" t="str">
        <f>""</f>
        <v/>
      </c>
      <c r="G389" t="str">
        <f>""</f>
        <v/>
      </c>
      <c r="H389" t="str">
        <f>""</f>
        <v/>
      </c>
      <c r="I389" s="2">
        <v>712370782.46000004</v>
      </c>
    </row>
    <row r="390" spans="1:9" x14ac:dyDescent="0.25">
      <c r="A390">
        <v>373</v>
      </c>
      <c r="B390" s="1">
        <v>45380</v>
      </c>
      <c r="C390">
        <v>19</v>
      </c>
      <c r="D390" t="str">
        <f>"3540"</f>
        <v>3540</v>
      </c>
      <c r="E390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390" t="str">
        <f>""</f>
        <v/>
      </c>
      <c r="G390" t="str">
        <f>""</f>
        <v/>
      </c>
      <c r="H390" t="str">
        <f>""</f>
        <v/>
      </c>
      <c r="I390" s="2">
        <v>1457643824.51</v>
      </c>
    </row>
    <row r="391" spans="1:9" x14ac:dyDescent="0.25">
      <c r="A391">
        <v>377</v>
      </c>
      <c r="B391" s="1">
        <v>45380</v>
      </c>
      <c r="C391">
        <v>19</v>
      </c>
      <c r="D391" t="str">
        <f>"3561"</f>
        <v>3561</v>
      </c>
      <c r="E39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1" t="str">
        <f>"1"</f>
        <v>1</v>
      </c>
      <c r="G391" t="str">
        <f>""</f>
        <v/>
      </c>
      <c r="H391" t="str">
        <f>"1"</f>
        <v>1</v>
      </c>
      <c r="I391" s="2">
        <v>39536969853.559998</v>
      </c>
    </row>
    <row r="392" spans="1:9" x14ac:dyDescent="0.25">
      <c r="A392">
        <v>379</v>
      </c>
      <c r="B392" s="1">
        <v>45380</v>
      </c>
      <c r="C392">
        <v>19</v>
      </c>
      <c r="D392" t="str">
        <f>"3561"</f>
        <v>3561</v>
      </c>
      <c r="E39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2" t="str">
        <f>"1"</f>
        <v>1</v>
      </c>
      <c r="G392" t="str">
        <f>""</f>
        <v/>
      </c>
      <c r="H392" t="str">
        <f>"2"</f>
        <v>2</v>
      </c>
      <c r="I392" s="2">
        <v>-413149284.45999998</v>
      </c>
    </row>
    <row r="393" spans="1:9" x14ac:dyDescent="0.25">
      <c r="A393">
        <v>380</v>
      </c>
      <c r="B393" s="1">
        <v>45380</v>
      </c>
      <c r="C393">
        <v>19</v>
      </c>
      <c r="D393" t="str">
        <f>"3562"</f>
        <v>3562</v>
      </c>
      <c r="E39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3" t="str">
        <f>"1"</f>
        <v>1</v>
      </c>
      <c r="G393" t="str">
        <f>""</f>
        <v/>
      </c>
      <c r="H393" t="str">
        <f>"2"</f>
        <v>2</v>
      </c>
      <c r="I393" s="2">
        <v>746628378.05999994</v>
      </c>
    </row>
    <row r="394" spans="1:9" x14ac:dyDescent="0.25">
      <c r="A394">
        <v>383</v>
      </c>
      <c r="B394" s="1">
        <v>45380</v>
      </c>
      <c r="C394">
        <v>19</v>
      </c>
      <c r="D394" t="str">
        <f>"3562"</f>
        <v>3562</v>
      </c>
      <c r="E39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394" t="str">
        <f>"1"</f>
        <v>1</v>
      </c>
      <c r="G394" t="str">
        <f>""</f>
        <v/>
      </c>
      <c r="H394" t="str">
        <f>"1"</f>
        <v>1</v>
      </c>
      <c r="I394" s="2">
        <v>367145055.44999999</v>
      </c>
    </row>
    <row r="395" spans="1:9" x14ac:dyDescent="0.25">
      <c r="A395">
        <v>392</v>
      </c>
      <c r="B395" s="1">
        <v>45380</v>
      </c>
      <c r="C395">
        <v>19</v>
      </c>
      <c r="D395" t="str">
        <f>"3580"</f>
        <v>3580</v>
      </c>
      <c r="E395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395" t="str">
        <f>""</f>
        <v/>
      </c>
      <c r="G395" t="str">
        <f>""</f>
        <v/>
      </c>
      <c r="H395" t="str">
        <f>""</f>
        <v/>
      </c>
      <c r="I395" s="2">
        <v>658991008116.35999</v>
      </c>
    </row>
    <row r="396" spans="1:9" x14ac:dyDescent="0.25">
      <c r="A396">
        <v>378</v>
      </c>
      <c r="B396" s="1">
        <v>45380</v>
      </c>
      <c r="C396">
        <v>19</v>
      </c>
      <c r="D396" t="str">
        <f>"3599"</f>
        <v>3599</v>
      </c>
      <c r="E396" t="str">
        <f>"Нераспределенная чистая прибыль (непокрытый убыток)"</f>
        <v>Нераспределенная чистая прибыль (непокрытый убыток)</v>
      </c>
      <c r="F396" t="str">
        <f>""</f>
        <v/>
      </c>
      <c r="G396" t="str">
        <f>""</f>
        <v/>
      </c>
      <c r="H396" t="str">
        <f>""</f>
        <v/>
      </c>
      <c r="I396" s="2">
        <v>112939746630.47</v>
      </c>
    </row>
    <row r="397" spans="1:9" x14ac:dyDescent="0.25">
      <c r="A397">
        <v>381</v>
      </c>
      <c r="B397" s="1">
        <v>45380</v>
      </c>
      <c r="C397">
        <v>19</v>
      </c>
      <c r="D397" t="str">
        <f>"4052"</f>
        <v>4052</v>
      </c>
      <c r="E39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397" t="str">
        <f>""</f>
        <v/>
      </c>
      <c r="G397" t="str">
        <f>""</f>
        <v/>
      </c>
      <c r="H397" t="str">
        <f>""</f>
        <v/>
      </c>
      <c r="I397" s="2">
        <v>401563580.02999997</v>
      </c>
    </row>
    <row r="398" spans="1:9" x14ac:dyDescent="0.25">
      <c r="A398">
        <v>382</v>
      </c>
      <c r="B398" s="1">
        <v>45380</v>
      </c>
      <c r="C398">
        <v>19</v>
      </c>
      <c r="D398" t="str">
        <f>"4101"</f>
        <v>4101</v>
      </c>
      <c r="E39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398" t="str">
        <f>""</f>
        <v/>
      </c>
      <c r="G398" t="str">
        <f>""</f>
        <v/>
      </c>
      <c r="H398" t="str">
        <f>""</f>
        <v/>
      </c>
      <c r="I398" s="2">
        <v>1329909722.23</v>
      </c>
    </row>
    <row r="399" spans="1:9" x14ac:dyDescent="0.25">
      <c r="A399">
        <v>385</v>
      </c>
      <c r="B399" s="1">
        <v>45380</v>
      </c>
      <c r="C399">
        <v>19</v>
      </c>
      <c r="D399" t="str">
        <f>"4103"</f>
        <v>4103</v>
      </c>
      <c r="E39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399" t="str">
        <f>""</f>
        <v/>
      </c>
      <c r="G399" t="str">
        <f>""</f>
        <v/>
      </c>
      <c r="H399" t="str">
        <f>""</f>
        <v/>
      </c>
      <c r="I399" s="2">
        <v>4632125000</v>
      </c>
    </row>
    <row r="400" spans="1:9" x14ac:dyDescent="0.25">
      <c r="A400">
        <v>387</v>
      </c>
      <c r="B400" s="1">
        <v>45380</v>
      </c>
      <c r="C400">
        <v>19</v>
      </c>
      <c r="D400" t="str">
        <f>"4251"</f>
        <v>4251</v>
      </c>
      <c r="E400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00" t="str">
        <f>""</f>
        <v/>
      </c>
      <c r="G400" t="str">
        <f>""</f>
        <v/>
      </c>
      <c r="H400" t="str">
        <f>""</f>
        <v/>
      </c>
      <c r="I400" s="2">
        <v>395694134.10000002</v>
      </c>
    </row>
    <row r="401" spans="1:9" x14ac:dyDescent="0.25">
      <c r="A401">
        <v>389</v>
      </c>
      <c r="B401" s="1">
        <v>45380</v>
      </c>
      <c r="C401">
        <v>19</v>
      </c>
      <c r="D401" t="str">
        <f>"4253"</f>
        <v>4253</v>
      </c>
      <c r="E40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01" t="str">
        <f>""</f>
        <v/>
      </c>
      <c r="G401" t="str">
        <f>""</f>
        <v/>
      </c>
      <c r="H401" t="str">
        <f>""</f>
        <v/>
      </c>
      <c r="I401" s="2">
        <v>860858284.70000005</v>
      </c>
    </row>
    <row r="402" spans="1:9" x14ac:dyDescent="0.25">
      <c r="A402">
        <v>386</v>
      </c>
      <c r="B402" s="1">
        <v>45380</v>
      </c>
      <c r="C402">
        <v>19</v>
      </c>
      <c r="D402" t="str">
        <f>"4254"</f>
        <v>4254</v>
      </c>
      <c r="E402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402" t="str">
        <f>""</f>
        <v/>
      </c>
      <c r="G402" t="str">
        <f>""</f>
        <v/>
      </c>
      <c r="H402" t="str">
        <f>""</f>
        <v/>
      </c>
      <c r="I402" s="2">
        <v>1490576054.6300001</v>
      </c>
    </row>
    <row r="403" spans="1:9" x14ac:dyDescent="0.25">
      <c r="A403">
        <v>406</v>
      </c>
      <c r="B403" s="1">
        <v>45380</v>
      </c>
      <c r="C403">
        <v>19</v>
      </c>
      <c r="D403" t="str">
        <f>"4265"</f>
        <v>4265</v>
      </c>
      <c r="E403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403" t="str">
        <f>""</f>
        <v/>
      </c>
      <c r="G403" t="str">
        <f>""</f>
        <v/>
      </c>
      <c r="H403" t="str">
        <f>""</f>
        <v/>
      </c>
      <c r="I403" s="2">
        <v>379303620.08999997</v>
      </c>
    </row>
    <row r="404" spans="1:9" x14ac:dyDescent="0.25">
      <c r="A404">
        <v>391</v>
      </c>
      <c r="B404" s="1">
        <v>45380</v>
      </c>
      <c r="C404">
        <v>19</v>
      </c>
      <c r="D404" t="str">
        <f>"4401"</f>
        <v>4401</v>
      </c>
      <c r="E404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04" t="str">
        <f>""</f>
        <v/>
      </c>
      <c r="G404" t="str">
        <f>""</f>
        <v/>
      </c>
      <c r="H404" t="str">
        <f>""</f>
        <v/>
      </c>
      <c r="I404" s="2">
        <v>1115739241.29</v>
      </c>
    </row>
    <row r="405" spans="1:9" x14ac:dyDescent="0.25">
      <c r="A405">
        <v>429</v>
      </c>
      <c r="B405" s="1">
        <v>45380</v>
      </c>
      <c r="C405">
        <v>19</v>
      </c>
      <c r="D405" t="str">
        <f>"4403"</f>
        <v>4403</v>
      </c>
      <c r="E405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05" t="str">
        <f>""</f>
        <v/>
      </c>
      <c r="G405" t="str">
        <f>""</f>
        <v/>
      </c>
      <c r="H405" t="str">
        <f>""</f>
        <v/>
      </c>
      <c r="I405" s="2">
        <v>175515314240.34</v>
      </c>
    </row>
    <row r="406" spans="1:9" x14ac:dyDescent="0.25">
      <c r="A406">
        <v>390</v>
      </c>
      <c r="B406" s="1">
        <v>45380</v>
      </c>
      <c r="C406">
        <v>19</v>
      </c>
      <c r="D406" t="str">
        <f>"4411"</f>
        <v>4411</v>
      </c>
      <c r="E406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06" t="str">
        <f>""</f>
        <v/>
      </c>
      <c r="G406" t="str">
        <f>""</f>
        <v/>
      </c>
      <c r="H406" t="str">
        <f>""</f>
        <v/>
      </c>
      <c r="I406" s="2">
        <v>246060166.74000001</v>
      </c>
    </row>
    <row r="407" spans="1:9" x14ac:dyDescent="0.25">
      <c r="A407">
        <v>393</v>
      </c>
      <c r="B407" s="1">
        <v>45380</v>
      </c>
      <c r="C407">
        <v>19</v>
      </c>
      <c r="D407" t="str">
        <f>"4417"</f>
        <v>4417</v>
      </c>
      <c r="E40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07" t="str">
        <f>""</f>
        <v/>
      </c>
      <c r="G407" t="str">
        <f>""</f>
        <v/>
      </c>
      <c r="H407" t="str">
        <f>""</f>
        <v/>
      </c>
      <c r="I407" s="2">
        <v>2831824141.1799998</v>
      </c>
    </row>
    <row r="408" spans="1:9" x14ac:dyDescent="0.25">
      <c r="A408">
        <v>395</v>
      </c>
      <c r="B408" s="1">
        <v>45380</v>
      </c>
      <c r="C408">
        <v>19</v>
      </c>
      <c r="D408" t="str">
        <f>"4424"</f>
        <v>4424</v>
      </c>
      <c r="E40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08" t="str">
        <f>""</f>
        <v/>
      </c>
      <c r="G408" t="str">
        <f>""</f>
        <v/>
      </c>
      <c r="H408" t="str">
        <f>""</f>
        <v/>
      </c>
      <c r="I408" s="2">
        <v>469706666.25999999</v>
      </c>
    </row>
    <row r="409" spans="1:9" x14ac:dyDescent="0.25">
      <c r="A409">
        <v>394</v>
      </c>
      <c r="B409" s="1">
        <v>45380</v>
      </c>
      <c r="C409">
        <v>19</v>
      </c>
      <c r="D409" t="str">
        <f>"4429"</f>
        <v>4429</v>
      </c>
      <c r="E40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09" t="str">
        <f>""</f>
        <v/>
      </c>
      <c r="G409" t="str">
        <f>""</f>
        <v/>
      </c>
      <c r="H409" t="str">
        <f>""</f>
        <v/>
      </c>
      <c r="I409" s="2">
        <v>109805.53</v>
      </c>
    </row>
    <row r="410" spans="1:9" x14ac:dyDescent="0.25">
      <c r="A410">
        <v>397</v>
      </c>
      <c r="B410" s="1">
        <v>45380</v>
      </c>
      <c r="C410">
        <v>19</v>
      </c>
      <c r="D410" t="str">
        <f>"4434"</f>
        <v>4434</v>
      </c>
      <c r="E410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10" t="str">
        <f>""</f>
        <v/>
      </c>
      <c r="G410" t="str">
        <f>""</f>
        <v/>
      </c>
      <c r="H410" t="str">
        <f>""</f>
        <v/>
      </c>
      <c r="I410" s="2">
        <v>12619041685.639999</v>
      </c>
    </row>
    <row r="411" spans="1:9" x14ac:dyDescent="0.25">
      <c r="A411">
        <v>418</v>
      </c>
      <c r="B411" s="1">
        <v>45380</v>
      </c>
      <c r="C411">
        <v>19</v>
      </c>
      <c r="D411" t="str">
        <f>"4440"</f>
        <v>4440</v>
      </c>
      <c r="E411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411" t="str">
        <f>""</f>
        <v/>
      </c>
      <c r="G411" t="str">
        <f>""</f>
        <v/>
      </c>
      <c r="H411" t="str">
        <f>""</f>
        <v/>
      </c>
      <c r="I411" s="2">
        <v>86404128.659999996</v>
      </c>
    </row>
    <row r="412" spans="1:9" x14ac:dyDescent="0.25">
      <c r="A412">
        <v>398</v>
      </c>
      <c r="B412" s="1">
        <v>45380</v>
      </c>
      <c r="C412">
        <v>19</v>
      </c>
      <c r="D412" t="str">
        <f>"4452"</f>
        <v>4452</v>
      </c>
      <c r="E412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12" t="str">
        <f>""</f>
        <v/>
      </c>
      <c r="G412" t="str">
        <f>""</f>
        <v/>
      </c>
      <c r="H412" t="str">
        <f>""</f>
        <v/>
      </c>
      <c r="I412" s="2">
        <v>29942462916.650002</v>
      </c>
    </row>
    <row r="413" spans="1:9" x14ac:dyDescent="0.25">
      <c r="A413">
        <v>399</v>
      </c>
      <c r="B413" s="1">
        <v>45380</v>
      </c>
      <c r="C413">
        <v>19</v>
      </c>
      <c r="D413" t="str">
        <f>"4453"</f>
        <v>4453</v>
      </c>
      <c r="E41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13" t="str">
        <f>""</f>
        <v/>
      </c>
      <c r="G413" t="str">
        <f>""</f>
        <v/>
      </c>
      <c r="H413" t="str">
        <f>""</f>
        <v/>
      </c>
      <c r="I413" s="2">
        <v>14682727227.860001</v>
      </c>
    </row>
    <row r="414" spans="1:9" x14ac:dyDescent="0.25">
      <c r="A414">
        <v>400</v>
      </c>
      <c r="B414" s="1">
        <v>45380</v>
      </c>
      <c r="C414">
        <v>19</v>
      </c>
      <c r="D414" t="str">
        <f>"4454"</f>
        <v>4454</v>
      </c>
      <c r="E41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414" t="str">
        <f>""</f>
        <v/>
      </c>
      <c r="G414" t="str">
        <f>""</f>
        <v/>
      </c>
      <c r="H414" t="str">
        <f>""</f>
        <v/>
      </c>
      <c r="I414" s="2">
        <v>12979631.59</v>
      </c>
    </row>
    <row r="415" spans="1:9" x14ac:dyDescent="0.25">
      <c r="A415">
        <v>402</v>
      </c>
      <c r="B415" s="1">
        <v>45380</v>
      </c>
      <c r="C415">
        <v>19</v>
      </c>
      <c r="D415" t="str">
        <f>"4455"</f>
        <v>4455</v>
      </c>
      <c r="E415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15" t="str">
        <f>""</f>
        <v/>
      </c>
      <c r="G415" t="str">
        <f>""</f>
        <v/>
      </c>
      <c r="H415" t="str">
        <f>""</f>
        <v/>
      </c>
      <c r="I415" s="2">
        <v>19335503.059999999</v>
      </c>
    </row>
    <row r="416" spans="1:9" x14ac:dyDescent="0.25">
      <c r="A416">
        <v>401</v>
      </c>
      <c r="B416" s="1">
        <v>45380</v>
      </c>
      <c r="C416">
        <v>19</v>
      </c>
      <c r="D416" t="str">
        <f>"4465"</f>
        <v>4465</v>
      </c>
      <c r="E416" t="str">
        <f>"Доходы по операциям «РЕПО» с ценными бумагами"</f>
        <v>Доходы по операциям «РЕПО» с ценными бумагами</v>
      </c>
      <c r="F416" t="str">
        <f>""</f>
        <v/>
      </c>
      <c r="G416" t="str">
        <f>""</f>
        <v/>
      </c>
      <c r="H416" t="str">
        <f>""</f>
        <v/>
      </c>
      <c r="I416" s="2">
        <v>201506499.84</v>
      </c>
    </row>
    <row r="417" spans="1:9" x14ac:dyDescent="0.25">
      <c r="A417">
        <v>403</v>
      </c>
      <c r="B417" s="1">
        <v>45380</v>
      </c>
      <c r="C417">
        <v>19</v>
      </c>
      <c r="D417" t="str">
        <f>"4510"</f>
        <v>4510</v>
      </c>
      <c r="E417" t="str">
        <f>"Доходы по купле-продаже ценных бумаг"</f>
        <v>Доходы по купле-продаже ценных бумаг</v>
      </c>
      <c r="F417" t="str">
        <f>""</f>
        <v/>
      </c>
      <c r="G417" t="str">
        <f>""</f>
        <v/>
      </c>
      <c r="H417" t="str">
        <f>""</f>
        <v/>
      </c>
      <c r="I417" s="2">
        <v>5488296.4400000004</v>
      </c>
    </row>
    <row r="418" spans="1:9" x14ac:dyDescent="0.25">
      <c r="A418">
        <v>405</v>
      </c>
      <c r="B418" s="1">
        <v>45380</v>
      </c>
      <c r="C418">
        <v>19</v>
      </c>
      <c r="D418" t="str">
        <f>"4530"</f>
        <v>4530</v>
      </c>
      <c r="E418" t="str">
        <f>"Доходы по купле-продаже иностранной валюты"</f>
        <v>Доходы по купле-продаже иностранной валюты</v>
      </c>
      <c r="F418" t="str">
        <f>""</f>
        <v/>
      </c>
      <c r="G418" t="str">
        <f>""</f>
        <v/>
      </c>
      <c r="H418" t="str">
        <f>""</f>
        <v/>
      </c>
      <c r="I418" s="2">
        <v>6975532039.5600004</v>
      </c>
    </row>
    <row r="419" spans="1:9" x14ac:dyDescent="0.25">
      <c r="A419">
        <v>404</v>
      </c>
      <c r="B419" s="1">
        <v>45380</v>
      </c>
      <c r="C419">
        <v>19</v>
      </c>
      <c r="D419" t="str">
        <f>"4570"</f>
        <v>4570</v>
      </c>
      <c r="E419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19" t="str">
        <f>""</f>
        <v/>
      </c>
      <c r="G419" t="str">
        <f>""</f>
        <v/>
      </c>
      <c r="H419" t="str">
        <f>""</f>
        <v/>
      </c>
      <c r="I419" s="2">
        <v>988876710</v>
      </c>
    </row>
    <row r="420" spans="1:9" x14ac:dyDescent="0.25">
      <c r="A420">
        <v>427</v>
      </c>
      <c r="B420" s="1">
        <v>45380</v>
      </c>
      <c r="C420">
        <v>19</v>
      </c>
      <c r="D420" t="str">
        <f>"4593"</f>
        <v>4593</v>
      </c>
      <c r="E420" t="str">
        <f>"Доходы от переоценки операций своп"</f>
        <v>Доходы от переоценки операций своп</v>
      </c>
      <c r="F420" t="str">
        <f>""</f>
        <v/>
      </c>
      <c r="G420" t="str">
        <f>""</f>
        <v/>
      </c>
      <c r="H420" t="str">
        <f>""</f>
        <v/>
      </c>
      <c r="I420" s="2">
        <v>16349430217.77</v>
      </c>
    </row>
    <row r="421" spans="1:9" x14ac:dyDescent="0.25">
      <c r="A421">
        <v>415</v>
      </c>
      <c r="B421" s="1">
        <v>45380</v>
      </c>
      <c r="C421">
        <v>19</v>
      </c>
      <c r="D421" t="str">
        <f>"4601"</f>
        <v>4601</v>
      </c>
      <c r="E421" t="str">
        <f>"Комиссионные доходы за услуги по переводным операциям"</f>
        <v>Комиссионные доходы за услуги по переводным операциям</v>
      </c>
      <c r="F421" t="str">
        <f>""</f>
        <v/>
      </c>
      <c r="G421" t="str">
        <f>""</f>
        <v/>
      </c>
      <c r="H421" t="str">
        <f>""</f>
        <v/>
      </c>
      <c r="I421" s="2">
        <v>6442467159.3699999</v>
      </c>
    </row>
    <row r="422" spans="1:9" x14ac:dyDescent="0.25">
      <c r="A422">
        <v>413</v>
      </c>
      <c r="B422" s="1">
        <v>45380</v>
      </c>
      <c r="C422">
        <v>19</v>
      </c>
      <c r="D422" t="str">
        <f>"4604"</f>
        <v>4604</v>
      </c>
      <c r="E422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22" t="str">
        <f>""</f>
        <v/>
      </c>
      <c r="G422" t="str">
        <f>""</f>
        <v/>
      </c>
      <c r="H422" t="str">
        <f>""</f>
        <v/>
      </c>
      <c r="I422" s="2">
        <v>4216308.9400000004</v>
      </c>
    </row>
    <row r="423" spans="1:9" x14ac:dyDescent="0.25">
      <c r="A423">
        <v>408</v>
      </c>
      <c r="B423" s="1">
        <v>45380</v>
      </c>
      <c r="C423">
        <v>19</v>
      </c>
      <c r="D423" t="str">
        <f>"4605"</f>
        <v>4605</v>
      </c>
      <c r="E423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23" t="str">
        <f>""</f>
        <v/>
      </c>
      <c r="G423" t="str">
        <f>""</f>
        <v/>
      </c>
      <c r="H423" t="str">
        <f>""</f>
        <v/>
      </c>
      <c r="I423" s="2">
        <v>68749.3</v>
      </c>
    </row>
    <row r="424" spans="1:9" x14ac:dyDescent="0.25">
      <c r="A424">
        <v>407</v>
      </c>
      <c r="B424" s="1">
        <v>45380</v>
      </c>
      <c r="C424">
        <v>19</v>
      </c>
      <c r="D424" t="str">
        <f>"4606"</f>
        <v>4606</v>
      </c>
      <c r="E424" t="str">
        <f>"Комиссионные доходы за услуги по операциям с гарантиями"</f>
        <v>Комиссионные доходы за услуги по операциям с гарантиями</v>
      </c>
      <c r="F424" t="str">
        <f>""</f>
        <v/>
      </c>
      <c r="G424" t="str">
        <f>""</f>
        <v/>
      </c>
      <c r="H424" t="str">
        <f>""</f>
        <v/>
      </c>
      <c r="I424" s="2">
        <v>26122802.600000001</v>
      </c>
    </row>
    <row r="425" spans="1:9" x14ac:dyDescent="0.25">
      <c r="A425">
        <v>410</v>
      </c>
      <c r="B425" s="1">
        <v>45380</v>
      </c>
      <c r="C425">
        <v>19</v>
      </c>
      <c r="D425" t="str">
        <f>"4607"</f>
        <v>4607</v>
      </c>
      <c r="E425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25" t="str">
        <f>""</f>
        <v/>
      </c>
      <c r="G425" t="str">
        <f>""</f>
        <v/>
      </c>
      <c r="H425" t="str">
        <f>""</f>
        <v/>
      </c>
      <c r="I425" s="2">
        <v>2715749528.6599998</v>
      </c>
    </row>
    <row r="426" spans="1:9" x14ac:dyDescent="0.25">
      <c r="A426">
        <v>411</v>
      </c>
      <c r="B426" s="1">
        <v>45380</v>
      </c>
      <c r="C426">
        <v>19</v>
      </c>
      <c r="D426" t="str">
        <f>"4608"</f>
        <v>4608</v>
      </c>
      <c r="E426" t="str">
        <f>"Прочие комиссионные доходы"</f>
        <v>Прочие комиссионные доходы</v>
      </c>
      <c r="F426" t="str">
        <f>""</f>
        <v/>
      </c>
      <c r="G426" t="str">
        <f>""</f>
        <v/>
      </c>
      <c r="H426" t="str">
        <f>""</f>
        <v/>
      </c>
      <c r="I426" s="2">
        <v>8892878403.3099995</v>
      </c>
    </row>
    <row r="427" spans="1:9" x14ac:dyDescent="0.25">
      <c r="A427">
        <v>412</v>
      </c>
      <c r="B427" s="1">
        <v>45380</v>
      </c>
      <c r="C427">
        <v>19</v>
      </c>
      <c r="D427" t="str">
        <f>"4611"</f>
        <v>4611</v>
      </c>
      <c r="E427" t="str">
        <f>"Комиссионные доходы за услуги по кассовым операциям"</f>
        <v>Комиссионные доходы за услуги по кассовым операциям</v>
      </c>
      <c r="F427" t="str">
        <f>""</f>
        <v/>
      </c>
      <c r="G427" t="str">
        <f>""</f>
        <v/>
      </c>
      <c r="H427" t="str">
        <f>""</f>
        <v/>
      </c>
      <c r="I427" s="2">
        <v>7610554335.8800001</v>
      </c>
    </row>
    <row r="428" spans="1:9" x14ac:dyDescent="0.25">
      <c r="A428">
        <v>414</v>
      </c>
      <c r="B428" s="1">
        <v>45380</v>
      </c>
      <c r="C428">
        <v>19</v>
      </c>
      <c r="D428" t="str">
        <f>"4612"</f>
        <v>4612</v>
      </c>
      <c r="E428" t="str">
        <f>"Комиссионные доходы по документарным расчетам"</f>
        <v>Комиссионные доходы по документарным расчетам</v>
      </c>
      <c r="F428" t="str">
        <f>""</f>
        <v/>
      </c>
      <c r="G428" t="str">
        <f>""</f>
        <v/>
      </c>
      <c r="H428" t="str">
        <f>""</f>
        <v/>
      </c>
      <c r="I428" s="2">
        <v>12500</v>
      </c>
    </row>
    <row r="429" spans="1:9" x14ac:dyDescent="0.25">
      <c r="A429">
        <v>440</v>
      </c>
      <c r="B429" s="1">
        <v>45380</v>
      </c>
      <c r="C429">
        <v>19</v>
      </c>
      <c r="D429" t="str">
        <f>"4615"</f>
        <v>4615</v>
      </c>
      <c r="E429" t="str">
        <f>"Комиссионные доходы за услуги по инкассации"</f>
        <v>Комиссионные доходы за услуги по инкассации</v>
      </c>
      <c r="F429" t="str">
        <f>""</f>
        <v/>
      </c>
      <c r="G429" t="str">
        <f>""</f>
        <v/>
      </c>
      <c r="H429" t="str">
        <f>""</f>
        <v/>
      </c>
      <c r="I429" s="2">
        <v>1627710.05</v>
      </c>
    </row>
    <row r="430" spans="1:9" x14ac:dyDescent="0.25">
      <c r="A430">
        <v>417</v>
      </c>
      <c r="B430" s="1">
        <v>45380</v>
      </c>
      <c r="C430">
        <v>19</v>
      </c>
      <c r="D430" t="str">
        <f>"4617"</f>
        <v>4617</v>
      </c>
      <c r="E430" t="str">
        <f>"Комиссионные доходы за услуги по сейфовым операциям"</f>
        <v>Комиссионные доходы за услуги по сейфовым операциям</v>
      </c>
      <c r="F430" t="str">
        <f>""</f>
        <v/>
      </c>
      <c r="G430" t="str">
        <f>""</f>
        <v/>
      </c>
      <c r="H430" t="str">
        <f>""</f>
        <v/>
      </c>
      <c r="I430" s="2">
        <v>1407558.75</v>
      </c>
    </row>
    <row r="431" spans="1:9" x14ac:dyDescent="0.25">
      <c r="A431">
        <v>416</v>
      </c>
      <c r="B431" s="1">
        <v>45380</v>
      </c>
      <c r="C431">
        <v>19</v>
      </c>
      <c r="D431" t="str">
        <f>"4619"</f>
        <v>4619</v>
      </c>
      <c r="E431" t="str">
        <f>"Комиссионные доходы за обслуживание платежных карточек"</f>
        <v>Комиссионные доходы за обслуживание платежных карточек</v>
      </c>
      <c r="F431" t="str">
        <f>""</f>
        <v/>
      </c>
      <c r="G431" t="str">
        <f>""</f>
        <v/>
      </c>
      <c r="H431" t="str">
        <f>""</f>
        <v/>
      </c>
      <c r="I431" s="2">
        <v>98608598182.649994</v>
      </c>
    </row>
    <row r="432" spans="1:9" x14ac:dyDescent="0.25">
      <c r="A432">
        <v>420</v>
      </c>
      <c r="B432" s="1">
        <v>45380</v>
      </c>
      <c r="C432">
        <v>19</v>
      </c>
      <c r="D432" t="str">
        <f>"4703"</f>
        <v>4703</v>
      </c>
      <c r="E432" t="str">
        <f>"Доход от переоценки иностранной валюты"</f>
        <v>Доход от переоценки иностранной валюты</v>
      </c>
      <c r="F432" t="str">
        <f>""</f>
        <v/>
      </c>
      <c r="G432" t="str">
        <f>""</f>
        <v/>
      </c>
      <c r="H432" t="str">
        <f>""</f>
        <v/>
      </c>
      <c r="I432" s="2">
        <v>81169808809.460007</v>
      </c>
    </row>
    <row r="433" spans="1:9" x14ac:dyDescent="0.25">
      <c r="A433">
        <v>434</v>
      </c>
      <c r="B433" s="1">
        <v>45380</v>
      </c>
      <c r="C433">
        <v>19</v>
      </c>
      <c r="D433" t="str">
        <f>"4733"</f>
        <v>4733</v>
      </c>
      <c r="E433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33" t="str">
        <f>""</f>
        <v/>
      </c>
      <c r="G433" t="str">
        <f>""</f>
        <v/>
      </c>
      <c r="H433" t="str">
        <f>""</f>
        <v/>
      </c>
      <c r="I433" s="2">
        <v>39985085495.440002</v>
      </c>
    </row>
    <row r="434" spans="1:9" x14ac:dyDescent="0.25">
      <c r="A434">
        <v>421</v>
      </c>
      <c r="B434" s="1">
        <v>45380</v>
      </c>
      <c r="C434">
        <v>19</v>
      </c>
      <c r="D434" t="str">
        <f>"4734"</f>
        <v>4734</v>
      </c>
      <c r="E434" t="str">
        <f>"Доходы от прочей переоценки"</f>
        <v>Доходы от прочей переоценки</v>
      </c>
      <c r="F434" t="str">
        <f>""</f>
        <v/>
      </c>
      <c r="G434" t="str">
        <f>""</f>
        <v/>
      </c>
      <c r="H434" t="str">
        <f>""</f>
        <v/>
      </c>
      <c r="I434" s="2">
        <v>3997515.87</v>
      </c>
    </row>
    <row r="435" spans="1:9" x14ac:dyDescent="0.25">
      <c r="A435">
        <v>419</v>
      </c>
      <c r="B435" s="1">
        <v>45380</v>
      </c>
      <c r="C435">
        <v>19</v>
      </c>
      <c r="D435" t="str">
        <f>"4852"</f>
        <v>4852</v>
      </c>
      <c r="E435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35" t="str">
        <f>""</f>
        <v/>
      </c>
      <c r="G435" t="str">
        <f>""</f>
        <v/>
      </c>
      <c r="H435" t="str">
        <f>""</f>
        <v/>
      </c>
      <c r="I435" s="2">
        <v>10509169.16</v>
      </c>
    </row>
    <row r="436" spans="1:9" x14ac:dyDescent="0.25">
      <c r="A436">
        <v>422</v>
      </c>
      <c r="B436" s="1">
        <v>45380</v>
      </c>
      <c r="C436">
        <v>19</v>
      </c>
      <c r="D436" t="str">
        <f>"4900"</f>
        <v>4900</v>
      </c>
      <c r="E436" t="str">
        <f>"Неустойка (штраф, пеня)"</f>
        <v>Неустойка (штраф, пеня)</v>
      </c>
      <c r="F436" t="str">
        <f>""</f>
        <v/>
      </c>
      <c r="G436" t="str">
        <f>""</f>
        <v/>
      </c>
      <c r="H436" t="str">
        <f>""</f>
        <v/>
      </c>
      <c r="I436" s="2">
        <v>4445142340.8500004</v>
      </c>
    </row>
    <row r="437" spans="1:9" x14ac:dyDescent="0.25">
      <c r="A437">
        <v>426</v>
      </c>
      <c r="B437" s="1">
        <v>45380</v>
      </c>
      <c r="C437">
        <v>19</v>
      </c>
      <c r="D437" t="str">
        <f>"4921"</f>
        <v>4921</v>
      </c>
      <c r="E437" t="str">
        <f>"Прочие доходы от банковской деятельности"</f>
        <v>Прочие доходы от банковской деятельности</v>
      </c>
      <c r="F437" t="str">
        <f>""</f>
        <v/>
      </c>
      <c r="G437" t="str">
        <f>""</f>
        <v/>
      </c>
      <c r="H437" t="str">
        <f>""</f>
        <v/>
      </c>
      <c r="I437" s="2">
        <v>6434939.1200000001</v>
      </c>
    </row>
    <row r="438" spans="1:9" x14ac:dyDescent="0.25">
      <c r="A438">
        <v>423</v>
      </c>
      <c r="B438" s="1">
        <v>45380</v>
      </c>
      <c r="C438">
        <v>19</v>
      </c>
      <c r="D438" t="str">
        <f>"4922"</f>
        <v>4922</v>
      </c>
      <c r="E438" t="str">
        <f>"Прочие доходы от неосновной деятельности"</f>
        <v>Прочие доходы от неосновной деятельности</v>
      </c>
      <c r="F438" t="str">
        <f>""</f>
        <v/>
      </c>
      <c r="G438" t="str">
        <f>""</f>
        <v/>
      </c>
      <c r="H438" t="str">
        <f>""</f>
        <v/>
      </c>
      <c r="I438" s="2">
        <v>782796.3</v>
      </c>
    </row>
    <row r="439" spans="1:9" x14ac:dyDescent="0.25">
      <c r="A439">
        <v>425</v>
      </c>
      <c r="B439" s="1">
        <v>45380</v>
      </c>
      <c r="C439">
        <v>19</v>
      </c>
      <c r="D439" t="str">
        <f>"4951"</f>
        <v>4951</v>
      </c>
      <c r="E43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39" t="str">
        <f>""</f>
        <v/>
      </c>
      <c r="G439" t="str">
        <f>""</f>
        <v/>
      </c>
      <c r="H439" t="str">
        <f>""</f>
        <v/>
      </c>
      <c r="I439" s="2">
        <v>13468367.84</v>
      </c>
    </row>
    <row r="440" spans="1:9" x14ac:dyDescent="0.25">
      <c r="A440">
        <v>513</v>
      </c>
      <c r="B440" s="1">
        <v>45380</v>
      </c>
      <c r="C440">
        <v>19</v>
      </c>
      <c r="D440" t="str">
        <f>"4953"</f>
        <v>4953</v>
      </c>
      <c r="E440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40" t="str">
        <f>""</f>
        <v/>
      </c>
      <c r="G440" t="str">
        <f>""</f>
        <v/>
      </c>
      <c r="H440" t="str">
        <f>""</f>
        <v/>
      </c>
      <c r="I440" s="2">
        <v>72587583.510000005</v>
      </c>
    </row>
    <row r="441" spans="1:9" x14ac:dyDescent="0.25">
      <c r="A441">
        <v>439</v>
      </c>
      <c r="B441" s="1">
        <v>45380</v>
      </c>
      <c r="C441">
        <v>19</v>
      </c>
      <c r="D441" t="str">
        <f>"4954"</f>
        <v>4954</v>
      </c>
      <c r="E44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41" t="str">
        <f>""</f>
        <v/>
      </c>
      <c r="G441" t="str">
        <f>""</f>
        <v/>
      </c>
      <c r="H441" t="str">
        <f>""</f>
        <v/>
      </c>
      <c r="I441" s="2">
        <v>640130995.95000005</v>
      </c>
    </row>
    <row r="442" spans="1:9" x14ac:dyDescent="0.25">
      <c r="A442">
        <v>428</v>
      </c>
      <c r="B442" s="1">
        <v>45380</v>
      </c>
      <c r="C442">
        <v>19</v>
      </c>
      <c r="D442" t="str">
        <f>"4955"</f>
        <v>4955</v>
      </c>
      <c r="E442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42" t="str">
        <f>""</f>
        <v/>
      </c>
      <c r="G442" t="str">
        <f>""</f>
        <v/>
      </c>
      <c r="H442" t="str">
        <f>""</f>
        <v/>
      </c>
      <c r="I442" s="2">
        <v>13466263657.76</v>
      </c>
    </row>
    <row r="443" spans="1:9" x14ac:dyDescent="0.25">
      <c r="A443">
        <v>430</v>
      </c>
      <c r="B443" s="1">
        <v>45380</v>
      </c>
      <c r="C443">
        <v>19</v>
      </c>
      <c r="D443" t="str">
        <f>"4956"</f>
        <v>4956</v>
      </c>
      <c r="E44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43" t="str">
        <f>""</f>
        <v/>
      </c>
      <c r="G443" t="str">
        <f>""</f>
        <v/>
      </c>
      <c r="H443" t="str">
        <f>""</f>
        <v/>
      </c>
      <c r="I443" s="2">
        <v>1682331.92</v>
      </c>
    </row>
    <row r="444" spans="1:9" x14ac:dyDescent="0.25">
      <c r="A444">
        <v>433</v>
      </c>
      <c r="B444" s="1">
        <v>45380</v>
      </c>
      <c r="C444">
        <v>19</v>
      </c>
      <c r="D444" t="str">
        <f>"4957"</f>
        <v>4957</v>
      </c>
      <c r="E44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44" t="str">
        <f>""</f>
        <v/>
      </c>
      <c r="G444" t="str">
        <f>""</f>
        <v/>
      </c>
      <c r="H444" t="str">
        <f>""</f>
        <v/>
      </c>
      <c r="I444" s="2">
        <v>205148669.19</v>
      </c>
    </row>
    <row r="445" spans="1:9" x14ac:dyDescent="0.25">
      <c r="A445">
        <v>431</v>
      </c>
      <c r="B445" s="1">
        <v>45380</v>
      </c>
      <c r="C445">
        <v>19</v>
      </c>
      <c r="D445" t="str">
        <f>"4958"</f>
        <v>4958</v>
      </c>
      <c r="E445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45" t="str">
        <f>""</f>
        <v/>
      </c>
      <c r="G445" t="str">
        <f>""</f>
        <v/>
      </c>
      <c r="H445" t="str">
        <f>""</f>
        <v/>
      </c>
      <c r="I445" s="2">
        <v>31181926.16</v>
      </c>
    </row>
    <row r="446" spans="1:9" x14ac:dyDescent="0.25">
      <c r="A446">
        <v>432</v>
      </c>
      <c r="B446" s="1">
        <v>45380</v>
      </c>
      <c r="C446">
        <v>19</v>
      </c>
      <c r="D446" t="str">
        <f>"5124"</f>
        <v>5124</v>
      </c>
      <c r="E446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446" t="str">
        <f>""</f>
        <v/>
      </c>
      <c r="G446" t="str">
        <f>""</f>
        <v/>
      </c>
      <c r="H446" t="str">
        <f>""</f>
        <v/>
      </c>
      <c r="I446" s="2">
        <v>112375000</v>
      </c>
    </row>
    <row r="447" spans="1:9" x14ac:dyDescent="0.25">
      <c r="A447">
        <v>437</v>
      </c>
      <c r="B447" s="1">
        <v>45380</v>
      </c>
      <c r="C447">
        <v>19</v>
      </c>
      <c r="D447" t="str">
        <f>"5211"</f>
        <v>5211</v>
      </c>
      <c r="E447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447" t="str">
        <f>""</f>
        <v/>
      </c>
      <c r="G447" t="str">
        <f>""</f>
        <v/>
      </c>
      <c r="H447" t="str">
        <f>""</f>
        <v/>
      </c>
      <c r="I447" s="2">
        <v>7918491.0800000001</v>
      </c>
    </row>
    <row r="448" spans="1:9" x14ac:dyDescent="0.25">
      <c r="A448">
        <v>436</v>
      </c>
      <c r="B448" s="1">
        <v>45380</v>
      </c>
      <c r="C448">
        <v>19</v>
      </c>
      <c r="D448" t="str">
        <f>"5215"</f>
        <v>5215</v>
      </c>
      <c r="E44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48" t="str">
        <f>""</f>
        <v/>
      </c>
      <c r="G448" t="str">
        <f>""</f>
        <v/>
      </c>
      <c r="H448" t="str">
        <f>""</f>
        <v/>
      </c>
      <c r="I448" s="2">
        <v>38473464797.019997</v>
      </c>
    </row>
    <row r="449" spans="1:9" x14ac:dyDescent="0.25">
      <c r="A449">
        <v>450</v>
      </c>
      <c r="B449" s="1">
        <v>45380</v>
      </c>
      <c r="C449">
        <v>19</v>
      </c>
      <c r="D449" t="str">
        <f>"5217"</f>
        <v>5217</v>
      </c>
      <c r="E449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49" t="str">
        <f>""</f>
        <v/>
      </c>
      <c r="G449" t="str">
        <f>""</f>
        <v/>
      </c>
      <c r="H449" t="str">
        <f>""</f>
        <v/>
      </c>
      <c r="I449" s="2">
        <v>104837489717.07001</v>
      </c>
    </row>
    <row r="450" spans="1:9" x14ac:dyDescent="0.25">
      <c r="A450">
        <v>435</v>
      </c>
      <c r="B450" s="1">
        <v>45380</v>
      </c>
      <c r="C450">
        <v>19</v>
      </c>
      <c r="D450" t="str">
        <f>"5219"</f>
        <v>5219</v>
      </c>
      <c r="E45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50" t="str">
        <f>""</f>
        <v/>
      </c>
      <c r="G450" t="str">
        <f>""</f>
        <v/>
      </c>
      <c r="H450" t="str">
        <f>""</f>
        <v/>
      </c>
      <c r="I450" s="2">
        <v>55368.39</v>
      </c>
    </row>
    <row r="451" spans="1:9" x14ac:dyDescent="0.25">
      <c r="A451">
        <v>438</v>
      </c>
      <c r="B451" s="1">
        <v>45380</v>
      </c>
      <c r="C451">
        <v>19</v>
      </c>
      <c r="D451" t="str">
        <f>"5236"</f>
        <v>5236</v>
      </c>
      <c r="E451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451" t="str">
        <f>""</f>
        <v/>
      </c>
      <c r="G451" t="str">
        <f>""</f>
        <v/>
      </c>
      <c r="H451" t="str">
        <f>""</f>
        <v/>
      </c>
      <c r="I451" s="2">
        <v>86522410.719999999</v>
      </c>
    </row>
    <row r="452" spans="1:9" x14ac:dyDescent="0.25">
      <c r="A452">
        <v>441</v>
      </c>
      <c r="B452" s="1">
        <v>45380</v>
      </c>
      <c r="C452">
        <v>19</v>
      </c>
      <c r="D452" t="str">
        <f>"5240"</f>
        <v>5240</v>
      </c>
      <c r="E452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52" t="str">
        <f>""</f>
        <v/>
      </c>
      <c r="G452" t="str">
        <f>""</f>
        <v/>
      </c>
      <c r="H452" t="str">
        <f>""</f>
        <v/>
      </c>
      <c r="I452" s="2">
        <v>11027203402.200001</v>
      </c>
    </row>
    <row r="453" spans="1:9" x14ac:dyDescent="0.25">
      <c r="A453">
        <v>442</v>
      </c>
      <c r="B453" s="1">
        <v>45380</v>
      </c>
      <c r="C453">
        <v>19</v>
      </c>
      <c r="D453" t="str">
        <f>"5250"</f>
        <v>5250</v>
      </c>
      <c r="E453" t="s">
        <v>9</v>
      </c>
      <c r="F453" t="str">
        <f>""</f>
        <v/>
      </c>
      <c r="G453" t="str">
        <f>""</f>
        <v/>
      </c>
      <c r="H453" t="str">
        <f>""</f>
        <v/>
      </c>
      <c r="I453" s="2">
        <v>2845086400.04</v>
      </c>
    </row>
    <row r="454" spans="1:9" x14ac:dyDescent="0.25">
      <c r="A454">
        <v>443</v>
      </c>
      <c r="B454" s="1">
        <v>45380</v>
      </c>
      <c r="C454">
        <v>19</v>
      </c>
      <c r="D454" t="str">
        <f>"5301"</f>
        <v>5301</v>
      </c>
      <c r="E454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454" t="str">
        <f>""</f>
        <v/>
      </c>
      <c r="G454" t="str">
        <f>""</f>
        <v/>
      </c>
      <c r="H454" t="str">
        <f>""</f>
        <v/>
      </c>
      <c r="I454" s="2">
        <v>1554360606.73</v>
      </c>
    </row>
    <row r="455" spans="1:9" x14ac:dyDescent="0.25">
      <c r="A455">
        <v>445</v>
      </c>
      <c r="B455" s="1">
        <v>45380</v>
      </c>
      <c r="C455">
        <v>19</v>
      </c>
      <c r="D455" t="str">
        <f>"5306"</f>
        <v>5306</v>
      </c>
      <c r="E455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55" t="str">
        <f>""</f>
        <v/>
      </c>
      <c r="G455" t="str">
        <f>""</f>
        <v/>
      </c>
      <c r="H455" t="str">
        <f>""</f>
        <v/>
      </c>
      <c r="I455" s="2">
        <v>300355502.07999998</v>
      </c>
    </row>
    <row r="456" spans="1:9" x14ac:dyDescent="0.25">
      <c r="A456">
        <v>446</v>
      </c>
      <c r="B456" s="1">
        <v>45380</v>
      </c>
      <c r="C456">
        <v>19</v>
      </c>
      <c r="D456" t="str">
        <f>"5307"</f>
        <v>5307</v>
      </c>
      <c r="E456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56" t="str">
        <f>""</f>
        <v/>
      </c>
      <c r="G456" t="str">
        <f>""</f>
        <v/>
      </c>
      <c r="H456" t="str">
        <f>""</f>
        <v/>
      </c>
      <c r="I456" s="2">
        <v>14861221.25</v>
      </c>
    </row>
    <row r="457" spans="1:9" x14ac:dyDescent="0.25">
      <c r="A457">
        <v>444</v>
      </c>
      <c r="B457" s="1">
        <v>45380</v>
      </c>
      <c r="C457">
        <v>19</v>
      </c>
      <c r="D457" t="str">
        <f>"5404"</f>
        <v>5404</v>
      </c>
      <c r="E45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57" t="str">
        <f>""</f>
        <v/>
      </c>
      <c r="G457" t="str">
        <f>""</f>
        <v/>
      </c>
      <c r="H457" t="str">
        <f>""</f>
        <v/>
      </c>
      <c r="I457" s="2">
        <v>7254.63</v>
      </c>
    </row>
    <row r="458" spans="1:9" x14ac:dyDescent="0.25">
      <c r="A458">
        <v>447</v>
      </c>
      <c r="B458" s="1">
        <v>45380</v>
      </c>
      <c r="C458">
        <v>19</v>
      </c>
      <c r="D458" t="str">
        <f>"5406"</f>
        <v>5406</v>
      </c>
      <c r="E45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58" t="str">
        <f>""</f>
        <v/>
      </c>
      <c r="G458" t="str">
        <f>""</f>
        <v/>
      </c>
      <c r="H458" t="str">
        <f>""</f>
        <v/>
      </c>
      <c r="I458" s="2">
        <v>1580933588.5899999</v>
      </c>
    </row>
    <row r="459" spans="1:9" x14ac:dyDescent="0.25">
      <c r="A459">
        <v>451</v>
      </c>
      <c r="B459" s="1">
        <v>45380</v>
      </c>
      <c r="C459">
        <v>19</v>
      </c>
      <c r="D459" t="str">
        <f>"5451"</f>
        <v>5451</v>
      </c>
      <c r="E459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59" t="str">
        <f>""</f>
        <v/>
      </c>
      <c r="G459" t="str">
        <f>""</f>
        <v/>
      </c>
      <c r="H459" t="str">
        <f>""</f>
        <v/>
      </c>
      <c r="I459" s="2">
        <v>8031747.3300000001</v>
      </c>
    </row>
    <row r="460" spans="1:9" x14ac:dyDescent="0.25">
      <c r="A460">
        <v>449</v>
      </c>
      <c r="B460" s="1">
        <v>45380</v>
      </c>
      <c r="C460">
        <v>19</v>
      </c>
      <c r="D460" t="str">
        <f>"5453"</f>
        <v>5453</v>
      </c>
      <c r="E46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60" t="str">
        <f>""</f>
        <v/>
      </c>
      <c r="G460" t="str">
        <f>""</f>
        <v/>
      </c>
      <c r="H460" t="str">
        <f>""</f>
        <v/>
      </c>
      <c r="I460" s="2">
        <v>1137727423.1600001</v>
      </c>
    </row>
    <row r="461" spans="1:9" x14ac:dyDescent="0.25">
      <c r="A461">
        <v>477</v>
      </c>
      <c r="B461" s="1">
        <v>45380</v>
      </c>
      <c r="C461">
        <v>19</v>
      </c>
      <c r="D461" t="str">
        <f>"5455"</f>
        <v>5455</v>
      </c>
      <c r="E46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61" t="str">
        <f>""</f>
        <v/>
      </c>
      <c r="G461" t="str">
        <f>""</f>
        <v/>
      </c>
      <c r="H461" t="str">
        <f>""</f>
        <v/>
      </c>
      <c r="I461" s="2">
        <v>38359337123.389999</v>
      </c>
    </row>
    <row r="462" spans="1:9" x14ac:dyDescent="0.25">
      <c r="A462">
        <v>448</v>
      </c>
      <c r="B462" s="1">
        <v>45380</v>
      </c>
      <c r="C462">
        <v>19</v>
      </c>
      <c r="D462" t="str">
        <f>"5456"</f>
        <v>5456</v>
      </c>
      <c r="E46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62" t="str">
        <f>""</f>
        <v/>
      </c>
      <c r="G462" t="str">
        <f>""</f>
        <v/>
      </c>
      <c r="H462" t="str">
        <f>""</f>
        <v/>
      </c>
      <c r="I462" s="2">
        <v>1065787.8799999999</v>
      </c>
    </row>
    <row r="463" spans="1:9" x14ac:dyDescent="0.25">
      <c r="A463">
        <v>453</v>
      </c>
      <c r="B463" s="1">
        <v>45380</v>
      </c>
      <c r="C463">
        <v>19</v>
      </c>
      <c r="D463" t="str">
        <f>"5457"</f>
        <v>5457</v>
      </c>
      <c r="E46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463" t="str">
        <f>""</f>
        <v/>
      </c>
      <c r="G463" t="str">
        <f>""</f>
        <v/>
      </c>
      <c r="H463" t="str">
        <f>""</f>
        <v/>
      </c>
      <c r="I463" s="2">
        <v>294834151.54000002</v>
      </c>
    </row>
    <row r="464" spans="1:9" x14ac:dyDescent="0.25">
      <c r="A464">
        <v>454</v>
      </c>
      <c r="B464" s="1">
        <v>45380</v>
      </c>
      <c r="C464">
        <v>19</v>
      </c>
      <c r="D464" t="str">
        <f>"5464"</f>
        <v>5464</v>
      </c>
      <c r="E46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64" t="str">
        <f>""</f>
        <v/>
      </c>
      <c r="G464" t="str">
        <f>""</f>
        <v/>
      </c>
      <c r="H464" t="str">
        <f>""</f>
        <v/>
      </c>
      <c r="I464" s="2">
        <v>346319725.75</v>
      </c>
    </row>
    <row r="465" spans="1:9" x14ac:dyDescent="0.25">
      <c r="A465">
        <v>452</v>
      </c>
      <c r="B465" s="1">
        <v>45380</v>
      </c>
      <c r="C465">
        <v>19</v>
      </c>
      <c r="D465" t="str">
        <f>"5510"</f>
        <v>5510</v>
      </c>
      <c r="E465" t="str">
        <f>"Расходы по купле-продаже ценных бумаг"</f>
        <v>Расходы по купле-продаже ценных бумаг</v>
      </c>
      <c r="F465" t="str">
        <f>""</f>
        <v/>
      </c>
      <c r="G465" t="str">
        <f>""</f>
        <v/>
      </c>
      <c r="H465" t="str">
        <f>""</f>
        <v/>
      </c>
      <c r="I465" s="2">
        <v>55255025.490000002</v>
      </c>
    </row>
    <row r="466" spans="1:9" x14ac:dyDescent="0.25">
      <c r="A466">
        <v>455</v>
      </c>
      <c r="B466" s="1">
        <v>45380</v>
      </c>
      <c r="C466">
        <v>19</v>
      </c>
      <c r="D466" t="str">
        <f>"5530"</f>
        <v>5530</v>
      </c>
      <c r="E466" t="str">
        <f>"Расходы по купле-продаже иностранной валюты"</f>
        <v>Расходы по купле-продаже иностранной валюты</v>
      </c>
      <c r="F466" t="str">
        <f>""</f>
        <v/>
      </c>
      <c r="G466" t="str">
        <f>""</f>
        <v/>
      </c>
      <c r="H466" t="str">
        <f>""</f>
        <v/>
      </c>
      <c r="I466" s="2">
        <v>719225105.94000006</v>
      </c>
    </row>
    <row r="467" spans="1:9" x14ac:dyDescent="0.25">
      <c r="A467">
        <v>456</v>
      </c>
      <c r="B467" s="1">
        <v>45380</v>
      </c>
      <c r="C467">
        <v>19</v>
      </c>
      <c r="D467" t="str">
        <f>"5570"</f>
        <v>5570</v>
      </c>
      <c r="E467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467" t="str">
        <f>""</f>
        <v/>
      </c>
      <c r="G467" t="str">
        <f>""</f>
        <v/>
      </c>
      <c r="H467" t="str">
        <f>""</f>
        <v/>
      </c>
      <c r="I467" s="2">
        <v>1954622206.75</v>
      </c>
    </row>
    <row r="468" spans="1:9" x14ac:dyDescent="0.25">
      <c r="A468">
        <v>457</v>
      </c>
      <c r="B468" s="1">
        <v>45380</v>
      </c>
      <c r="C468">
        <v>19</v>
      </c>
      <c r="D468" t="str">
        <f>"5593"</f>
        <v>5593</v>
      </c>
      <c r="E468" t="str">
        <f>"Расходы от переоценки операций своп"</f>
        <v>Расходы от переоценки операций своп</v>
      </c>
      <c r="F468" t="str">
        <f>""</f>
        <v/>
      </c>
      <c r="G468" t="str">
        <f>""</f>
        <v/>
      </c>
      <c r="H468" t="str">
        <f>""</f>
        <v/>
      </c>
      <c r="I468" s="2">
        <v>14573208065.1</v>
      </c>
    </row>
    <row r="469" spans="1:9" x14ac:dyDescent="0.25">
      <c r="A469">
        <v>460</v>
      </c>
      <c r="B469" s="1">
        <v>45380</v>
      </c>
      <c r="C469">
        <v>19</v>
      </c>
      <c r="D469" t="str">
        <f>"5601"</f>
        <v>5601</v>
      </c>
      <c r="E469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69" t="str">
        <f>""</f>
        <v/>
      </c>
      <c r="G469" t="str">
        <f>""</f>
        <v/>
      </c>
      <c r="H469" t="str">
        <f>""</f>
        <v/>
      </c>
      <c r="I469" s="2">
        <v>410665141.16000003</v>
      </c>
    </row>
    <row r="470" spans="1:9" x14ac:dyDescent="0.25">
      <c r="A470">
        <v>462</v>
      </c>
      <c r="B470" s="1">
        <v>45380</v>
      </c>
      <c r="C470">
        <v>19</v>
      </c>
      <c r="D470" t="str">
        <f>"5602"</f>
        <v>5602</v>
      </c>
      <c r="E470" t="str">
        <f>"Комиссионные расходы по полученным агентским услугам"</f>
        <v>Комиссионные расходы по полученным агентским услугам</v>
      </c>
      <c r="F470" t="str">
        <f>""</f>
        <v/>
      </c>
      <c r="G470" t="str">
        <f>""</f>
        <v/>
      </c>
      <c r="H470" t="str">
        <f>""</f>
        <v/>
      </c>
      <c r="I470" s="2">
        <v>181308796.91</v>
      </c>
    </row>
    <row r="471" spans="1:9" x14ac:dyDescent="0.25">
      <c r="A471">
        <v>458</v>
      </c>
      <c r="B471" s="1">
        <v>45380</v>
      </c>
      <c r="C471">
        <v>19</v>
      </c>
      <c r="D471" t="str">
        <f>"5603"</f>
        <v>5603</v>
      </c>
      <c r="E47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471" t="str">
        <f>""</f>
        <v/>
      </c>
      <c r="G471" t="str">
        <f>""</f>
        <v/>
      </c>
      <c r="H471" t="str">
        <f>""</f>
        <v/>
      </c>
      <c r="I471" s="2">
        <v>136917094.15000001</v>
      </c>
    </row>
    <row r="472" spans="1:9" x14ac:dyDescent="0.25">
      <c r="A472">
        <v>497</v>
      </c>
      <c r="B472" s="1">
        <v>45380</v>
      </c>
      <c r="C472">
        <v>19</v>
      </c>
      <c r="D472" t="str">
        <f>"5604"</f>
        <v>5604</v>
      </c>
      <c r="E472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472" t="str">
        <f>""</f>
        <v/>
      </c>
      <c r="G472" t="str">
        <f>""</f>
        <v/>
      </c>
      <c r="H472" t="str">
        <f>""</f>
        <v/>
      </c>
      <c r="I472" s="2">
        <v>29070235.640000001</v>
      </c>
    </row>
    <row r="473" spans="1:9" x14ac:dyDescent="0.25">
      <c r="A473">
        <v>459</v>
      </c>
      <c r="B473" s="1">
        <v>45380</v>
      </c>
      <c r="C473">
        <v>19</v>
      </c>
      <c r="D473" t="str">
        <f>"5608"</f>
        <v>5608</v>
      </c>
      <c r="E473" t="str">
        <f>"Прочие комиссионные расходы"</f>
        <v>Прочие комиссионные расходы</v>
      </c>
      <c r="F473" t="str">
        <f>""</f>
        <v/>
      </c>
      <c r="G473" t="str">
        <f>""</f>
        <v/>
      </c>
      <c r="H473" t="str">
        <f>""</f>
        <v/>
      </c>
      <c r="I473" s="2">
        <v>6955365872.8699999</v>
      </c>
    </row>
    <row r="474" spans="1:9" x14ac:dyDescent="0.25">
      <c r="A474">
        <v>463</v>
      </c>
      <c r="B474" s="1">
        <v>45380</v>
      </c>
      <c r="C474">
        <v>19</v>
      </c>
      <c r="D474" t="str">
        <f>"5609"</f>
        <v>5609</v>
      </c>
      <c r="E47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74" t="str">
        <f>""</f>
        <v/>
      </c>
      <c r="G474" t="str">
        <f>""</f>
        <v/>
      </c>
      <c r="H474" t="str">
        <f>""</f>
        <v/>
      </c>
      <c r="I474" s="2">
        <v>4562864.4000000004</v>
      </c>
    </row>
    <row r="475" spans="1:9" x14ac:dyDescent="0.25">
      <c r="A475">
        <v>472</v>
      </c>
      <c r="B475" s="1">
        <v>45380</v>
      </c>
      <c r="C475">
        <v>19</v>
      </c>
      <c r="D475" t="str">
        <f>"5610"</f>
        <v>5610</v>
      </c>
      <c r="E475" t="str">
        <f>"Комиссионные расходы по документарным расчетам"</f>
        <v>Комиссионные расходы по документарным расчетам</v>
      </c>
      <c r="F475" t="str">
        <f>""</f>
        <v/>
      </c>
      <c r="G475" t="str">
        <f>""</f>
        <v/>
      </c>
      <c r="H475" t="str">
        <f>""</f>
        <v/>
      </c>
      <c r="I475" s="2">
        <v>4448613.3600000003</v>
      </c>
    </row>
    <row r="476" spans="1:9" x14ac:dyDescent="0.25">
      <c r="A476">
        <v>464</v>
      </c>
      <c r="B476" s="1">
        <v>45380</v>
      </c>
      <c r="C476">
        <v>19</v>
      </c>
      <c r="D476" t="str">
        <f>"5703"</f>
        <v>5703</v>
      </c>
      <c r="E476" t="str">
        <f>"Расходы от переоценки иностранной валюты"</f>
        <v>Расходы от переоценки иностранной валюты</v>
      </c>
      <c r="F476" t="str">
        <f>""</f>
        <v/>
      </c>
      <c r="G476" t="str">
        <f>""</f>
        <v/>
      </c>
      <c r="H476" t="str">
        <f>""</f>
        <v/>
      </c>
      <c r="I476" s="2">
        <v>81513159525.229996</v>
      </c>
    </row>
    <row r="477" spans="1:9" x14ac:dyDescent="0.25">
      <c r="A477">
        <v>465</v>
      </c>
      <c r="B477" s="1">
        <v>45380</v>
      </c>
      <c r="C477">
        <v>19</v>
      </c>
      <c r="D477" t="str">
        <f>"5721"</f>
        <v>5721</v>
      </c>
      <c r="E477" t="str">
        <f>"Расходы по оплате труда"</f>
        <v>Расходы по оплате труда</v>
      </c>
      <c r="F477" t="str">
        <f>""</f>
        <v/>
      </c>
      <c r="G477" t="str">
        <f>""</f>
        <v/>
      </c>
      <c r="H477" t="str">
        <f>""</f>
        <v/>
      </c>
      <c r="I477" s="2">
        <v>13133140356.389999</v>
      </c>
    </row>
    <row r="478" spans="1:9" x14ac:dyDescent="0.25">
      <c r="A478">
        <v>491</v>
      </c>
      <c r="B478" s="1">
        <v>45380</v>
      </c>
      <c r="C478">
        <v>19</v>
      </c>
      <c r="D478" t="str">
        <f>"5722"</f>
        <v>5722</v>
      </c>
      <c r="E47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478" t="str">
        <f>""</f>
        <v/>
      </c>
      <c r="G478" t="str">
        <f>""</f>
        <v/>
      </c>
      <c r="H478" t="str">
        <f>""</f>
        <v/>
      </c>
      <c r="I478" s="2">
        <v>785498618</v>
      </c>
    </row>
    <row r="479" spans="1:9" x14ac:dyDescent="0.25">
      <c r="A479">
        <v>467</v>
      </c>
      <c r="B479" s="1">
        <v>45380</v>
      </c>
      <c r="C479">
        <v>19</v>
      </c>
      <c r="D479" t="str">
        <f>"5729"</f>
        <v>5729</v>
      </c>
      <c r="E479" t="str">
        <f>"Прочие выплаты"</f>
        <v>Прочие выплаты</v>
      </c>
      <c r="F479" t="str">
        <f>""</f>
        <v/>
      </c>
      <c r="G479" t="str">
        <f>""</f>
        <v/>
      </c>
      <c r="H479" t="str">
        <f>""</f>
        <v/>
      </c>
      <c r="I479" s="2">
        <v>814135802.33000004</v>
      </c>
    </row>
    <row r="480" spans="1:9" x14ac:dyDescent="0.25">
      <c r="A480">
        <v>466</v>
      </c>
      <c r="B480" s="1">
        <v>45380</v>
      </c>
      <c r="C480">
        <v>19</v>
      </c>
      <c r="D480" t="str">
        <f>"5733"</f>
        <v>5733</v>
      </c>
      <c r="E480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480" t="str">
        <f>""</f>
        <v/>
      </c>
      <c r="G480" t="str">
        <f>""</f>
        <v/>
      </c>
      <c r="H480" t="str">
        <f>""</f>
        <v/>
      </c>
      <c r="I480" s="2">
        <v>40359458943.43</v>
      </c>
    </row>
    <row r="481" spans="1:9" x14ac:dyDescent="0.25">
      <c r="A481">
        <v>468</v>
      </c>
      <c r="B481" s="1">
        <v>45380</v>
      </c>
      <c r="C481">
        <v>19</v>
      </c>
      <c r="D481" t="str">
        <f>"5734"</f>
        <v>5734</v>
      </c>
      <c r="E481" t="str">
        <f>"Расходы от прочей переоценки"</f>
        <v>Расходы от прочей переоценки</v>
      </c>
      <c r="F481" t="str">
        <f>""</f>
        <v/>
      </c>
      <c r="G481" t="str">
        <f>""</f>
        <v/>
      </c>
      <c r="H481" t="str">
        <f>""</f>
        <v/>
      </c>
      <c r="I481" s="2">
        <v>1318480.3799999999</v>
      </c>
    </row>
    <row r="482" spans="1:9" x14ac:dyDescent="0.25">
      <c r="A482">
        <v>469</v>
      </c>
      <c r="B482" s="1">
        <v>45380</v>
      </c>
      <c r="C482">
        <v>19</v>
      </c>
      <c r="D482" t="str">
        <f>"5741"</f>
        <v>5741</v>
      </c>
      <c r="E482" t="str">
        <f>"Транспортные расходы"</f>
        <v>Транспортные расходы</v>
      </c>
      <c r="F482" t="str">
        <f>""</f>
        <v/>
      </c>
      <c r="G482" t="str">
        <f>""</f>
        <v/>
      </c>
      <c r="H482" t="str">
        <f>""</f>
        <v/>
      </c>
      <c r="I482" s="2">
        <v>239014668.84</v>
      </c>
    </row>
    <row r="483" spans="1:9" x14ac:dyDescent="0.25">
      <c r="A483">
        <v>484</v>
      </c>
      <c r="B483" s="1">
        <v>45380</v>
      </c>
      <c r="C483">
        <v>19</v>
      </c>
      <c r="D483" t="str">
        <f>"5742"</f>
        <v>5742</v>
      </c>
      <c r="E483" t="str">
        <f>"Административные расходы"</f>
        <v>Административные расходы</v>
      </c>
      <c r="F483" t="str">
        <f>""</f>
        <v/>
      </c>
      <c r="G483" t="str">
        <f>""</f>
        <v/>
      </c>
      <c r="H483" t="str">
        <f>""</f>
        <v/>
      </c>
      <c r="I483" s="2">
        <v>3353307691.6900001</v>
      </c>
    </row>
    <row r="484" spans="1:9" x14ac:dyDescent="0.25">
      <c r="A484">
        <v>470</v>
      </c>
      <c r="B484" s="1">
        <v>45380</v>
      </c>
      <c r="C484">
        <v>19</v>
      </c>
      <c r="D484" t="str">
        <f>"5743"</f>
        <v>5743</v>
      </c>
      <c r="E484" t="str">
        <f>"Расходы на инкассацию"</f>
        <v>Расходы на инкассацию</v>
      </c>
      <c r="F484" t="str">
        <f>""</f>
        <v/>
      </c>
      <c r="G484" t="str">
        <f>""</f>
        <v/>
      </c>
      <c r="H484" t="str">
        <f>""</f>
        <v/>
      </c>
      <c r="I484" s="2">
        <v>10824269.939999999</v>
      </c>
    </row>
    <row r="485" spans="1:9" x14ac:dyDescent="0.25">
      <c r="A485">
        <v>471</v>
      </c>
      <c r="B485" s="1">
        <v>45380</v>
      </c>
      <c r="C485">
        <v>19</v>
      </c>
      <c r="D485" t="str">
        <f>"5744"</f>
        <v>5744</v>
      </c>
      <c r="E485" t="str">
        <f>"Расходы на ремонт"</f>
        <v>Расходы на ремонт</v>
      </c>
      <c r="F485" t="str">
        <f>""</f>
        <v/>
      </c>
      <c r="G485" t="str">
        <f>""</f>
        <v/>
      </c>
      <c r="H485" t="str">
        <f>""</f>
        <v/>
      </c>
      <c r="I485" s="2">
        <v>321718715.27999997</v>
      </c>
    </row>
    <row r="486" spans="1:9" x14ac:dyDescent="0.25">
      <c r="A486">
        <v>473</v>
      </c>
      <c r="B486" s="1">
        <v>45380</v>
      </c>
      <c r="C486">
        <v>19</v>
      </c>
      <c r="D486" t="str">
        <f>"5745"</f>
        <v>5745</v>
      </c>
      <c r="E486" t="str">
        <f>"Расходы на рекламу"</f>
        <v>Расходы на рекламу</v>
      </c>
      <c r="F486" t="str">
        <f>""</f>
        <v/>
      </c>
      <c r="G486" t="str">
        <f>""</f>
        <v/>
      </c>
      <c r="H486" t="str">
        <f>""</f>
        <v/>
      </c>
      <c r="I486" s="2">
        <v>3244818238.6399999</v>
      </c>
    </row>
    <row r="487" spans="1:9" x14ac:dyDescent="0.25">
      <c r="A487">
        <v>474</v>
      </c>
      <c r="B487" s="1">
        <v>45380</v>
      </c>
      <c r="C487">
        <v>19</v>
      </c>
      <c r="D487" t="str">
        <f>"5746"</f>
        <v>5746</v>
      </c>
      <c r="E487" t="str">
        <f>"Расходы на охрану и сигнализацию"</f>
        <v>Расходы на охрану и сигнализацию</v>
      </c>
      <c r="F487" t="str">
        <f>""</f>
        <v/>
      </c>
      <c r="G487" t="str">
        <f>""</f>
        <v/>
      </c>
      <c r="H487" t="str">
        <f>""</f>
        <v/>
      </c>
      <c r="I487" s="2">
        <v>444483148</v>
      </c>
    </row>
    <row r="488" spans="1:9" x14ac:dyDescent="0.25">
      <c r="A488">
        <v>475</v>
      </c>
      <c r="B488" s="1">
        <v>45380</v>
      </c>
      <c r="C488">
        <v>19</v>
      </c>
      <c r="D488" t="str">
        <f>"5747"</f>
        <v>5747</v>
      </c>
      <c r="E488" t="str">
        <f>"Представительские расходы"</f>
        <v>Представительские расходы</v>
      </c>
      <c r="F488" t="str">
        <f>""</f>
        <v/>
      </c>
      <c r="G488" t="str">
        <f>""</f>
        <v/>
      </c>
      <c r="H488" t="str">
        <f>""</f>
        <v/>
      </c>
      <c r="I488" s="2">
        <v>67544237.159999996</v>
      </c>
    </row>
    <row r="489" spans="1:9" x14ac:dyDescent="0.25">
      <c r="A489">
        <v>476</v>
      </c>
      <c r="B489" s="1">
        <v>45380</v>
      </c>
      <c r="C489">
        <v>19</v>
      </c>
      <c r="D489" t="str">
        <f>"5748"</f>
        <v>5748</v>
      </c>
      <c r="E489" t="str">
        <f>"Прочие общехозяйственные расходы"</f>
        <v>Прочие общехозяйственные расходы</v>
      </c>
      <c r="F489" t="str">
        <f>""</f>
        <v/>
      </c>
      <c r="G489" t="str">
        <f>""</f>
        <v/>
      </c>
      <c r="H489" t="str">
        <f>""</f>
        <v/>
      </c>
      <c r="I489" s="2">
        <v>507752759.74000001</v>
      </c>
    </row>
    <row r="490" spans="1:9" x14ac:dyDescent="0.25">
      <c r="A490">
        <v>478</v>
      </c>
      <c r="B490" s="1">
        <v>45380</v>
      </c>
      <c r="C490">
        <v>19</v>
      </c>
      <c r="D490" t="str">
        <f>"5749"</f>
        <v>5749</v>
      </c>
      <c r="E490" t="str">
        <f>"Расходы на служебные командировки"</f>
        <v>Расходы на служебные командировки</v>
      </c>
      <c r="F490" t="str">
        <f>""</f>
        <v/>
      </c>
      <c r="G490" t="str">
        <f>""</f>
        <v/>
      </c>
      <c r="H490" t="str">
        <f>""</f>
        <v/>
      </c>
      <c r="I490" s="2">
        <v>164980546.34999999</v>
      </c>
    </row>
    <row r="491" spans="1:9" x14ac:dyDescent="0.25">
      <c r="A491">
        <v>479</v>
      </c>
      <c r="B491" s="1">
        <v>45380</v>
      </c>
      <c r="C491">
        <v>19</v>
      </c>
      <c r="D491" t="str">
        <f>"5750"</f>
        <v>5750</v>
      </c>
      <c r="E491" t="str">
        <f>"Расходы по аудиту и консультационным услугам"</f>
        <v>Расходы по аудиту и консультационным услугам</v>
      </c>
      <c r="F491" t="str">
        <f>""</f>
        <v/>
      </c>
      <c r="G491" t="str">
        <f>""</f>
        <v/>
      </c>
      <c r="H491" t="str">
        <f>""</f>
        <v/>
      </c>
      <c r="I491" s="2">
        <v>14176266.67</v>
      </c>
    </row>
    <row r="492" spans="1:9" x14ac:dyDescent="0.25">
      <c r="A492">
        <v>481</v>
      </c>
      <c r="B492" s="1">
        <v>45380</v>
      </c>
      <c r="C492">
        <v>19</v>
      </c>
      <c r="D492" t="str">
        <f>"5752"</f>
        <v>5752</v>
      </c>
      <c r="E492" t="str">
        <f>"Расходы по страхованию"</f>
        <v>Расходы по страхованию</v>
      </c>
      <c r="F492" t="str">
        <f>""</f>
        <v/>
      </c>
      <c r="G492" t="str">
        <f>""</f>
        <v/>
      </c>
      <c r="H492" t="str">
        <f>""</f>
        <v/>
      </c>
      <c r="I492" s="2">
        <v>18341274.949999999</v>
      </c>
    </row>
    <row r="493" spans="1:9" x14ac:dyDescent="0.25">
      <c r="A493">
        <v>524</v>
      </c>
      <c r="B493" s="1">
        <v>45380</v>
      </c>
      <c r="C493">
        <v>19</v>
      </c>
      <c r="D493" t="str">
        <f>"5753"</f>
        <v>5753</v>
      </c>
      <c r="E493" t="str">
        <f>"Расходы по услугам связи"</f>
        <v>Расходы по услугам связи</v>
      </c>
      <c r="F493" t="str">
        <f>""</f>
        <v/>
      </c>
      <c r="G493" t="str">
        <f>""</f>
        <v/>
      </c>
      <c r="H493" t="str">
        <f>""</f>
        <v/>
      </c>
      <c r="I493" s="2">
        <v>1407733273.4200001</v>
      </c>
    </row>
    <row r="494" spans="1:9" x14ac:dyDescent="0.25">
      <c r="A494">
        <v>495</v>
      </c>
      <c r="B494" s="1">
        <v>45380</v>
      </c>
      <c r="C494">
        <v>19</v>
      </c>
      <c r="D494" t="str">
        <f>"5754"</f>
        <v>5754</v>
      </c>
      <c r="E49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494" t="str">
        <f>""</f>
        <v/>
      </c>
      <c r="G494" t="str">
        <f>""</f>
        <v/>
      </c>
      <c r="H494" t="str">
        <f>""</f>
        <v/>
      </c>
      <c r="I494" s="2">
        <v>3369722725</v>
      </c>
    </row>
    <row r="495" spans="1:9" x14ac:dyDescent="0.25">
      <c r="A495">
        <v>480</v>
      </c>
      <c r="B495" s="1">
        <v>45380</v>
      </c>
      <c r="C495">
        <v>19</v>
      </c>
      <c r="D495" t="str">
        <f>"5761"</f>
        <v>5761</v>
      </c>
      <c r="E495" t="str">
        <f>"Налог на добавленную стоимость"</f>
        <v>Налог на добавленную стоимость</v>
      </c>
      <c r="F495" t="str">
        <f>""</f>
        <v/>
      </c>
      <c r="G495" t="str">
        <f>""</f>
        <v/>
      </c>
      <c r="H495" t="str">
        <f>""</f>
        <v/>
      </c>
      <c r="I495" s="2">
        <v>1630014350.1400001</v>
      </c>
    </row>
    <row r="496" spans="1:9" x14ac:dyDescent="0.25">
      <c r="A496">
        <v>502</v>
      </c>
      <c r="B496" s="1">
        <v>45380</v>
      </c>
      <c r="C496">
        <v>19</v>
      </c>
      <c r="D496" t="str">
        <f>"5763"</f>
        <v>5763</v>
      </c>
      <c r="E496" t="str">
        <f>"Социальный налог"</f>
        <v>Социальный налог</v>
      </c>
      <c r="F496" t="str">
        <f>""</f>
        <v/>
      </c>
      <c r="G496" t="str">
        <f>""</f>
        <v/>
      </c>
      <c r="H496" t="str">
        <f>""</f>
        <v/>
      </c>
      <c r="I496" s="2">
        <v>941034825.05999994</v>
      </c>
    </row>
    <row r="497" spans="1:9" x14ac:dyDescent="0.25">
      <c r="A497">
        <v>485</v>
      </c>
      <c r="B497" s="1">
        <v>45380</v>
      </c>
      <c r="C497">
        <v>19</v>
      </c>
      <c r="D497" t="str">
        <f>"5764"</f>
        <v>5764</v>
      </c>
      <c r="E497" t="str">
        <f>"Земельный налог"</f>
        <v>Земельный налог</v>
      </c>
      <c r="F497" t="str">
        <f>""</f>
        <v/>
      </c>
      <c r="G497" t="str">
        <f>""</f>
        <v/>
      </c>
      <c r="H497" t="str">
        <f>""</f>
        <v/>
      </c>
      <c r="I497" s="2">
        <v>274999</v>
      </c>
    </row>
    <row r="498" spans="1:9" x14ac:dyDescent="0.25">
      <c r="A498">
        <v>482</v>
      </c>
      <c r="B498" s="1">
        <v>45380</v>
      </c>
      <c r="C498">
        <v>19</v>
      </c>
      <c r="D498" t="str">
        <f>"5765"</f>
        <v>5765</v>
      </c>
      <c r="E498" t="str">
        <f>"Налог на имущество юридических лиц"</f>
        <v>Налог на имущество юридических лиц</v>
      </c>
      <c r="F498" t="str">
        <f>""</f>
        <v/>
      </c>
      <c r="G498" t="str">
        <f>""</f>
        <v/>
      </c>
      <c r="H498" t="str">
        <f>""</f>
        <v/>
      </c>
      <c r="I498" s="2">
        <v>38913322</v>
      </c>
    </row>
    <row r="499" spans="1:9" x14ac:dyDescent="0.25">
      <c r="A499">
        <v>483</v>
      </c>
      <c r="B499" s="1">
        <v>45380</v>
      </c>
      <c r="C499">
        <v>19</v>
      </c>
      <c r="D499" t="str">
        <f>"5766"</f>
        <v>5766</v>
      </c>
      <c r="E499" t="str">
        <f>"Налог на транспортные средства"</f>
        <v>Налог на транспортные средства</v>
      </c>
      <c r="F499" t="str">
        <f>""</f>
        <v/>
      </c>
      <c r="G499" t="str">
        <f>""</f>
        <v/>
      </c>
      <c r="H499" t="str">
        <f>""</f>
        <v/>
      </c>
      <c r="I499" s="2">
        <v>3361253</v>
      </c>
    </row>
    <row r="500" spans="1:9" x14ac:dyDescent="0.25">
      <c r="A500">
        <v>486</v>
      </c>
      <c r="B500" s="1">
        <v>45380</v>
      </c>
      <c r="C500">
        <v>19</v>
      </c>
      <c r="D500" t="str">
        <f>"5768"</f>
        <v>5768</v>
      </c>
      <c r="E500" t="str">
        <f>"Прочие налоги и обязательные платежи в бюджет"</f>
        <v>Прочие налоги и обязательные платежи в бюджет</v>
      </c>
      <c r="F500" t="str">
        <f>""</f>
        <v/>
      </c>
      <c r="G500" t="str">
        <f>""</f>
        <v/>
      </c>
      <c r="H500" t="str">
        <f>""</f>
        <v/>
      </c>
      <c r="I500" s="2">
        <v>97096518.090000004</v>
      </c>
    </row>
    <row r="501" spans="1:9" x14ac:dyDescent="0.25">
      <c r="A501">
        <v>490</v>
      </c>
      <c r="B501" s="1">
        <v>45380</v>
      </c>
      <c r="C501">
        <v>19</v>
      </c>
      <c r="D501" t="str">
        <f>"5781"</f>
        <v>5781</v>
      </c>
      <c r="E501" t="str">
        <f>"Расходы по амортизации зданий и сооружений"</f>
        <v>Расходы по амортизации зданий и сооружений</v>
      </c>
      <c r="F501" t="str">
        <f>""</f>
        <v/>
      </c>
      <c r="G501" t="str">
        <f>""</f>
        <v/>
      </c>
      <c r="H501" t="str">
        <f>""</f>
        <v/>
      </c>
      <c r="I501" s="2">
        <v>78722360</v>
      </c>
    </row>
    <row r="502" spans="1:9" x14ac:dyDescent="0.25">
      <c r="A502">
        <v>488</v>
      </c>
      <c r="B502" s="1">
        <v>45380</v>
      </c>
      <c r="C502">
        <v>19</v>
      </c>
      <c r="D502" t="str">
        <f>"5782"</f>
        <v>5782</v>
      </c>
      <c r="E502" t="str">
        <f>"Расходы по амортизации компьютерного оборудования"</f>
        <v>Расходы по амортизации компьютерного оборудования</v>
      </c>
      <c r="F502" t="str">
        <f>""</f>
        <v/>
      </c>
      <c r="G502" t="str">
        <f>""</f>
        <v/>
      </c>
      <c r="H502" t="str">
        <f>""</f>
        <v/>
      </c>
      <c r="I502" s="2">
        <v>3440677330</v>
      </c>
    </row>
    <row r="503" spans="1:9" x14ac:dyDescent="0.25">
      <c r="A503">
        <v>487</v>
      </c>
      <c r="B503" s="1">
        <v>45380</v>
      </c>
      <c r="C503">
        <v>19</v>
      </c>
      <c r="D503" t="str">
        <f>"5783"</f>
        <v>5783</v>
      </c>
      <c r="E503" t="str">
        <f>"Расходы по амортизации прочих основных средств"</f>
        <v>Расходы по амортизации прочих основных средств</v>
      </c>
      <c r="F503" t="str">
        <f>""</f>
        <v/>
      </c>
      <c r="G503" t="str">
        <f>""</f>
        <v/>
      </c>
      <c r="H503" t="str">
        <f>""</f>
        <v/>
      </c>
      <c r="I503" s="2">
        <v>841280766</v>
      </c>
    </row>
    <row r="504" spans="1:9" x14ac:dyDescent="0.25">
      <c r="A504">
        <v>494</v>
      </c>
      <c r="B504" s="1">
        <v>45380</v>
      </c>
      <c r="C504">
        <v>19</v>
      </c>
      <c r="D504" t="str">
        <f>"5786"</f>
        <v>5786</v>
      </c>
      <c r="E504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04" t="str">
        <f>""</f>
        <v/>
      </c>
      <c r="G504" t="str">
        <f>""</f>
        <v/>
      </c>
      <c r="H504" t="str">
        <f>""</f>
        <v/>
      </c>
      <c r="I504" s="2">
        <v>320627643</v>
      </c>
    </row>
    <row r="505" spans="1:9" x14ac:dyDescent="0.25">
      <c r="A505">
        <v>492</v>
      </c>
      <c r="B505" s="1">
        <v>45380</v>
      </c>
      <c r="C505">
        <v>19</v>
      </c>
      <c r="D505" t="str">
        <f>"5787"</f>
        <v>5787</v>
      </c>
      <c r="E505" t="str">
        <f>"Расходы по амортизации транспортных средств"</f>
        <v>Расходы по амортизации транспортных средств</v>
      </c>
      <c r="F505" t="str">
        <f>""</f>
        <v/>
      </c>
      <c r="G505" t="str">
        <f>""</f>
        <v/>
      </c>
      <c r="H505" t="str">
        <f>""</f>
        <v/>
      </c>
      <c r="I505" s="2">
        <v>71994073</v>
      </c>
    </row>
    <row r="506" spans="1:9" x14ac:dyDescent="0.25">
      <c r="A506">
        <v>493</v>
      </c>
      <c r="B506" s="1">
        <v>45380</v>
      </c>
      <c r="C506">
        <v>19</v>
      </c>
      <c r="D506" t="str">
        <f>"5788"</f>
        <v>5788</v>
      </c>
      <c r="E506" t="str">
        <f>"Расходы по амортизации нематериальных активов"</f>
        <v>Расходы по амортизации нематериальных активов</v>
      </c>
      <c r="F506" t="str">
        <f>""</f>
        <v/>
      </c>
      <c r="G506" t="str">
        <f>""</f>
        <v/>
      </c>
      <c r="H506" t="str">
        <f>""</f>
        <v/>
      </c>
      <c r="I506" s="2">
        <v>897783928</v>
      </c>
    </row>
    <row r="507" spans="1:9" x14ac:dyDescent="0.25">
      <c r="A507">
        <v>498</v>
      </c>
      <c r="B507" s="1">
        <v>45380</v>
      </c>
      <c r="C507">
        <v>19</v>
      </c>
      <c r="D507" t="str">
        <f>"5900"</f>
        <v>5900</v>
      </c>
      <c r="E507" t="str">
        <f>"Неустойка (штраф, пеня)"</f>
        <v>Неустойка (штраф, пеня)</v>
      </c>
      <c r="F507" t="str">
        <f>""</f>
        <v/>
      </c>
      <c r="G507" t="str">
        <f>""</f>
        <v/>
      </c>
      <c r="H507" t="str">
        <f>""</f>
        <v/>
      </c>
      <c r="I507" s="2">
        <v>604766.14</v>
      </c>
    </row>
    <row r="508" spans="1:9" x14ac:dyDescent="0.25">
      <c r="A508">
        <v>499</v>
      </c>
      <c r="B508" s="1">
        <v>45380</v>
      </c>
      <c r="C508">
        <v>19</v>
      </c>
      <c r="D508" t="str">
        <f>"5921"</f>
        <v>5921</v>
      </c>
      <c r="E508" t="str">
        <f>"Прочие расходы от банковской деятельности"</f>
        <v>Прочие расходы от банковской деятельности</v>
      </c>
      <c r="F508" t="str">
        <f>""</f>
        <v/>
      </c>
      <c r="G508" t="str">
        <f>""</f>
        <v/>
      </c>
      <c r="H508" t="str">
        <f>""</f>
        <v/>
      </c>
      <c r="I508" s="2">
        <v>19216703650.5</v>
      </c>
    </row>
    <row r="509" spans="1:9" x14ac:dyDescent="0.25">
      <c r="A509">
        <v>496</v>
      </c>
      <c r="B509" s="1">
        <v>45380</v>
      </c>
      <c r="C509">
        <v>19</v>
      </c>
      <c r="D509" t="str">
        <f>"5922"</f>
        <v>5922</v>
      </c>
      <c r="E509" t="str">
        <f>"Прочие расходы от неосновной деятельности"</f>
        <v>Прочие расходы от неосновной деятельности</v>
      </c>
      <c r="F509" t="str">
        <f>""</f>
        <v/>
      </c>
      <c r="G509" t="str">
        <f>""</f>
        <v/>
      </c>
      <c r="H509" t="str">
        <f>""</f>
        <v/>
      </c>
      <c r="I509" s="2">
        <v>358178816.14999998</v>
      </c>
    </row>
    <row r="510" spans="1:9" x14ac:dyDescent="0.25">
      <c r="A510">
        <v>500</v>
      </c>
      <c r="B510" s="1">
        <v>45380</v>
      </c>
      <c r="C510">
        <v>19</v>
      </c>
      <c r="D510" t="str">
        <f>"5923"</f>
        <v>5923</v>
      </c>
      <c r="E510" t="str">
        <f>"Расходы по аренде"</f>
        <v>Расходы по аренде</v>
      </c>
      <c r="F510" t="str">
        <f>""</f>
        <v/>
      </c>
      <c r="G510" t="str">
        <f>""</f>
        <v/>
      </c>
      <c r="H510" t="str">
        <f>""</f>
        <v/>
      </c>
      <c r="I510" s="2">
        <v>1801357906.03</v>
      </c>
    </row>
    <row r="511" spans="1:9" x14ac:dyDescent="0.25">
      <c r="A511">
        <v>501</v>
      </c>
      <c r="B511" s="1">
        <v>45380</v>
      </c>
      <c r="C511">
        <v>19</v>
      </c>
      <c r="D511" t="str">
        <f>"5926"</f>
        <v>5926</v>
      </c>
      <c r="E511" t="str">
        <f>"Расходы по привилегированным акциям"</f>
        <v>Расходы по привилегированным акциям</v>
      </c>
      <c r="F511" t="str">
        <f>""</f>
        <v/>
      </c>
      <c r="G511" t="str">
        <f>""</f>
        <v/>
      </c>
      <c r="H511" t="str">
        <f>""</f>
        <v/>
      </c>
      <c r="I511" s="2">
        <v>2625000</v>
      </c>
    </row>
    <row r="512" spans="1:9" x14ac:dyDescent="0.25">
      <c r="A512">
        <v>503</v>
      </c>
      <c r="B512" s="1">
        <v>45380</v>
      </c>
      <c r="C512">
        <v>19</v>
      </c>
      <c r="D512" t="str">
        <f>"5999"</f>
        <v>5999</v>
      </c>
      <c r="E512" t="str">
        <f>"Корпоративный подоходный налог"</f>
        <v>Корпоративный подоходный налог</v>
      </c>
      <c r="F512" t="str">
        <f>""</f>
        <v/>
      </c>
      <c r="G512" t="str">
        <f>""</f>
        <v/>
      </c>
      <c r="H512" t="str">
        <f>""</f>
        <v/>
      </c>
      <c r="I512" s="2">
        <v>17443770933.59</v>
      </c>
    </row>
    <row r="513" spans="1:9" x14ac:dyDescent="0.25">
      <c r="A513">
        <v>505</v>
      </c>
      <c r="B513" s="1">
        <v>45380</v>
      </c>
      <c r="C513">
        <v>19</v>
      </c>
      <c r="D513" t="str">
        <f>"6055"</f>
        <v>6055</v>
      </c>
      <c r="E513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13" t="str">
        <f>""</f>
        <v/>
      </c>
      <c r="G513" t="str">
        <f>""</f>
        <v/>
      </c>
      <c r="H513" t="str">
        <f>""</f>
        <v/>
      </c>
      <c r="I513" s="2">
        <v>5415816250.9399996</v>
      </c>
    </row>
    <row r="514" spans="1:9" x14ac:dyDescent="0.25">
      <c r="A514">
        <v>504</v>
      </c>
      <c r="B514" s="1">
        <v>45380</v>
      </c>
      <c r="C514">
        <v>19</v>
      </c>
      <c r="D514" t="str">
        <f>"6075"</f>
        <v>6075</v>
      </c>
      <c r="E514" t="str">
        <f>"Возможные требования по принятым гарантиям"</f>
        <v>Возможные требования по принятым гарантиям</v>
      </c>
      <c r="F514" t="str">
        <f>""</f>
        <v/>
      </c>
      <c r="G514" t="str">
        <f>""</f>
        <v/>
      </c>
      <c r="H514" t="str">
        <f>""</f>
        <v/>
      </c>
      <c r="I514" s="2">
        <v>59153259469.43</v>
      </c>
    </row>
    <row r="515" spans="1:9" x14ac:dyDescent="0.25">
      <c r="A515">
        <v>506</v>
      </c>
      <c r="B515" s="1">
        <v>45380</v>
      </c>
      <c r="C515">
        <v>19</v>
      </c>
      <c r="D515" t="str">
        <f>"6105"</f>
        <v>6105</v>
      </c>
      <c r="E515" t="str">
        <f>"Будущие требования по размещаемым вкладам"</f>
        <v>Будущие требования по размещаемым вкладам</v>
      </c>
      <c r="F515" t="str">
        <f>""</f>
        <v/>
      </c>
      <c r="G515" t="str">
        <f>""</f>
        <v/>
      </c>
      <c r="H515" t="str">
        <f>""</f>
        <v/>
      </c>
      <c r="I515" s="2">
        <v>130000000000</v>
      </c>
    </row>
    <row r="516" spans="1:9" x14ac:dyDescent="0.25">
      <c r="A516">
        <v>507</v>
      </c>
      <c r="B516" s="1">
        <v>45380</v>
      </c>
      <c r="C516">
        <v>19</v>
      </c>
      <c r="D516" t="str">
        <f>"6126"</f>
        <v>6126</v>
      </c>
      <c r="E516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16" t="str">
        <f>""</f>
        <v/>
      </c>
      <c r="G516" t="str">
        <f>""</f>
        <v/>
      </c>
      <c r="H516" t="str">
        <f>""</f>
        <v/>
      </c>
      <c r="I516" s="2">
        <v>199850776306.91</v>
      </c>
    </row>
    <row r="517" spans="1:9" x14ac:dyDescent="0.25">
      <c r="A517">
        <v>514</v>
      </c>
      <c r="B517" s="1">
        <v>45380</v>
      </c>
      <c r="C517">
        <v>19</v>
      </c>
      <c r="D517" t="str">
        <f>"6177"</f>
        <v>6177</v>
      </c>
      <c r="E517" t="str">
        <f>"Условные требования по предоставленным займам"</f>
        <v>Условные требования по предоставленным займам</v>
      </c>
      <c r="F517" t="str">
        <f>""</f>
        <v/>
      </c>
      <c r="G517" t="str">
        <f>""</f>
        <v/>
      </c>
      <c r="H517" t="str">
        <f>""</f>
        <v/>
      </c>
      <c r="I517" s="2">
        <v>9058502.6500000004</v>
      </c>
    </row>
    <row r="518" spans="1:9" x14ac:dyDescent="0.25">
      <c r="A518">
        <v>508</v>
      </c>
      <c r="B518" s="1">
        <v>45380</v>
      </c>
      <c r="C518">
        <v>19</v>
      </c>
      <c r="D518" t="str">
        <f>"6405"</f>
        <v>6405</v>
      </c>
      <c r="E518" t="str">
        <f>"Условные требования по купле-продаже иностранной валюты"</f>
        <v>Условные требования по купле-продаже иностранной валюты</v>
      </c>
      <c r="F518" t="str">
        <f>""</f>
        <v/>
      </c>
      <c r="G518" t="str">
        <f>""</f>
        <v/>
      </c>
      <c r="H518" t="str">
        <f>""</f>
        <v/>
      </c>
      <c r="I518" s="2">
        <v>276751856103.01001</v>
      </c>
    </row>
    <row r="519" spans="1:9" x14ac:dyDescent="0.25">
      <c r="A519">
        <v>509</v>
      </c>
      <c r="B519" s="1">
        <v>45380</v>
      </c>
      <c r="C519">
        <v>19</v>
      </c>
      <c r="D519" t="str">
        <f>"6555"</f>
        <v>6555</v>
      </c>
      <c r="E519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19" t="str">
        <f>""</f>
        <v/>
      </c>
      <c r="G519" t="str">
        <f>""</f>
        <v/>
      </c>
      <c r="H519" t="str">
        <f>""</f>
        <v/>
      </c>
      <c r="I519" s="2">
        <v>5415816250.9399996</v>
      </c>
    </row>
    <row r="520" spans="1:9" x14ac:dyDescent="0.25">
      <c r="A520">
        <v>511</v>
      </c>
      <c r="B520" s="1">
        <v>45380</v>
      </c>
      <c r="C520">
        <v>19</v>
      </c>
      <c r="D520" t="str">
        <f>"6575"</f>
        <v>6575</v>
      </c>
      <c r="E520" t="str">
        <f>"Возможное уменьшение требований по принятым гарантиям"</f>
        <v>Возможное уменьшение требований по принятым гарантиям</v>
      </c>
      <c r="F520" t="str">
        <f>""</f>
        <v/>
      </c>
      <c r="G520" t="str">
        <f>""</f>
        <v/>
      </c>
      <c r="H520" t="str">
        <f>""</f>
        <v/>
      </c>
      <c r="I520" s="2">
        <v>59153259469.43</v>
      </c>
    </row>
    <row r="521" spans="1:9" x14ac:dyDescent="0.25">
      <c r="A521">
        <v>510</v>
      </c>
      <c r="B521" s="1">
        <v>45380</v>
      </c>
      <c r="C521">
        <v>19</v>
      </c>
      <c r="D521" t="str">
        <f>"6605"</f>
        <v>6605</v>
      </c>
      <c r="E521" t="str">
        <f>"Условные обязательства по размещению вкладов в будущем"</f>
        <v>Условные обязательства по размещению вкладов в будущем</v>
      </c>
      <c r="F521" t="str">
        <f>""</f>
        <v/>
      </c>
      <c r="G521" t="str">
        <f>""</f>
        <v/>
      </c>
      <c r="H521" t="str">
        <f>""</f>
        <v/>
      </c>
      <c r="I521" s="2">
        <v>130000000000</v>
      </c>
    </row>
    <row r="522" spans="1:9" x14ac:dyDescent="0.25">
      <c r="A522">
        <v>512</v>
      </c>
      <c r="B522" s="1">
        <v>45380</v>
      </c>
      <c r="C522">
        <v>19</v>
      </c>
      <c r="D522" t="str">
        <f>"6626"</f>
        <v>6626</v>
      </c>
      <c r="E522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22" t="str">
        <f>""</f>
        <v/>
      </c>
      <c r="G522" t="str">
        <f>""</f>
        <v/>
      </c>
      <c r="H522" t="str">
        <f>""</f>
        <v/>
      </c>
      <c r="I522" s="2">
        <v>199850776306.91</v>
      </c>
    </row>
    <row r="523" spans="1:9" x14ac:dyDescent="0.25">
      <c r="A523">
        <v>515</v>
      </c>
      <c r="B523" s="1">
        <v>45380</v>
      </c>
      <c r="C523">
        <v>19</v>
      </c>
      <c r="D523" t="str">
        <f>"6677"</f>
        <v>6677</v>
      </c>
      <c r="E523" t="str">
        <f>"Условные обязательства по предоставленным займам"</f>
        <v>Условные обязательства по предоставленным займам</v>
      </c>
      <c r="F523" t="str">
        <f>""</f>
        <v/>
      </c>
      <c r="G523" t="str">
        <f>""</f>
        <v/>
      </c>
      <c r="H523" t="str">
        <f>""</f>
        <v/>
      </c>
      <c r="I523" s="2">
        <v>9058502.6500000004</v>
      </c>
    </row>
    <row r="524" spans="1:9" x14ac:dyDescent="0.25">
      <c r="A524">
        <v>516</v>
      </c>
      <c r="B524" s="1">
        <v>45380</v>
      </c>
      <c r="C524">
        <v>19</v>
      </c>
      <c r="D524" t="str">
        <f>"6905"</f>
        <v>6905</v>
      </c>
      <c r="E52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24" t="str">
        <f>""</f>
        <v/>
      </c>
      <c r="G524" t="str">
        <f>""</f>
        <v/>
      </c>
      <c r="H524" t="str">
        <f>""</f>
        <v/>
      </c>
      <c r="I524" s="2">
        <v>279735370886.69</v>
      </c>
    </row>
    <row r="525" spans="1:9" x14ac:dyDescent="0.25">
      <c r="A525">
        <v>521</v>
      </c>
      <c r="B525" s="1">
        <v>45380</v>
      </c>
      <c r="C525">
        <v>19</v>
      </c>
      <c r="D525" t="str">
        <f>"6999"</f>
        <v>6999</v>
      </c>
      <c r="E525" t="str">
        <f>"Позиция по сделкам с иностранной валютой"</f>
        <v>Позиция по сделкам с иностранной валютой</v>
      </c>
      <c r="F525" t="str">
        <f>""</f>
        <v/>
      </c>
      <c r="G525" t="str">
        <f>""</f>
        <v/>
      </c>
      <c r="H525" t="str">
        <f>""</f>
        <v/>
      </c>
      <c r="I525" s="2">
        <v>-2983514783.6799998</v>
      </c>
    </row>
    <row r="526" spans="1:9" x14ac:dyDescent="0.25">
      <c r="A526">
        <v>517</v>
      </c>
      <c r="B526" s="1">
        <v>45380</v>
      </c>
      <c r="C526">
        <v>19</v>
      </c>
      <c r="D526" t="str">
        <f>"7220"</f>
        <v>7220</v>
      </c>
      <c r="E526" t="str">
        <f>"Арендованные активы"</f>
        <v>Арендованные активы</v>
      </c>
      <c r="F526" t="str">
        <f>""</f>
        <v/>
      </c>
      <c r="G526" t="str">
        <f>""</f>
        <v/>
      </c>
      <c r="H526" t="str">
        <f>""</f>
        <v/>
      </c>
      <c r="I526" s="2">
        <v>30945320539.669998</v>
      </c>
    </row>
    <row r="527" spans="1:9" x14ac:dyDescent="0.25">
      <c r="A527">
        <v>518</v>
      </c>
      <c r="B527" s="1">
        <v>45380</v>
      </c>
      <c r="C527">
        <v>19</v>
      </c>
      <c r="D527" t="str">
        <f>"7250"</f>
        <v>7250</v>
      </c>
      <c r="E52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27" t="str">
        <f>""</f>
        <v/>
      </c>
      <c r="G527" t="str">
        <f>""</f>
        <v/>
      </c>
      <c r="H527" t="str">
        <f>""</f>
        <v/>
      </c>
      <c r="I527" s="2">
        <v>360532396733.48999</v>
      </c>
    </row>
    <row r="528" spans="1:9" x14ac:dyDescent="0.25">
      <c r="A528">
        <v>520</v>
      </c>
      <c r="B528" s="1">
        <v>45380</v>
      </c>
      <c r="C528">
        <v>19</v>
      </c>
      <c r="D528" t="str">
        <f>"7303"</f>
        <v>7303</v>
      </c>
      <c r="E528" t="str">
        <f>"Платежные документы, не оплаченные в срок"</f>
        <v>Платежные документы, не оплаченные в срок</v>
      </c>
      <c r="F528" t="str">
        <f>""</f>
        <v/>
      </c>
      <c r="G528" t="str">
        <f>""</f>
        <v/>
      </c>
      <c r="H528" t="str">
        <f>""</f>
        <v/>
      </c>
      <c r="I528" s="2">
        <v>9106804465661.7695</v>
      </c>
    </row>
    <row r="529" spans="1:9" x14ac:dyDescent="0.25">
      <c r="A529">
        <v>519</v>
      </c>
      <c r="B529" s="1">
        <v>45380</v>
      </c>
      <c r="C529">
        <v>19</v>
      </c>
      <c r="D529" t="str">
        <f>"7339"</f>
        <v>7339</v>
      </c>
      <c r="E529" t="str">
        <f>"Разные ценности и документы"</f>
        <v>Разные ценности и документы</v>
      </c>
      <c r="F529" t="str">
        <f>""</f>
        <v/>
      </c>
      <c r="G529" t="str">
        <f>""</f>
        <v/>
      </c>
      <c r="H529" t="str">
        <f>""</f>
        <v/>
      </c>
      <c r="I529" s="2">
        <v>8125869855.8400002</v>
      </c>
    </row>
    <row r="530" spans="1:9" x14ac:dyDescent="0.25">
      <c r="A530">
        <v>522</v>
      </c>
      <c r="B530" s="1">
        <v>45380</v>
      </c>
      <c r="C530">
        <v>19</v>
      </c>
      <c r="D530" t="str">
        <f>"7342"</f>
        <v>7342</v>
      </c>
      <c r="E53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30" t="str">
        <f>""</f>
        <v/>
      </c>
      <c r="G530" t="str">
        <f>""</f>
        <v/>
      </c>
      <c r="H530" t="str">
        <f>""</f>
        <v/>
      </c>
      <c r="I530" s="2">
        <v>607</v>
      </c>
    </row>
    <row r="531" spans="1:9" x14ac:dyDescent="0.25">
      <c r="A531">
        <v>526</v>
      </c>
      <c r="B531" s="1">
        <v>45380</v>
      </c>
      <c r="C531">
        <v>19</v>
      </c>
      <c r="D531" t="str">
        <f>"7535"</f>
        <v>7535</v>
      </c>
      <c r="E53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531" t="str">
        <f>""</f>
        <v/>
      </c>
      <c r="G531" t="str">
        <f>""</f>
        <v/>
      </c>
      <c r="H531" t="str">
        <f>""</f>
        <v/>
      </c>
      <c r="I531" s="2">
        <v>11246513.189999999</v>
      </c>
    </row>
    <row r="532" spans="1:9" x14ac:dyDescent="0.25">
      <c r="A532">
        <v>523</v>
      </c>
      <c r="B532" s="1">
        <v>45380</v>
      </c>
      <c r="C532">
        <v>19</v>
      </c>
      <c r="D532" t="str">
        <f>"7536"</f>
        <v>7536</v>
      </c>
      <c r="E532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532" t="str">
        <f>""</f>
        <v/>
      </c>
      <c r="G532" t="str">
        <f>""</f>
        <v/>
      </c>
      <c r="H532" t="str">
        <f>""</f>
        <v/>
      </c>
      <c r="I532" s="2">
        <v>495269.82</v>
      </c>
    </row>
    <row r="533" spans="1:9" x14ac:dyDescent="0.25">
      <c r="A533">
        <v>527</v>
      </c>
      <c r="B533" s="1">
        <v>45380</v>
      </c>
      <c r="C533">
        <v>19</v>
      </c>
      <c r="D533" t="str">
        <f>"7542"</f>
        <v>7542</v>
      </c>
      <c r="E533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533" t="str">
        <f>""</f>
        <v/>
      </c>
      <c r="G533" t="str">
        <f>""</f>
        <v/>
      </c>
      <c r="H533" t="str">
        <f>""</f>
        <v/>
      </c>
      <c r="I533" s="2">
        <v>124573.93</v>
      </c>
    </row>
    <row r="534" spans="1:9" x14ac:dyDescent="0.25">
      <c r="A534">
        <v>525</v>
      </c>
      <c r="B534" s="1">
        <v>45380</v>
      </c>
      <c r="C534">
        <v>19</v>
      </c>
      <c r="D534" t="str">
        <f>"7544"</f>
        <v>7544</v>
      </c>
      <c r="E534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534" t="str">
        <f>""</f>
        <v/>
      </c>
      <c r="G534" t="str">
        <f>""</f>
        <v/>
      </c>
      <c r="H534" t="str">
        <f>""</f>
        <v/>
      </c>
      <c r="I534" s="2">
        <v>211361.44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Койайдарова Мадина Болатовна</dc:creator>
  <cp:lastModifiedBy>Масимова Диларам Шухратовна</cp:lastModifiedBy>
  <dcterms:created xsi:type="dcterms:W3CDTF">2024-04-03T09:11:02Z</dcterms:created>
  <dcterms:modified xsi:type="dcterms:W3CDTF">2024-04-12T11:46:20Z</dcterms:modified>
</cp:coreProperties>
</file>