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erver\Отчеты УРиФО\Ежемесячные отчеты\КРУА_700Н_по соглашению АБР_гос.гарантия_ ФПК_5 число\700 Н_до 5 числа\2026\04 Апрель\"/>
    </mc:Choice>
  </mc:AlternateContent>
  <xr:revisionPtr revIDLastSave="0" documentId="13_ncr:1_{BD2A2C9F-99A9-4FAA-BA0A-D40C9DB0247A}" xr6:coauthVersionLast="47" xr6:coauthVersionMax="47" xr10:uidLastSave="{00000000-0000-0000-0000-000000000000}"/>
  <bookViews>
    <workbookView xWindow="-120" yWindow="-120" windowWidth="29040" windowHeight="15720" xr2:uid="{734F8B46-A092-44D2-BF98-31B29D9FC4CD}"/>
  </bookViews>
  <sheets>
    <sheet name="VREP_700_ND_RESPONDENTundefine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E8" i="1"/>
  <c r="F8" i="1"/>
  <c r="G8" i="1"/>
  <c r="H8" i="1"/>
  <c r="D68" i="1"/>
  <c r="E68" i="1"/>
  <c r="F68" i="1"/>
  <c r="G68" i="1"/>
  <c r="H68" i="1"/>
  <c r="D23" i="1"/>
  <c r="E23" i="1"/>
  <c r="F23" i="1"/>
  <c r="G23" i="1"/>
  <c r="H23" i="1"/>
  <c r="D36" i="1"/>
  <c r="E36" i="1"/>
  <c r="F36" i="1"/>
  <c r="G36" i="1"/>
  <c r="H36" i="1"/>
  <c r="D32" i="1"/>
  <c r="E32" i="1"/>
  <c r="F32" i="1"/>
  <c r="G32" i="1"/>
  <c r="H32" i="1"/>
  <c r="D58" i="1"/>
  <c r="E58" i="1"/>
  <c r="F58" i="1"/>
  <c r="G58" i="1"/>
  <c r="H58" i="1"/>
  <c r="D27" i="1"/>
  <c r="E27" i="1"/>
  <c r="F27" i="1"/>
  <c r="G27" i="1"/>
  <c r="H27" i="1"/>
  <c r="D37" i="1"/>
  <c r="E37" i="1"/>
  <c r="F37" i="1"/>
  <c r="G37" i="1"/>
  <c r="H37" i="1"/>
  <c r="D33" i="1"/>
  <c r="E33" i="1"/>
  <c r="F33" i="1"/>
  <c r="G33" i="1"/>
  <c r="H33" i="1"/>
  <c r="D43" i="1"/>
  <c r="E43" i="1"/>
  <c r="F43" i="1"/>
  <c r="G43" i="1"/>
  <c r="H43" i="1"/>
  <c r="D28" i="1"/>
  <c r="E28" i="1"/>
  <c r="F28" i="1"/>
  <c r="G28" i="1"/>
  <c r="H28" i="1"/>
  <c r="D66" i="1"/>
  <c r="E66" i="1"/>
  <c r="F66" i="1"/>
  <c r="G66" i="1"/>
  <c r="H66" i="1"/>
  <c r="D17" i="1"/>
  <c r="E17" i="1"/>
  <c r="F17" i="1"/>
  <c r="G17" i="1"/>
  <c r="H17" i="1"/>
  <c r="D71" i="1"/>
  <c r="E71" i="1"/>
  <c r="F71" i="1"/>
  <c r="G71" i="1"/>
  <c r="H71" i="1"/>
  <c r="D25" i="1"/>
  <c r="E25" i="1"/>
  <c r="F25" i="1"/>
  <c r="G25" i="1"/>
  <c r="H25" i="1"/>
  <c r="D72" i="1"/>
  <c r="E72" i="1"/>
  <c r="F72" i="1"/>
  <c r="G72" i="1"/>
  <c r="H72" i="1"/>
  <c r="D34" i="1"/>
  <c r="E34" i="1"/>
  <c r="F34" i="1"/>
  <c r="G34" i="1"/>
  <c r="H34" i="1"/>
  <c r="D67" i="1"/>
  <c r="E67" i="1"/>
  <c r="F67" i="1"/>
  <c r="G67" i="1"/>
  <c r="H67" i="1"/>
  <c r="D57" i="1"/>
  <c r="E57" i="1"/>
  <c r="F57" i="1"/>
  <c r="G57" i="1"/>
  <c r="H57" i="1"/>
  <c r="D29" i="1"/>
  <c r="E29" i="1"/>
  <c r="F29" i="1"/>
  <c r="G29" i="1"/>
  <c r="H29" i="1"/>
  <c r="D39" i="1"/>
  <c r="E39" i="1"/>
  <c r="F39" i="1"/>
  <c r="G39" i="1"/>
  <c r="H39" i="1"/>
  <c r="D59" i="1"/>
  <c r="E59" i="1"/>
  <c r="F59" i="1"/>
  <c r="G59" i="1"/>
  <c r="H59" i="1"/>
  <c r="D16" i="1"/>
  <c r="E16" i="1"/>
  <c r="F16" i="1"/>
  <c r="G16" i="1"/>
  <c r="H16" i="1"/>
  <c r="D44" i="1"/>
  <c r="E44" i="1"/>
  <c r="F44" i="1"/>
  <c r="G44" i="1"/>
  <c r="H44" i="1"/>
  <c r="D60" i="1"/>
  <c r="E60" i="1"/>
  <c r="F60" i="1"/>
  <c r="G60" i="1"/>
  <c r="H60" i="1"/>
  <c r="D19" i="1"/>
  <c r="E19" i="1"/>
  <c r="F19" i="1"/>
  <c r="G19" i="1"/>
  <c r="H19" i="1"/>
  <c r="D35" i="1"/>
  <c r="E35" i="1"/>
  <c r="F35" i="1"/>
  <c r="G35" i="1"/>
  <c r="H35" i="1"/>
  <c r="D51" i="1"/>
  <c r="E51" i="1"/>
  <c r="F51" i="1"/>
  <c r="G51" i="1"/>
  <c r="H51" i="1"/>
  <c r="D24" i="1"/>
  <c r="E24" i="1"/>
  <c r="F24" i="1"/>
  <c r="G24" i="1"/>
  <c r="H24" i="1"/>
  <c r="D45" i="1"/>
  <c r="E45" i="1"/>
  <c r="F45" i="1"/>
  <c r="G45" i="1"/>
  <c r="H45" i="1"/>
  <c r="D75" i="1"/>
  <c r="E75" i="1"/>
  <c r="F75" i="1"/>
  <c r="G75" i="1"/>
  <c r="H75" i="1"/>
  <c r="D52" i="1"/>
  <c r="E52" i="1"/>
  <c r="F52" i="1"/>
  <c r="G52" i="1"/>
  <c r="H52" i="1"/>
  <c r="D53" i="1"/>
  <c r="E53" i="1"/>
  <c r="F53" i="1"/>
  <c r="G53" i="1"/>
  <c r="H53" i="1"/>
  <c r="D61" i="1"/>
  <c r="E61" i="1"/>
  <c r="F61" i="1"/>
  <c r="G61" i="1"/>
  <c r="H61" i="1"/>
  <c r="D83" i="1"/>
  <c r="E83" i="1"/>
  <c r="F83" i="1"/>
  <c r="G83" i="1"/>
  <c r="H83" i="1"/>
  <c r="D20" i="1"/>
  <c r="E20" i="1"/>
  <c r="F20" i="1"/>
  <c r="G20" i="1"/>
  <c r="H20" i="1"/>
  <c r="D22" i="1"/>
  <c r="E22" i="1"/>
  <c r="F22" i="1"/>
  <c r="G22" i="1"/>
  <c r="H22" i="1"/>
  <c r="D14" i="1"/>
  <c r="E14" i="1"/>
  <c r="F14" i="1"/>
  <c r="G14" i="1"/>
  <c r="H14" i="1"/>
  <c r="D38" i="1"/>
  <c r="E38" i="1"/>
  <c r="F38" i="1"/>
  <c r="G38" i="1"/>
  <c r="H38" i="1"/>
  <c r="D82" i="1"/>
  <c r="E82" i="1"/>
  <c r="F82" i="1"/>
  <c r="G82" i="1"/>
  <c r="H82" i="1"/>
  <c r="D9" i="1"/>
  <c r="E9" i="1"/>
  <c r="F9" i="1"/>
  <c r="G9" i="1"/>
  <c r="H9" i="1"/>
  <c r="D10" i="1"/>
  <c r="E10" i="1"/>
  <c r="F10" i="1"/>
  <c r="G10" i="1"/>
  <c r="H10" i="1"/>
  <c r="D6" i="1"/>
  <c r="E6" i="1"/>
  <c r="F6" i="1"/>
  <c r="G6" i="1"/>
  <c r="H6" i="1"/>
  <c r="D46" i="1"/>
  <c r="E46" i="1"/>
  <c r="F46" i="1"/>
  <c r="G46" i="1"/>
  <c r="H46" i="1"/>
  <c r="D31" i="1"/>
  <c r="E31" i="1"/>
  <c r="F31" i="1"/>
  <c r="G31" i="1"/>
  <c r="H31" i="1"/>
  <c r="D13" i="1"/>
  <c r="E13" i="1"/>
  <c r="F13" i="1"/>
  <c r="G13" i="1"/>
  <c r="H13" i="1"/>
  <c r="D18" i="1"/>
  <c r="E18" i="1"/>
  <c r="F18" i="1"/>
  <c r="G18" i="1"/>
  <c r="H18" i="1"/>
  <c r="D54" i="1"/>
  <c r="E54" i="1"/>
  <c r="F54" i="1"/>
  <c r="G54" i="1"/>
  <c r="H54" i="1"/>
  <c r="D40" i="1"/>
  <c r="E40" i="1"/>
  <c r="F40" i="1"/>
  <c r="G40" i="1"/>
  <c r="H40" i="1"/>
  <c r="D47" i="1"/>
  <c r="E47" i="1"/>
  <c r="F47" i="1"/>
  <c r="G47" i="1"/>
  <c r="H47" i="1"/>
  <c r="D55" i="1"/>
  <c r="E55" i="1"/>
  <c r="F55" i="1"/>
  <c r="G55" i="1"/>
  <c r="H55" i="1"/>
  <c r="D15" i="1"/>
  <c r="E15" i="1"/>
  <c r="F15" i="1"/>
  <c r="G15" i="1"/>
  <c r="H15" i="1"/>
  <c r="D21" i="1"/>
  <c r="E21" i="1"/>
  <c r="F21" i="1"/>
  <c r="G21" i="1"/>
  <c r="H21" i="1"/>
  <c r="D7" i="1"/>
  <c r="E7" i="1"/>
  <c r="F7" i="1"/>
  <c r="G7" i="1"/>
  <c r="H7" i="1"/>
  <c r="D62" i="1"/>
  <c r="E62" i="1"/>
  <c r="F62" i="1"/>
  <c r="G62" i="1"/>
  <c r="H62" i="1"/>
  <c r="D70" i="1"/>
  <c r="E70" i="1"/>
  <c r="F70" i="1"/>
  <c r="G70" i="1"/>
  <c r="H70" i="1"/>
  <c r="D30" i="1"/>
  <c r="E30" i="1"/>
  <c r="F30" i="1"/>
  <c r="G30" i="1"/>
  <c r="H30" i="1"/>
  <c r="D69" i="1"/>
  <c r="E69" i="1"/>
  <c r="F69" i="1"/>
  <c r="G69" i="1"/>
  <c r="H69" i="1"/>
  <c r="D41" i="1"/>
  <c r="E41" i="1"/>
  <c r="F41" i="1"/>
  <c r="G41" i="1"/>
  <c r="H41" i="1"/>
  <c r="D74" i="1"/>
  <c r="E74" i="1"/>
  <c r="F74" i="1"/>
  <c r="G74" i="1"/>
  <c r="H74" i="1"/>
  <c r="D78" i="1"/>
  <c r="E78" i="1"/>
  <c r="F78" i="1"/>
  <c r="G78" i="1"/>
  <c r="H78" i="1"/>
  <c r="D80" i="1"/>
  <c r="E80" i="1"/>
  <c r="F80" i="1"/>
  <c r="G80" i="1"/>
  <c r="H80" i="1"/>
  <c r="D42" i="1"/>
  <c r="E42" i="1"/>
  <c r="F42" i="1"/>
  <c r="G42" i="1"/>
  <c r="H42" i="1"/>
  <c r="D76" i="1"/>
  <c r="E76" i="1"/>
  <c r="F76" i="1"/>
  <c r="G76" i="1"/>
  <c r="H76" i="1"/>
  <c r="D73" i="1"/>
  <c r="E73" i="1"/>
  <c r="F73" i="1"/>
  <c r="G73" i="1"/>
  <c r="H73" i="1"/>
  <c r="D79" i="1"/>
  <c r="E79" i="1"/>
  <c r="F79" i="1"/>
  <c r="G79" i="1"/>
  <c r="H79" i="1"/>
  <c r="D56" i="1"/>
  <c r="E56" i="1"/>
  <c r="F56" i="1"/>
  <c r="G56" i="1"/>
  <c r="H56" i="1"/>
  <c r="D11" i="1"/>
  <c r="E11" i="1"/>
  <c r="F11" i="1"/>
  <c r="G11" i="1"/>
  <c r="H11" i="1"/>
  <c r="D12" i="1"/>
  <c r="E12" i="1"/>
  <c r="F12" i="1"/>
  <c r="G12" i="1"/>
  <c r="H12" i="1"/>
  <c r="D63" i="1"/>
  <c r="E63" i="1"/>
  <c r="F63" i="1"/>
  <c r="G63" i="1"/>
  <c r="H63" i="1"/>
  <c r="D88" i="1"/>
  <c r="E88" i="1"/>
  <c r="F88" i="1"/>
  <c r="G88" i="1"/>
  <c r="H88" i="1"/>
  <c r="D64" i="1"/>
  <c r="E64" i="1"/>
  <c r="F64" i="1"/>
  <c r="G64" i="1"/>
  <c r="H64" i="1"/>
  <c r="D65" i="1"/>
  <c r="E65" i="1"/>
  <c r="F65" i="1"/>
  <c r="G65" i="1"/>
  <c r="H65" i="1"/>
  <c r="D48" i="1"/>
  <c r="E48" i="1"/>
  <c r="F48" i="1"/>
  <c r="G48" i="1"/>
  <c r="H48" i="1"/>
  <c r="D49" i="1"/>
  <c r="E49" i="1"/>
  <c r="F49" i="1"/>
  <c r="G49" i="1"/>
  <c r="H49" i="1"/>
  <c r="D26" i="1"/>
  <c r="E26" i="1"/>
  <c r="F26" i="1"/>
  <c r="G26" i="1"/>
  <c r="H26" i="1"/>
  <c r="D77" i="1"/>
  <c r="E77" i="1"/>
  <c r="F77" i="1"/>
  <c r="G77" i="1"/>
  <c r="H77" i="1"/>
  <c r="D84" i="1"/>
  <c r="E84" i="1"/>
  <c r="F84" i="1"/>
  <c r="G84" i="1"/>
  <c r="H84" i="1"/>
  <c r="D90" i="1"/>
  <c r="E90" i="1"/>
  <c r="F90" i="1"/>
  <c r="G90" i="1"/>
  <c r="H90" i="1"/>
  <c r="D91" i="1"/>
  <c r="E91" i="1"/>
  <c r="F91" i="1"/>
  <c r="G91" i="1"/>
  <c r="H91" i="1"/>
  <c r="D81" i="1"/>
  <c r="E81" i="1"/>
  <c r="F81" i="1"/>
  <c r="G81" i="1"/>
  <c r="H81" i="1"/>
  <c r="D50" i="1"/>
  <c r="E50" i="1"/>
  <c r="F50" i="1"/>
  <c r="G50" i="1"/>
  <c r="H50" i="1"/>
  <c r="D86" i="1"/>
  <c r="E86" i="1"/>
  <c r="F86" i="1"/>
  <c r="G86" i="1"/>
  <c r="H86" i="1"/>
  <c r="D89" i="1"/>
  <c r="E89" i="1"/>
  <c r="F89" i="1"/>
  <c r="G89" i="1"/>
  <c r="H89" i="1"/>
  <c r="D92" i="1"/>
  <c r="E92" i="1"/>
  <c r="F92" i="1"/>
  <c r="G92" i="1"/>
  <c r="H92" i="1"/>
  <c r="D93" i="1"/>
  <c r="E93" i="1"/>
  <c r="F93" i="1"/>
  <c r="G93" i="1"/>
  <c r="H93" i="1"/>
  <c r="D94" i="1"/>
  <c r="E94" i="1"/>
  <c r="F94" i="1"/>
  <c r="G94" i="1"/>
  <c r="H94" i="1"/>
  <c r="D95" i="1"/>
  <c r="E95" i="1"/>
  <c r="F95" i="1"/>
  <c r="G95" i="1"/>
  <c r="H95" i="1"/>
  <c r="D96" i="1"/>
  <c r="E96" i="1"/>
  <c r="F96" i="1"/>
  <c r="G96" i="1"/>
  <c r="H96" i="1"/>
  <c r="D97" i="1"/>
  <c r="E97" i="1"/>
  <c r="F97" i="1"/>
  <c r="G97" i="1"/>
  <c r="H97" i="1"/>
  <c r="D102" i="1"/>
  <c r="E102" i="1"/>
  <c r="F102" i="1"/>
  <c r="G102" i="1"/>
  <c r="H102" i="1"/>
  <c r="D103" i="1"/>
  <c r="E103" i="1"/>
  <c r="F103" i="1"/>
  <c r="G103" i="1"/>
  <c r="H103" i="1"/>
  <c r="D98" i="1"/>
  <c r="E98" i="1"/>
  <c r="F98" i="1"/>
  <c r="G98" i="1"/>
  <c r="H98" i="1"/>
  <c r="D99" i="1"/>
  <c r="E99" i="1"/>
  <c r="F99" i="1"/>
  <c r="G99" i="1"/>
  <c r="H99" i="1"/>
  <c r="D104" i="1"/>
  <c r="E104" i="1"/>
  <c r="F104" i="1"/>
  <c r="G104" i="1"/>
  <c r="H104" i="1"/>
  <c r="D100" i="1"/>
  <c r="E100" i="1"/>
  <c r="F100" i="1"/>
  <c r="G100" i="1"/>
  <c r="H100" i="1"/>
  <c r="D85" i="1"/>
  <c r="E85" i="1"/>
  <c r="F85" i="1"/>
  <c r="G85" i="1"/>
  <c r="H85" i="1"/>
  <c r="D101" i="1"/>
  <c r="E101" i="1"/>
  <c r="F101" i="1"/>
  <c r="G101" i="1"/>
  <c r="H101" i="1"/>
  <c r="D87" i="1"/>
  <c r="E87" i="1"/>
  <c r="F87" i="1"/>
  <c r="G87" i="1"/>
  <c r="H87" i="1"/>
  <c r="D105" i="1"/>
  <c r="E105" i="1"/>
  <c r="F105" i="1"/>
  <c r="G105" i="1"/>
  <c r="H105" i="1"/>
  <c r="D109" i="1"/>
  <c r="E109" i="1"/>
  <c r="F109" i="1"/>
  <c r="G109" i="1"/>
  <c r="H109" i="1"/>
  <c r="D106" i="1"/>
  <c r="E106" i="1"/>
  <c r="F106" i="1"/>
  <c r="G106" i="1"/>
  <c r="H106" i="1"/>
  <c r="D107" i="1"/>
  <c r="E107" i="1"/>
  <c r="F107" i="1"/>
  <c r="G107" i="1"/>
  <c r="H107" i="1"/>
  <c r="D114" i="1"/>
  <c r="E114" i="1"/>
  <c r="F114" i="1"/>
  <c r="G114" i="1"/>
  <c r="H114" i="1"/>
  <c r="D128" i="1"/>
  <c r="E128" i="1"/>
  <c r="F128" i="1"/>
  <c r="G128" i="1"/>
  <c r="H128" i="1"/>
  <c r="D116" i="1"/>
  <c r="E116" i="1"/>
  <c r="F116" i="1"/>
  <c r="G116" i="1"/>
  <c r="H116" i="1"/>
  <c r="D124" i="1"/>
  <c r="E124" i="1"/>
  <c r="F124" i="1"/>
  <c r="G124" i="1"/>
  <c r="H124" i="1"/>
  <c r="D129" i="1"/>
  <c r="E129" i="1"/>
  <c r="F129" i="1"/>
  <c r="G129" i="1"/>
  <c r="H129" i="1"/>
  <c r="D138" i="1"/>
  <c r="E138" i="1"/>
  <c r="F138" i="1"/>
  <c r="G138" i="1"/>
  <c r="H138" i="1"/>
  <c r="D120" i="1"/>
  <c r="E120" i="1"/>
  <c r="F120" i="1"/>
  <c r="G120" i="1"/>
  <c r="H120" i="1"/>
  <c r="D117" i="1"/>
  <c r="E117" i="1"/>
  <c r="F117" i="1"/>
  <c r="G117" i="1"/>
  <c r="H117" i="1"/>
  <c r="D113" i="1"/>
  <c r="E113" i="1"/>
  <c r="F113" i="1"/>
  <c r="G113" i="1"/>
  <c r="H113" i="1"/>
  <c r="D145" i="1"/>
  <c r="E145" i="1"/>
  <c r="F145" i="1"/>
  <c r="G145" i="1"/>
  <c r="H145" i="1"/>
  <c r="D131" i="1"/>
  <c r="E131" i="1"/>
  <c r="F131" i="1"/>
  <c r="G131" i="1"/>
  <c r="H131" i="1"/>
  <c r="D132" i="1"/>
  <c r="E132" i="1"/>
  <c r="F132" i="1"/>
  <c r="G132" i="1"/>
  <c r="H132" i="1"/>
  <c r="D136" i="1"/>
  <c r="E136" i="1"/>
  <c r="F136" i="1"/>
  <c r="G136" i="1"/>
  <c r="H136" i="1"/>
  <c r="D133" i="1"/>
  <c r="E133" i="1"/>
  <c r="F133" i="1"/>
  <c r="G133" i="1"/>
  <c r="H133" i="1"/>
  <c r="D121" i="1"/>
  <c r="E121" i="1"/>
  <c r="F121" i="1"/>
  <c r="G121" i="1"/>
  <c r="H121" i="1"/>
  <c r="D149" i="1"/>
  <c r="E149" i="1"/>
  <c r="F149" i="1"/>
  <c r="G149" i="1"/>
  <c r="H149" i="1"/>
  <c r="D111" i="1"/>
  <c r="E111" i="1"/>
  <c r="F111" i="1"/>
  <c r="G111" i="1"/>
  <c r="H111" i="1"/>
  <c r="D122" i="1"/>
  <c r="E122" i="1"/>
  <c r="F122" i="1"/>
  <c r="G122" i="1"/>
  <c r="H122" i="1"/>
  <c r="D130" i="1"/>
  <c r="E130" i="1"/>
  <c r="F130" i="1"/>
  <c r="G130" i="1"/>
  <c r="H130" i="1"/>
  <c r="D139" i="1"/>
  <c r="E139" i="1"/>
  <c r="F139" i="1"/>
  <c r="G139" i="1"/>
  <c r="H139" i="1"/>
  <c r="D141" i="1"/>
  <c r="E141" i="1"/>
  <c r="F141" i="1"/>
  <c r="G141" i="1"/>
  <c r="H141" i="1"/>
  <c r="D118" i="1"/>
  <c r="E118" i="1"/>
  <c r="F118" i="1"/>
  <c r="G118" i="1"/>
  <c r="H118" i="1"/>
  <c r="D115" i="1"/>
  <c r="E115" i="1"/>
  <c r="F115" i="1"/>
  <c r="G115" i="1"/>
  <c r="H115" i="1"/>
  <c r="D142" i="1"/>
  <c r="E142" i="1"/>
  <c r="F142" i="1"/>
  <c r="G142" i="1"/>
  <c r="H142" i="1"/>
  <c r="D150" i="1"/>
  <c r="E150" i="1"/>
  <c r="F150" i="1"/>
  <c r="G150" i="1"/>
  <c r="H150" i="1"/>
  <c r="D147" i="1"/>
  <c r="E147" i="1"/>
  <c r="F147" i="1"/>
  <c r="G147" i="1"/>
  <c r="H147" i="1"/>
  <c r="D151" i="1"/>
  <c r="E151" i="1"/>
  <c r="F151" i="1"/>
  <c r="G151" i="1"/>
  <c r="H151" i="1"/>
  <c r="D137" i="1"/>
  <c r="E137" i="1"/>
  <c r="F137" i="1"/>
  <c r="G137" i="1"/>
  <c r="H137" i="1"/>
  <c r="D140" i="1"/>
  <c r="E140" i="1"/>
  <c r="F140" i="1"/>
  <c r="G140" i="1"/>
  <c r="H140" i="1"/>
  <c r="D112" i="1"/>
  <c r="E112" i="1"/>
  <c r="F112" i="1"/>
  <c r="G112" i="1"/>
  <c r="H112" i="1"/>
  <c r="D148" i="1"/>
  <c r="E148" i="1"/>
  <c r="F148" i="1"/>
  <c r="G148" i="1"/>
  <c r="H148" i="1"/>
  <c r="D143" i="1"/>
  <c r="E143" i="1"/>
  <c r="F143" i="1"/>
  <c r="G143" i="1"/>
  <c r="H143" i="1"/>
  <c r="D108" i="1"/>
  <c r="E108" i="1"/>
  <c r="F108" i="1"/>
  <c r="G108" i="1"/>
  <c r="H108" i="1"/>
  <c r="D126" i="1"/>
  <c r="E126" i="1"/>
  <c r="F126" i="1"/>
  <c r="G126" i="1"/>
  <c r="H126" i="1"/>
  <c r="D127" i="1"/>
  <c r="E127" i="1"/>
  <c r="F127" i="1"/>
  <c r="G127" i="1"/>
  <c r="H127" i="1"/>
  <c r="D134" i="1"/>
  <c r="E134" i="1"/>
  <c r="F134" i="1"/>
  <c r="G134" i="1"/>
  <c r="H134" i="1"/>
  <c r="D119" i="1"/>
  <c r="E119" i="1"/>
  <c r="F119" i="1"/>
  <c r="G119" i="1"/>
  <c r="H119" i="1"/>
  <c r="D146" i="1"/>
  <c r="E146" i="1"/>
  <c r="F146" i="1"/>
  <c r="G146" i="1"/>
  <c r="H146" i="1"/>
  <c r="D135" i="1"/>
  <c r="E135" i="1"/>
  <c r="F135" i="1"/>
  <c r="G135" i="1"/>
  <c r="H135" i="1"/>
  <c r="D144" i="1"/>
  <c r="E144" i="1"/>
  <c r="F144" i="1"/>
  <c r="G144" i="1"/>
  <c r="H144" i="1"/>
  <c r="D156" i="1"/>
  <c r="E156" i="1"/>
  <c r="F156" i="1"/>
  <c r="G156" i="1"/>
  <c r="H156" i="1"/>
  <c r="D157" i="1"/>
  <c r="E157" i="1"/>
  <c r="F157" i="1"/>
  <c r="G157" i="1"/>
  <c r="H157" i="1"/>
  <c r="D123" i="1"/>
  <c r="E123" i="1"/>
  <c r="F123" i="1"/>
  <c r="G123" i="1"/>
  <c r="H123" i="1"/>
  <c r="D154" i="1"/>
  <c r="E154" i="1"/>
  <c r="F154" i="1"/>
  <c r="G154" i="1"/>
  <c r="H154" i="1"/>
  <c r="D110" i="1"/>
  <c r="E110" i="1"/>
  <c r="F110" i="1"/>
  <c r="G110" i="1"/>
  <c r="H110" i="1"/>
  <c r="D155" i="1"/>
  <c r="E155" i="1"/>
  <c r="F155" i="1"/>
  <c r="G155" i="1"/>
  <c r="H155" i="1"/>
  <c r="D158" i="1"/>
  <c r="E158" i="1"/>
  <c r="F158" i="1"/>
  <c r="G158" i="1"/>
  <c r="H158" i="1"/>
  <c r="D159" i="1"/>
  <c r="E159" i="1"/>
  <c r="F159" i="1"/>
  <c r="G159" i="1"/>
  <c r="H159" i="1"/>
  <c r="D164" i="1"/>
  <c r="E164" i="1"/>
  <c r="F164" i="1"/>
  <c r="G164" i="1"/>
  <c r="H164" i="1"/>
  <c r="D160" i="1"/>
  <c r="E160" i="1"/>
  <c r="F160" i="1"/>
  <c r="G160" i="1"/>
  <c r="H160" i="1"/>
  <c r="D172" i="1"/>
  <c r="E172" i="1"/>
  <c r="F172" i="1"/>
  <c r="G172" i="1"/>
  <c r="H172" i="1"/>
  <c r="D161" i="1"/>
  <c r="E161" i="1"/>
  <c r="F161" i="1"/>
  <c r="G161" i="1"/>
  <c r="H161" i="1"/>
  <c r="D162" i="1"/>
  <c r="E162" i="1"/>
  <c r="F162" i="1"/>
  <c r="G162" i="1"/>
  <c r="H162" i="1"/>
  <c r="D177" i="1"/>
  <c r="E177" i="1"/>
  <c r="F177" i="1"/>
  <c r="G177" i="1"/>
  <c r="H177" i="1"/>
  <c r="D168" i="1"/>
  <c r="E168" i="1"/>
  <c r="F168" i="1"/>
  <c r="G168" i="1"/>
  <c r="H168" i="1"/>
  <c r="D178" i="1"/>
  <c r="E178" i="1"/>
  <c r="F178" i="1"/>
  <c r="G178" i="1"/>
  <c r="H178" i="1"/>
  <c r="D165" i="1"/>
  <c r="E165" i="1"/>
  <c r="F165" i="1"/>
  <c r="G165" i="1"/>
  <c r="H165" i="1"/>
  <c r="D173" i="1"/>
  <c r="E173" i="1"/>
  <c r="F173" i="1"/>
  <c r="G173" i="1"/>
  <c r="H173" i="1"/>
  <c r="D166" i="1"/>
  <c r="E166" i="1"/>
  <c r="F166" i="1"/>
  <c r="G166" i="1"/>
  <c r="H166" i="1"/>
  <c r="D167" i="1"/>
  <c r="E167" i="1"/>
  <c r="F167" i="1"/>
  <c r="G167" i="1"/>
  <c r="H167" i="1"/>
  <c r="D169" i="1"/>
  <c r="E169" i="1"/>
  <c r="F169" i="1"/>
  <c r="G169" i="1"/>
  <c r="H169" i="1"/>
  <c r="D163" i="1"/>
  <c r="E163" i="1"/>
  <c r="F163" i="1"/>
  <c r="G163" i="1"/>
  <c r="H163" i="1"/>
  <c r="D152" i="1"/>
  <c r="E152" i="1"/>
  <c r="F152" i="1"/>
  <c r="G152" i="1"/>
  <c r="H152" i="1"/>
  <c r="D179" i="1"/>
  <c r="E179" i="1"/>
  <c r="F179" i="1"/>
  <c r="G179" i="1"/>
  <c r="H179" i="1"/>
  <c r="D175" i="1"/>
  <c r="E175" i="1"/>
  <c r="F175" i="1"/>
  <c r="G175" i="1"/>
  <c r="H175" i="1"/>
  <c r="D125" i="1"/>
  <c r="E125" i="1"/>
  <c r="F125" i="1"/>
  <c r="G125" i="1"/>
  <c r="H125" i="1"/>
  <c r="D180" i="1"/>
  <c r="E180" i="1"/>
  <c r="F180" i="1"/>
  <c r="G180" i="1"/>
  <c r="H180" i="1"/>
  <c r="D181" i="1"/>
  <c r="E181" i="1"/>
  <c r="F181" i="1"/>
  <c r="G181" i="1"/>
  <c r="H181" i="1"/>
  <c r="D170" i="1"/>
  <c r="E170" i="1"/>
  <c r="F170" i="1"/>
  <c r="G170" i="1"/>
  <c r="H170" i="1"/>
  <c r="D174" i="1"/>
  <c r="E174" i="1"/>
  <c r="F174" i="1"/>
  <c r="G174" i="1"/>
  <c r="H174" i="1"/>
  <c r="D185" i="1"/>
  <c r="E185" i="1"/>
  <c r="F185" i="1"/>
  <c r="G185" i="1"/>
  <c r="H185" i="1"/>
  <c r="D171" i="1"/>
  <c r="E171" i="1"/>
  <c r="F171" i="1"/>
  <c r="G171" i="1"/>
  <c r="H171" i="1"/>
  <c r="D153" i="1"/>
  <c r="E153" i="1"/>
  <c r="F153" i="1"/>
  <c r="G153" i="1"/>
  <c r="H153" i="1"/>
  <c r="D176" i="1"/>
  <c r="E176" i="1"/>
  <c r="F176" i="1"/>
  <c r="G176" i="1"/>
  <c r="H176" i="1"/>
  <c r="D186" i="1"/>
  <c r="E186" i="1"/>
  <c r="F186" i="1"/>
  <c r="G186" i="1"/>
  <c r="H186" i="1"/>
  <c r="D182" i="1"/>
  <c r="E182" i="1"/>
  <c r="F182" i="1"/>
  <c r="G182" i="1"/>
  <c r="H182" i="1"/>
  <c r="D183" i="1"/>
  <c r="E183" i="1"/>
  <c r="F183" i="1"/>
  <c r="G183" i="1"/>
  <c r="H183" i="1"/>
  <c r="D187" i="1"/>
  <c r="E187" i="1"/>
  <c r="F187" i="1"/>
  <c r="G187" i="1"/>
  <c r="H187" i="1"/>
  <c r="D184" i="1"/>
  <c r="E184" i="1"/>
  <c r="F184" i="1"/>
  <c r="G184" i="1"/>
  <c r="H184" i="1"/>
  <c r="D188" i="1"/>
  <c r="E188" i="1"/>
  <c r="F188" i="1"/>
  <c r="G188" i="1"/>
  <c r="H188" i="1"/>
  <c r="D193" i="1"/>
  <c r="E193" i="1"/>
  <c r="F193" i="1"/>
  <c r="G193" i="1"/>
  <c r="H193" i="1"/>
  <c r="D196" i="1"/>
  <c r="E196" i="1"/>
  <c r="F196" i="1"/>
  <c r="G196" i="1"/>
  <c r="H196" i="1"/>
  <c r="D189" i="1"/>
  <c r="E189" i="1"/>
  <c r="F189" i="1"/>
  <c r="G189" i="1"/>
  <c r="H189" i="1"/>
  <c r="D197" i="1"/>
  <c r="E197" i="1"/>
  <c r="F197" i="1"/>
  <c r="G197" i="1"/>
  <c r="H197" i="1"/>
  <c r="D190" i="1"/>
  <c r="E190" i="1"/>
  <c r="F190" i="1"/>
  <c r="G190" i="1"/>
  <c r="H190" i="1"/>
  <c r="D192" i="1"/>
  <c r="E192" i="1"/>
  <c r="F192" i="1"/>
  <c r="G192" i="1"/>
  <c r="H192" i="1"/>
  <c r="D191" i="1"/>
  <c r="E191" i="1"/>
  <c r="F191" i="1"/>
  <c r="G191" i="1"/>
  <c r="H191" i="1"/>
  <c r="D194" i="1"/>
  <c r="E194" i="1"/>
  <c r="F194" i="1"/>
  <c r="G194" i="1"/>
  <c r="H194" i="1"/>
  <c r="D199" i="1"/>
  <c r="E199" i="1"/>
  <c r="F199" i="1"/>
  <c r="G199" i="1"/>
  <c r="H199" i="1"/>
  <c r="D200" i="1"/>
  <c r="E200" i="1"/>
  <c r="F200" i="1"/>
  <c r="G200" i="1"/>
  <c r="H200" i="1"/>
  <c r="D201" i="1"/>
  <c r="E201" i="1"/>
  <c r="F201" i="1"/>
  <c r="G201" i="1"/>
  <c r="H201" i="1"/>
  <c r="D206" i="1"/>
  <c r="E206" i="1"/>
  <c r="F206" i="1"/>
  <c r="G206" i="1"/>
  <c r="H206" i="1"/>
  <c r="D202" i="1"/>
  <c r="E202" i="1"/>
  <c r="F202" i="1"/>
  <c r="G202" i="1"/>
  <c r="H202" i="1"/>
  <c r="D203" i="1"/>
  <c r="E203" i="1"/>
  <c r="F203" i="1"/>
  <c r="G203" i="1"/>
  <c r="H203" i="1"/>
  <c r="D204" i="1"/>
  <c r="E204" i="1"/>
  <c r="F204" i="1"/>
  <c r="G204" i="1"/>
  <c r="H204" i="1"/>
  <c r="D207" i="1"/>
  <c r="E207" i="1"/>
  <c r="F207" i="1"/>
  <c r="G207" i="1"/>
  <c r="H207" i="1"/>
  <c r="D205" i="1"/>
  <c r="E205" i="1"/>
  <c r="F205" i="1"/>
  <c r="G205" i="1"/>
  <c r="H205" i="1"/>
  <c r="D198" i="1"/>
  <c r="E198" i="1"/>
  <c r="F198" i="1"/>
  <c r="G198" i="1"/>
  <c r="H198" i="1"/>
  <c r="D195" i="1"/>
  <c r="E195" i="1"/>
  <c r="F195" i="1"/>
  <c r="G195" i="1"/>
  <c r="H195" i="1"/>
  <c r="D211" i="1"/>
  <c r="E211" i="1"/>
  <c r="F211" i="1"/>
  <c r="G211" i="1"/>
  <c r="H211" i="1"/>
  <c r="D216" i="1"/>
  <c r="E216" i="1"/>
  <c r="F216" i="1"/>
  <c r="G216" i="1"/>
  <c r="H216" i="1"/>
  <c r="D208" i="1"/>
  <c r="E208" i="1"/>
  <c r="F208" i="1"/>
  <c r="G208" i="1"/>
  <c r="H208" i="1"/>
  <c r="D214" i="1"/>
  <c r="E214" i="1"/>
  <c r="F214" i="1"/>
  <c r="G214" i="1"/>
  <c r="H214" i="1"/>
  <c r="D217" i="1"/>
  <c r="E217" i="1"/>
  <c r="F217" i="1"/>
  <c r="G217" i="1"/>
  <c r="H217" i="1"/>
  <c r="D210" i="1"/>
  <c r="E210" i="1"/>
  <c r="F210" i="1"/>
  <c r="G210" i="1"/>
  <c r="H210" i="1"/>
  <c r="D219" i="1"/>
  <c r="E219" i="1"/>
  <c r="F219" i="1"/>
  <c r="G219" i="1"/>
  <c r="H219" i="1"/>
  <c r="D218" i="1"/>
  <c r="E218" i="1"/>
  <c r="F218" i="1"/>
  <c r="G218" i="1"/>
  <c r="H218" i="1"/>
  <c r="D213" i="1"/>
  <c r="E213" i="1"/>
  <c r="F213" i="1"/>
  <c r="G213" i="1"/>
  <c r="H213" i="1"/>
  <c r="D222" i="1"/>
  <c r="E222" i="1"/>
  <c r="F222" i="1"/>
  <c r="G222" i="1"/>
  <c r="H222" i="1"/>
  <c r="D215" i="1"/>
  <c r="E215" i="1"/>
  <c r="F215" i="1"/>
  <c r="G215" i="1"/>
  <c r="H215" i="1"/>
  <c r="D212" i="1"/>
  <c r="E212" i="1"/>
  <c r="F212" i="1"/>
  <c r="G212" i="1"/>
  <c r="H212" i="1"/>
  <c r="D209" i="1"/>
  <c r="E209" i="1"/>
  <c r="F209" i="1"/>
  <c r="G209" i="1"/>
  <c r="H209" i="1"/>
  <c r="D226" i="1"/>
  <c r="E226" i="1"/>
  <c r="F226" i="1"/>
  <c r="G226" i="1"/>
  <c r="H226" i="1"/>
  <c r="D227" i="1"/>
  <c r="E227" i="1"/>
  <c r="F227" i="1"/>
  <c r="G227" i="1"/>
  <c r="H227" i="1"/>
  <c r="D220" i="1"/>
  <c r="E220" i="1"/>
  <c r="F220" i="1"/>
  <c r="G220" i="1"/>
  <c r="H220" i="1"/>
  <c r="D223" i="1"/>
  <c r="E223" i="1"/>
  <c r="F223" i="1"/>
  <c r="G223" i="1"/>
  <c r="H223" i="1"/>
  <c r="D234" i="1"/>
  <c r="E234" i="1"/>
  <c r="F234" i="1"/>
  <c r="G234" i="1"/>
  <c r="H234" i="1"/>
  <c r="D221" i="1"/>
  <c r="E221" i="1"/>
  <c r="F221" i="1"/>
  <c r="G221" i="1"/>
  <c r="H221" i="1"/>
  <c r="D224" i="1"/>
  <c r="E224" i="1"/>
  <c r="F224" i="1"/>
  <c r="G224" i="1"/>
  <c r="H224" i="1"/>
  <c r="D225" i="1"/>
  <c r="E225" i="1"/>
  <c r="F225" i="1"/>
  <c r="G225" i="1"/>
  <c r="H225" i="1"/>
  <c r="D232" i="1"/>
  <c r="E232" i="1"/>
  <c r="F232" i="1"/>
  <c r="G232" i="1"/>
  <c r="H232" i="1"/>
  <c r="D240" i="1"/>
  <c r="E240" i="1"/>
  <c r="F240" i="1"/>
  <c r="G240" i="1"/>
  <c r="H240" i="1"/>
  <c r="D239" i="1"/>
  <c r="E239" i="1"/>
  <c r="F239" i="1"/>
  <c r="G239" i="1"/>
  <c r="H239" i="1"/>
  <c r="D236" i="1"/>
  <c r="E236" i="1"/>
  <c r="F236" i="1"/>
  <c r="G236" i="1"/>
  <c r="H236" i="1"/>
  <c r="D238" i="1"/>
  <c r="E238" i="1"/>
  <c r="F238" i="1"/>
  <c r="G238" i="1"/>
  <c r="H238" i="1"/>
  <c r="D247" i="1"/>
  <c r="E247" i="1"/>
  <c r="F247" i="1"/>
  <c r="G247" i="1"/>
  <c r="H247" i="1"/>
  <c r="D241" i="1"/>
  <c r="E241" i="1"/>
  <c r="F241" i="1"/>
  <c r="G241" i="1"/>
  <c r="H241" i="1"/>
  <c r="D229" i="1"/>
  <c r="E229" i="1"/>
  <c r="F229" i="1"/>
  <c r="G229" i="1"/>
  <c r="H229" i="1"/>
  <c r="D248" i="1"/>
  <c r="E248" i="1"/>
  <c r="F248" i="1"/>
  <c r="G248" i="1"/>
  <c r="H248" i="1"/>
  <c r="D242" i="1"/>
  <c r="E242" i="1"/>
  <c r="F242" i="1"/>
  <c r="G242" i="1"/>
  <c r="H242" i="1"/>
  <c r="D245" i="1"/>
  <c r="E245" i="1"/>
  <c r="F245" i="1"/>
  <c r="G245" i="1"/>
  <c r="H245" i="1"/>
  <c r="D237" i="1"/>
  <c r="E237" i="1"/>
  <c r="F237" i="1"/>
  <c r="G237" i="1"/>
  <c r="H237" i="1"/>
  <c r="D252" i="1"/>
  <c r="E252" i="1"/>
  <c r="F252" i="1"/>
  <c r="G252" i="1"/>
  <c r="H252" i="1"/>
  <c r="D233" i="1"/>
  <c r="E233" i="1"/>
  <c r="F233" i="1"/>
  <c r="G233" i="1"/>
  <c r="H233" i="1"/>
  <c r="D244" i="1"/>
  <c r="E244" i="1"/>
  <c r="F244" i="1"/>
  <c r="G244" i="1"/>
  <c r="H244" i="1"/>
  <c r="D228" i="1"/>
  <c r="E228" i="1"/>
  <c r="F228" i="1"/>
  <c r="G228" i="1"/>
  <c r="H228" i="1"/>
  <c r="D235" i="1"/>
  <c r="E235" i="1"/>
  <c r="F235" i="1"/>
  <c r="G235" i="1"/>
  <c r="H235" i="1"/>
  <c r="D254" i="1"/>
  <c r="E254" i="1"/>
  <c r="F254" i="1"/>
  <c r="G254" i="1"/>
  <c r="H254" i="1"/>
  <c r="D243" i="1"/>
  <c r="E243" i="1"/>
  <c r="F243" i="1"/>
  <c r="G243" i="1"/>
  <c r="H243" i="1"/>
  <c r="D256" i="1"/>
  <c r="E256" i="1"/>
  <c r="F256" i="1"/>
  <c r="G256" i="1"/>
  <c r="H256" i="1"/>
  <c r="D261" i="1"/>
  <c r="E261" i="1"/>
  <c r="F261" i="1"/>
  <c r="G261" i="1"/>
  <c r="H261" i="1"/>
  <c r="D250" i="1"/>
  <c r="E250" i="1"/>
  <c r="F250" i="1"/>
  <c r="G250" i="1"/>
  <c r="H250" i="1"/>
  <c r="D230" i="1"/>
  <c r="E230" i="1"/>
  <c r="F230" i="1"/>
  <c r="G230" i="1"/>
  <c r="H230" i="1"/>
  <c r="D246" i="1"/>
  <c r="E246" i="1"/>
  <c r="F246" i="1"/>
  <c r="G246" i="1"/>
  <c r="H246" i="1"/>
  <c r="D266" i="1"/>
  <c r="E266" i="1"/>
  <c r="F266" i="1"/>
  <c r="G266" i="1"/>
  <c r="H266" i="1"/>
  <c r="D265" i="1"/>
  <c r="E265" i="1"/>
  <c r="F265" i="1"/>
  <c r="G265" i="1"/>
  <c r="H265" i="1"/>
  <c r="D258" i="1"/>
  <c r="E258" i="1"/>
  <c r="F258" i="1"/>
  <c r="G258" i="1"/>
  <c r="H258" i="1"/>
  <c r="D251" i="1"/>
  <c r="E251" i="1"/>
  <c r="F251" i="1"/>
  <c r="G251" i="1"/>
  <c r="H251" i="1"/>
  <c r="D272" i="1"/>
  <c r="E272" i="1"/>
  <c r="F272" i="1"/>
  <c r="G272" i="1"/>
  <c r="H272" i="1"/>
  <c r="D271" i="1"/>
  <c r="E271" i="1"/>
  <c r="F271" i="1"/>
  <c r="G271" i="1"/>
  <c r="H271" i="1"/>
  <c r="D231" i="1"/>
  <c r="E231" i="1"/>
  <c r="F231" i="1"/>
  <c r="G231" i="1"/>
  <c r="H231" i="1"/>
  <c r="D263" i="1"/>
  <c r="E263" i="1"/>
  <c r="F263" i="1"/>
  <c r="G263" i="1"/>
  <c r="H263" i="1"/>
  <c r="D255" i="1"/>
  <c r="E255" i="1"/>
  <c r="F255" i="1"/>
  <c r="G255" i="1"/>
  <c r="H255" i="1"/>
  <c r="D276" i="1"/>
  <c r="E276" i="1"/>
  <c r="F276" i="1"/>
  <c r="G276" i="1"/>
  <c r="H276" i="1"/>
  <c r="D257" i="1"/>
  <c r="E257" i="1"/>
  <c r="F257" i="1"/>
  <c r="G257" i="1"/>
  <c r="H257" i="1"/>
  <c r="D267" i="1"/>
  <c r="E267" i="1"/>
  <c r="F267" i="1"/>
  <c r="G267" i="1"/>
  <c r="H267" i="1"/>
  <c r="D249" i="1"/>
  <c r="E249" i="1"/>
  <c r="F249" i="1"/>
  <c r="G249" i="1"/>
  <c r="H249" i="1"/>
  <c r="D269" i="1"/>
  <c r="E269" i="1"/>
  <c r="F269" i="1"/>
  <c r="G269" i="1"/>
  <c r="H269" i="1"/>
  <c r="D278" i="1"/>
  <c r="E278" i="1"/>
  <c r="F278" i="1"/>
  <c r="G278" i="1"/>
  <c r="H278" i="1"/>
  <c r="D277" i="1"/>
  <c r="E277" i="1"/>
  <c r="F277" i="1"/>
  <c r="G277" i="1"/>
  <c r="H277" i="1"/>
  <c r="D280" i="1"/>
  <c r="E280" i="1"/>
  <c r="F280" i="1"/>
  <c r="G280" i="1"/>
  <c r="H280" i="1"/>
  <c r="D259" i="1"/>
  <c r="E259" i="1"/>
  <c r="F259" i="1"/>
  <c r="G259" i="1"/>
  <c r="H259" i="1"/>
  <c r="D279" i="1"/>
  <c r="E279" i="1"/>
  <c r="F279" i="1"/>
  <c r="G279" i="1"/>
  <c r="H279" i="1"/>
  <c r="D268" i="1"/>
  <c r="E268" i="1"/>
  <c r="F268" i="1"/>
  <c r="G268" i="1"/>
  <c r="H268" i="1"/>
  <c r="D260" i="1"/>
  <c r="E260" i="1"/>
  <c r="F260" i="1"/>
  <c r="G260" i="1"/>
  <c r="H260" i="1"/>
  <c r="D275" i="1"/>
  <c r="E275" i="1"/>
  <c r="F275" i="1"/>
  <c r="G275" i="1"/>
  <c r="H275" i="1"/>
  <c r="D264" i="1"/>
  <c r="E264" i="1"/>
  <c r="F264" i="1"/>
  <c r="G264" i="1"/>
  <c r="H264" i="1"/>
  <c r="D262" i="1"/>
  <c r="E262" i="1"/>
  <c r="F262" i="1"/>
  <c r="G262" i="1"/>
  <c r="H262" i="1"/>
  <c r="D274" i="1"/>
  <c r="E274" i="1"/>
  <c r="F274" i="1"/>
  <c r="G274" i="1"/>
  <c r="H274" i="1"/>
  <c r="D287" i="1"/>
  <c r="E287" i="1"/>
  <c r="F287" i="1"/>
  <c r="G287" i="1"/>
  <c r="H287" i="1"/>
  <c r="D284" i="1"/>
  <c r="E284" i="1"/>
  <c r="F284" i="1"/>
  <c r="G284" i="1"/>
  <c r="H284" i="1"/>
  <c r="D281" i="1"/>
  <c r="E281" i="1"/>
  <c r="F281" i="1"/>
  <c r="G281" i="1"/>
  <c r="H281" i="1"/>
  <c r="D285" i="1"/>
  <c r="E285" i="1"/>
  <c r="F285" i="1"/>
  <c r="G285" i="1"/>
  <c r="H285" i="1"/>
  <c r="D286" i="1"/>
  <c r="E286" i="1"/>
  <c r="F286" i="1"/>
  <c r="G286" i="1"/>
  <c r="H286" i="1"/>
  <c r="D289" i="1"/>
  <c r="E289" i="1"/>
  <c r="F289" i="1"/>
  <c r="G289" i="1"/>
  <c r="H289" i="1"/>
  <c r="D273" i="1"/>
  <c r="E273" i="1"/>
  <c r="F273" i="1"/>
  <c r="G273" i="1"/>
  <c r="H273" i="1"/>
  <c r="D290" i="1"/>
  <c r="E290" i="1"/>
  <c r="F290" i="1"/>
  <c r="G290" i="1"/>
  <c r="H290" i="1"/>
  <c r="D283" i="1"/>
  <c r="E283" i="1"/>
  <c r="F283" i="1"/>
  <c r="G283" i="1"/>
  <c r="H283" i="1"/>
  <c r="D282" i="1"/>
  <c r="E282" i="1"/>
  <c r="F282" i="1"/>
  <c r="G282" i="1"/>
  <c r="H282" i="1"/>
  <c r="D270" i="1"/>
  <c r="E270" i="1"/>
  <c r="F270" i="1"/>
  <c r="G270" i="1"/>
  <c r="H270" i="1"/>
  <c r="D288" i="1"/>
  <c r="E288" i="1"/>
  <c r="F288" i="1"/>
  <c r="G288" i="1"/>
  <c r="H288" i="1"/>
  <c r="D293" i="1"/>
  <c r="E293" i="1"/>
  <c r="F293" i="1"/>
  <c r="G293" i="1"/>
  <c r="H293" i="1"/>
  <c r="D294" i="1"/>
  <c r="E294" i="1"/>
  <c r="F294" i="1"/>
  <c r="G294" i="1"/>
  <c r="H294" i="1"/>
  <c r="D291" i="1"/>
  <c r="E291" i="1"/>
  <c r="F291" i="1"/>
  <c r="G291" i="1"/>
  <c r="H291" i="1"/>
  <c r="D253" i="1"/>
  <c r="E253" i="1"/>
  <c r="F253" i="1"/>
  <c r="G253" i="1"/>
  <c r="H253" i="1"/>
  <c r="D292" i="1"/>
  <c r="E292" i="1"/>
  <c r="F292" i="1"/>
  <c r="G292" i="1"/>
  <c r="H292" i="1"/>
  <c r="D299" i="1"/>
  <c r="E299" i="1"/>
  <c r="F299" i="1"/>
  <c r="G299" i="1"/>
  <c r="H299" i="1"/>
  <c r="D298" i="1"/>
  <c r="E298" i="1"/>
  <c r="F298" i="1"/>
  <c r="G298" i="1"/>
  <c r="H298" i="1"/>
  <c r="D296" i="1"/>
  <c r="E296" i="1"/>
  <c r="F296" i="1"/>
  <c r="G296" i="1"/>
  <c r="H296" i="1"/>
  <c r="D297" i="1"/>
  <c r="E297" i="1"/>
  <c r="F297" i="1"/>
  <c r="G297" i="1"/>
  <c r="H297" i="1"/>
  <c r="D301" i="1"/>
  <c r="E301" i="1"/>
  <c r="F301" i="1"/>
  <c r="G301" i="1"/>
  <c r="H301" i="1"/>
  <c r="D303" i="1"/>
  <c r="E303" i="1"/>
  <c r="F303" i="1"/>
  <c r="G303" i="1"/>
  <c r="H303" i="1"/>
  <c r="D305" i="1"/>
  <c r="E305" i="1"/>
  <c r="F305" i="1"/>
  <c r="G305" i="1"/>
  <c r="H305" i="1"/>
  <c r="D304" i="1"/>
  <c r="E304" i="1"/>
  <c r="F304" i="1"/>
  <c r="G304" i="1"/>
  <c r="H304" i="1"/>
  <c r="D295" i="1"/>
  <c r="E295" i="1"/>
  <c r="F295" i="1"/>
  <c r="G295" i="1"/>
  <c r="H295" i="1"/>
  <c r="D300" i="1"/>
  <c r="E300" i="1"/>
  <c r="F300" i="1"/>
  <c r="G300" i="1"/>
  <c r="H300" i="1"/>
  <c r="D306" i="1"/>
  <c r="E306" i="1"/>
  <c r="F306" i="1"/>
  <c r="G306" i="1"/>
  <c r="H306" i="1"/>
  <c r="D309" i="1"/>
  <c r="E309" i="1"/>
  <c r="F309" i="1"/>
  <c r="G309" i="1"/>
  <c r="H309" i="1"/>
  <c r="D307" i="1"/>
  <c r="E307" i="1"/>
  <c r="F307" i="1"/>
  <c r="G307" i="1"/>
  <c r="H307" i="1"/>
  <c r="D302" i="1"/>
  <c r="E302" i="1"/>
  <c r="F302" i="1"/>
  <c r="G302" i="1"/>
  <c r="H302" i="1"/>
  <c r="D310" i="1"/>
  <c r="E310" i="1"/>
  <c r="F310" i="1"/>
  <c r="G310" i="1"/>
  <c r="H310" i="1"/>
  <c r="D312" i="1"/>
  <c r="E312" i="1"/>
  <c r="F312" i="1"/>
  <c r="G312" i="1"/>
  <c r="H312" i="1"/>
  <c r="D317" i="1"/>
  <c r="E317" i="1"/>
  <c r="F317" i="1"/>
  <c r="G317" i="1"/>
  <c r="H317" i="1"/>
  <c r="D308" i="1"/>
  <c r="E308" i="1"/>
  <c r="F308" i="1"/>
  <c r="G308" i="1"/>
  <c r="H308" i="1"/>
  <c r="D319" i="1"/>
  <c r="E319" i="1"/>
  <c r="F319" i="1"/>
  <c r="G319" i="1"/>
  <c r="H319" i="1"/>
  <c r="D311" i="1"/>
  <c r="E311" i="1"/>
  <c r="F311" i="1"/>
  <c r="G311" i="1"/>
  <c r="H311" i="1"/>
  <c r="D318" i="1"/>
  <c r="E318" i="1"/>
  <c r="F318" i="1"/>
  <c r="G318" i="1"/>
  <c r="H318" i="1"/>
  <c r="D313" i="1"/>
  <c r="E313" i="1"/>
  <c r="F313" i="1"/>
  <c r="G313" i="1"/>
  <c r="H313" i="1"/>
  <c r="D320" i="1"/>
  <c r="E320" i="1"/>
  <c r="F320" i="1"/>
  <c r="G320" i="1"/>
  <c r="H320" i="1"/>
  <c r="D314" i="1"/>
  <c r="E314" i="1"/>
  <c r="F314" i="1"/>
  <c r="G314" i="1"/>
  <c r="H314" i="1"/>
  <c r="D316" i="1"/>
  <c r="E316" i="1"/>
  <c r="F316" i="1"/>
  <c r="G316" i="1"/>
  <c r="H316" i="1"/>
  <c r="D315" i="1"/>
  <c r="E315" i="1"/>
  <c r="F315" i="1"/>
  <c r="G315" i="1"/>
  <c r="H315" i="1"/>
  <c r="D322" i="1"/>
  <c r="E322" i="1"/>
  <c r="F322" i="1"/>
  <c r="G322" i="1"/>
  <c r="H322" i="1"/>
  <c r="D321" i="1"/>
  <c r="E321" i="1"/>
  <c r="F321" i="1"/>
  <c r="G321" i="1"/>
  <c r="H321" i="1"/>
  <c r="D324" i="1"/>
  <c r="E324" i="1"/>
  <c r="F324" i="1"/>
  <c r="G324" i="1"/>
  <c r="H324" i="1"/>
  <c r="D323" i="1"/>
  <c r="E323" i="1"/>
  <c r="F323" i="1"/>
  <c r="G323" i="1"/>
  <c r="H323" i="1"/>
</calcChain>
</file>

<file path=xl/sharedStrings.xml><?xml version="1.0" encoding="utf-8"?>
<sst xmlns="http://schemas.openxmlformats.org/spreadsheetml/2006/main" count="23" uniqueCount="23">
  <si>
    <t>RNUM</t>
  </si>
  <si>
    <t>REPORT_DATE</t>
  </si>
  <si>
    <t>CREDITOR_ID</t>
  </si>
  <si>
    <t>Номер счета</t>
  </si>
  <si>
    <t>Наименование номера счета</t>
  </si>
  <si>
    <t>Признак резидентства</t>
  </si>
  <si>
    <t>Код сектора экономики</t>
  </si>
  <si>
    <t>Код группы валют</t>
  </si>
  <si>
    <t>Сумма</t>
  </si>
  <si>
    <t>Отчет об остатках на балансовых и внебалансовых счетах</t>
  </si>
  <si>
    <t>в тенге</t>
  </si>
  <si>
    <t>за «30» апреля  2026 год</t>
  </si>
  <si>
    <t xml:space="preserve">Наименование </t>
  </si>
  <si>
    <t>АО "Жилищный строительный сберегательный банк "Отбасы банк"</t>
  </si>
  <si>
    <t>Адрес</t>
  </si>
  <si>
    <t>город Астана, район Нұра, Шоссе Коргалжын, здание 2А</t>
  </si>
  <si>
    <t>Телефон</t>
  </si>
  <si>
    <t>3309300 (00622)</t>
  </si>
  <si>
    <t xml:space="preserve">Адрес электронной почты </t>
  </si>
  <si>
    <t>kosaeva.m@hcsbk.kz</t>
  </si>
  <si>
    <t>Исполнитель  Спец.1кат.УРиФО ДСО _______________________М.Қосаева 3309300 (вн 00622)</t>
  </si>
  <si>
    <t>Руководитель или лицо, на которое возложена функция по подписанию отчета _________________________И.Тукумбаева, 3309300 (вн 00621)</t>
  </si>
  <si>
    <t>Дата «  05 » мая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</si>
</sst>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charset val="204"/>
      <scheme val="minor"/>
    </font>
    <font>
      <sz val="18"/>
      <color theme="3"/>
      <name val="Aptos Display"/>
      <family val="2"/>
      <charset val="204"/>
      <scheme val="major"/>
    </font>
    <font>
      <b/>
      <sz val="15"/>
      <color theme="3"/>
      <name val="Aptos Narrow"/>
      <family val="2"/>
      <charset val="204"/>
      <scheme val="minor"/>
    </font>
    <font>
      <b/>
      <sz val="13"/>
      <color theme="3"/>
      <name val="Aptos Narrow"/>
      <family val="2"/>
      <charset val="204"/>
      <scheme val="minor"/>
    </font>
    <font>
      <b/>
      <sz val="11"/>
      <color theme="3"/>
      <name val="Aptos Narrow"/>
      <family val="2"/>
      <charset val="204"/>
      <scheme val="minor"/>
    </font>
    <font>
      <sz val="11"/>
      <color rgb="FF006100"/>
      <name val="Aptos Narrow"/>
      <family val="2"/>
      <charset val="204"/>
      <scheme val="minor"/>
    </font>
    <font>
      <sz val="11"/>
      <color rgb="FF9C0006"/>
      <name val="Aptos Narrow"/>
      <family val="2"/>
      <charset val="204"/>
      <scheme val="minor"/>
    </font>
    <font>
      <sz val="11"/>
      <color rgb="FF9C5700"/>
      <name val="Aptos Narrow"/>
      <family val="2"/>
      <charset val="204"/>
      <scheme val="minor"/>
    </font>
    <font>
      <sz val="11"/>
      <color rgb="FF3F3F76"/>
      <name val="Aptos Narrow"/>
      <family val="2"/>
      <charset val="204"/>
      <scheme val="minor"/>
    </font>
    <font>
      <b/>
      <sz val="11"/>
      <color rgb="FF3F3F3F"/>
      <name val="Aptos Narrow"/>
      <family val="2"/>
      <charset val="204"/>
      <scheme val="minor"/>
    </font>
    <font>
      <b/>
      <sz val="11"/>
      <color rgb="FFFA7D00"/>
      <name val="Aptos Narrow"/>
      <family val="2"/>
      <charset val="204"/>
      <scheme val="minor"/>
    </font>
    <font>
      <sz val="11"/>
      <color rgb="FFFA7D00"/>
      <name val="Aptos Narrow"/>
      <family val="2"/>
      <charset val="204"/>
      <scheme val="minor"/>
    </font>
    <font>
      <b/>
      <sz val="11"/>
      <color theme="0"/>
      <name val="Aptos Narrow"/>
      <family val="2"/>
      <charset val="204"/>
      <scheme val="minor"/>
    </font>
    <font>
      <sz val="11"/>
      <color rgb="FFFF0000"/>
      <name val="Aptos Narrow"/>
      <family val="2"/>
      <charset val="204"/>
      <scheme val="minor"/>
    </font>
    <font>
      <i/>
      <sz val="11"/>
      <color rgb="FF7F7F7F"/>
      <name val="Aptos Narrow"/>
      <family val="2"/>
      <charset val="204"/>
      <scheme val="minor"/>
    </font>
    <font>
      <b/>
      <sz val="11"/>
      <color theme="1"/>
      <name val="Aptos Narrow"/>
      <family val="2"/>
      <charset val="204"/>
      <scheme val="minor"/>
    </font>
    <font>
      <sz val="11"/>
      <color theme="0"/>
      <name val="Aptos Narrow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0" fillId="0" borderId="10" xfId="0" applyBorder="1"/>
    <xf numFmtId="14" fontId="0" fillId="0" borderId="10" xfId="0" applyNumberFormat="1" applyBorder="1"/>
    <xf numFmtId="0" fontId="0" fillId="0" borderId="10" xfId="0" applyBorder="1" applyAlignment="1">
      <alignment wrapText="1"/>
    </xf>
    <xf numFmtId="4" fontId="0" fillId="0" borderId="10" xfId="0" applyNumberFormat="1" applyBorder="1"/>
    <xf numFmtId="0" fontId="18" fillId="0" borderId="0" xfId="0" applyFont="1"/>
    <xf numFmtId="0" fontId="19" fillId="0" borderId="0" xfId="0" applyFont="1" applyAlignment="1">
      <alignment horizontal="center" vertical="center"/>
    </xf>
    <xf numFmtId="4" fontId="18" fillId="0" borderId="0" xfId="0" applyNumberFormat="1" applyFont="1"/>
    <xf numFmtId="0" fontId="20" fillId="0" borderId="0" xfId="0" applyFont="1"/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5DDA7-D298-4FFC-B53E-4E610CB218DF}">
  <dimension ref="A1:I335"/>
  <sheetViews>
    <sheetView tabSelected="1" workbookViewId="0">
      <selection activeCell="A6" sqref="A6:A324"/>
    </sheetView>
  </sheetViews>
  <sheetFormatPr defaultRowHeight="15" x14ac:dyDescent="0.25"/>
  <cols>
    <col min="2" max="2" width="10.140625" bestFit="1" customWidth="1"/>
    <col min="4" max="4" width="9.140625" customWidth="1"/>
    <col min="5" max="5" width="112.42578125" customWidth="1"/>
    <col min="9" max="9" width="18.5703125" bestFit="1" customWidth="1"/>
  </cols>
  <sheetData>
    <row r="1" spans="1:9" ht="15.75" x14ac:dyDescent="0.25">
      <c r="A1" s="5"/>
      <c r="B1" s="5"/>
      <c r="C1" s="5"/>
      <c r="D1" s="5"/>
      <c r="E1" s="6" t="s">
        <v>9</v>
      </c>
      <c r="F1" s="5"/>
      <c r="G1" s="5"/>
      <c r="H1" s="5"/>
      <c r="I1" s="5"/>
    </row>
    <row r="2" spans="1:9" ht="15.75" x14ac:dyDescent="0.25">
      <c r="A2" s="5"/>
      <c r="B2" s="5"/>
      <c r="C2" s="5"/>
      <c r="D2" s="5"/>
      <c r="E2" s="6" t="s">
        <v>11</v>
      </c>
      <c r="F2" s="5"/>
      <c r="G2" s="5"/>
      <c r="H2" s="5"/>
      <c r="I2" s="5"/>
    </row>
    <row r="3" spans="1:9" ht="15.75" x14ac:dyDescent="0.25">
      <c r="A3" s="5"/>
      <c r="B3" s="5"/>
      <c r="C3" s="5"/>
      <c r="D3" s="5"/>
      <c r="E3" s="5"/>
      <c r="F3" s="5"/>
      <c r="G3" s="5"/>
      <c r="H3" s="5"/>
      <c r="I3" s="7"/>
    </row>
    <row r="4" spans="1:9" ht="15.75" x14ac:dyDescent="0.25">
      <c r="A4" s="5"/>
      <c r="B4" s="5"/>
      <c r="C4" s="5"/>
      <c r="D4" s="5"/>
      <c r="E4" s="5"/>
      <c r="F4" s="5"/>
      <c r="G4" s="5"/>
      <c r="H4" s="5"/>
      <c r="I4" s="8" t="s">
        <v>10</v>
      </c>
    </row>
    <row r="5" spans="1:9" ht="60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</row>
    <row r="6" spans="1:9" x14ac:dyDescent="0.25">
      <c r="A6" s="1">
        <v>1</v>
      </c>
      <c r="B6" s="2">
        <v>46142</v>
      </c>
      <c r="C6" s="1">
        <v>20</v>
      </c>
      <c r="D6" s="1" t="str">
        <f>"1001"</f>
        <v>1001</v>
      </c>
      <c r="E6" s="3" t="str">
        <f>"Наличность в кассе"</f>
        <v>Наличность в кассе</v>
      </c>
      <c r="F6" s="1" t="str">
        <f>"1"</f>
        <v>1</v>
      </c>
      <c r="G6" s="1" t="str">
        <f>"3"</f>
        <v>3</v>
      </c>
      <c r="H6" s="1" t="str">
        <f>"1"</f>
        <v>1</v>
      </c>
      <c r="I6" s="4">
        <v>2070909277</v>
      </c>
    </row>
    <row r="7" spans="1:9" x14ac:dyDescent="0.25">
      <c r="A7" s="1">
        <v>2</v>
      </c>
      <c r="B7" s="2">
        <v>46142</v>
      </c>
      <c r="C7" s="1">
        <v>20</v>
      </c>
      <c r="D7" s="1" t="str">
        <f>"1002"</f>
        <v>1002</v>
      </c>
      <c r="E7" s="3" t="str">
        <f>"Банкноты и монеты в пути"</f>
        <v>Банкноты и монеты в пути</v>
      </c>
      <c r="F7" s="1" t="str">
        <f>"1"</f>
        <v>1</v>
      </c>
      <c r="G7" s="1" t="str">
        <f>"3"</f>
        <v>3</v>
      </c>
      <c r="H7" s="1" t="str">
        <f>"1"</f>
        <v>1</v>
      </c>
      <c r="I7" s="4">
        <v>520993771</v>
      </c>
    </row>
    <row r="8" spans="1:9" x14ac:dyDescent="0.25">
      <c r="A8" s="1">
        <v>3</v>
      </c>
      <c r="B8" s="2">
        <v>46142</v>
      </c>
      <c r="C8" s="1">
        <v>20</v>
      </c>
      <c r="D8" s="1" t="str">
        <f>"1051"</f>
        <v>1051</v>
      </c>
      <c r="E8" s="3" t="str">
        <f>"Корреспондентский счет в Национальном Банке Республики Казахстан"</f>
        <v>Корреспондентский счет в Национальном Банке Республики Казахстан</v>
      </c>
      <c r="F8" s="1" t="str">
        <f>"1"</f>
        <v>1</v>
      </c>
      <c r="G8" s="1" t="str">
        <f>"3"</f>
        <v>3</v>
      </c>
      <c r="H8" s="1" t="str">
        <f>"2"</f>
        <v>2</v>
      </c>
      <c r="I8" s="4">
        <v>9701132151.4699993</v>
      </c>
    </row>
    <row r="9" spans="1:9" x14ac:dyDescent="0.25">
      <c r="A9" s="1">
        <v>4</v>
      </c>
      <c r="B9" s="2">
        <v>46142</v>
      </c>
      <c r="C9" s="1">
        <v>20</v>
      </c>
      <c r="D9" s="1" t="str">
        <f>"1051"</f>
        <v>1051</v>
      </c>
      <c r="E9" s="3" t="str">
        <f>"Корреспондентский счет в Национальном Банке Республики Казахстан"</f>
        <v>Корреспондентский счет в Национальном Банке Республики Казахстан</v>
      </c>
      <c r="F9" s="1" t="str">
        <f>"1"</f>
        <v>1</v>
      </c>
      <c r="G9" s="1" t="str">
        <f>"3"</f>
        <v>3</v>
      </c>
      <c r="H9" s="1" t="str">
        <f>"1"</f>
        <v>1</v>
      </c>
      <c r="I9" s="4">
        <v>212276898246.26001</v>
      </c>
    </row>
    <row r="10" spans="1:9" x14ac:dyDescent="0.25">
      <c r="A10" s="1">
        <v>5</v>
      </c>
      <c r="B10" s="2">
        <v>46142</v>
      </c>
      <c r="C10" s="1">
        <v>20</v>
      </c>
      <c r="D10" s="1" t="str">
        <f>"1052"</f>
        <v>1052</v>
      </c>
      <c r="E10" s="3" t="str">
        <f>"Корреспондентские счета в других банках"</f>
        <v>Корреспондентские счета в других банках</v>
      </c>
      <c r="F10" s="1" t="str">
        <f>"1"</f>
        <v>1</v>
      </c>
      <c r="G10" s="1" t="str">
        <f>"4"</f>
        <v>4</v>
      </c>
      <c r="H10" s="1" t="str">
        <f>"1"</f>
        <v>1</v>
      </c>
      <c r="I10" s="4">
        <v>634841.19999999995</v>
      </c>
    </row>
    <row r="11" spans="1:9" x14ac:dyDescent="0.25">
      <c r="A11" s="1">
        <v>6</v>
      </c>
      <c r="B11" s="2">
        <v>46142</v>
      </c>
      <c r="C11" s="1">
        <v>20</v>
      </c>
      <c r="D11" s="1" t="str">
        <f>"1052"</f>
        <v>1052</v>
      </c>
      <c r="E11" s="3" t="str">
        <f>"Корреспондентские счета в других банках"</f>
        <v>Корреспондентские счета в других банках</v>
      </c>
      <c r="F11" s="1" t="str">
        <f>"1"</f>
        <v>1</v>
      </c>
      <c r="G11" s="1" t="str">
        <f>"4"</f>
        <v>4</v>
      </c>
      <c r="H11" s="1" t="str">
        <f>"2"</f>
        <v>2</v>
      </c>
      <c r="I11" s="4">
        <v>211055107.91999999</v>
      </c>
    </row>
    <row r="12" spans="1:9" x14ac:dyDescent="0.25">
      <c r="A12" s="1">
        <v>7</v>
      </c>
      <c r="B12" s="2">
        <v>46142</v>
      </c>
      <c r="C12" s="1">
        <v>20</v>
      </c>
      <c r="D12" s="1" t="str">
        <f>"1052"</f>
        <v>1052</v>
      </c>
      <c r="E12" s="3" t="str">
        <f>"Корреспондентские счета в других банках"</f>
        <v>Корреспондентские счета в других банках</v>
      </c>
      <c r="F12" s="1" t="str">
        <f>"1"</f>
        <v>1</v>
      </c>
      <c r="G12" s="1" t="str">
        <f>"4"</f>
        <v>4</v>
      </c>
      <c r="H12" s="1" t="str">
        <f>"3"</f>
        <v>3</v>
      </c>
      <c r="I12" s="4">
        <v>882677.92</v>
      </c>
    </row>
    <row r="13" spans="1:9" x14ac:dyDescent="0.25">
      <c r="A13" s="1">
        <v>8</v>
      </c>
      <c r="B13" s="2">
        <v>46142</v>
      </c>
      <c r="C13" s="1">
        <v>20</v>
      </c>
      <c r="D13" s="1" t="str">
        <f>"1053"</f>
        <v>1053</v>
      </c>
      <c r="E13" s="3" t="str">
        <f>"Текущие счета ипотечных организаций в банках"</f>
        <v>Текущие счета ипотечных организаций в банках</v>
      </c>
      <c r="F13" s="1" t="str">
        <f>"1"</f>
        <v>1</v>
      </c>
      <c r="G13" s="1" t="str">
        <f>"4"</f>
        <v>4</v>
      </c>
      <c r="H13" s="1" t="str">
        <f>"1"</f>
        <v>1</v>
      </c>
      <c r="I13" s="4">
        <v>79908.88</v>
      </c>
    </row>
    <row r="14" spans="1:9" x14ac:dyDescent="0.25">
      <c r="A14" s="1">
        <v>9</v>
      </c>
      <c r="B14" s="2">
        <v>46142</v>
      </c>
      <c r="C14" s="1">
        <v>20</v>
      </c>
      <c r="D14" s="1" t="str">
        <f>"1054"</f>
        <v>1054</v>
      </c>
      <c r="E14" s="3" t="str">
        <f>"Резервы (провизии) по корреспондентским счетам в других банках и текущим счетам ипотечных организаций"</f>
        <v>Резервы (провизии) по корреспондентским счетам в других банках и текущим счетам ипотечных организаций</v>
      </c>
      <c r="F14" s="1" t="str">
        <f>"1"</f>
        <v>1</v>
      </c>
      <c r="G14" s="1" t="str">
        <f>"4"</f>
        <v>4</v>
      </c>
      <c r="H14" s="1" t="str">
        <f>"1"</f>
        <v>1</v>
      </c>
      <c r="I14" s="4">
        <v>-3712.03</v>
      </c>
    </row>
    <row r="15" spans="1:9" x14ac:dyDescent="0.25">
      <c r="A15" s="1">
        <v>10</v>
      </c>
      <c r="B15" s="2">
        <v>46142</v>
      </c>
      <c r="C15" s="1">
        <v>20</v>
      </c>
      <c r="D15" s="1" t="str">
        <f>"1054"</f>
        <v>1054</v>
      </c>
      <c r="E15" s="3" t="str">
        <f>"Резервы (провизии) по корреспондентским счетам в других банках и текущим счетам ипотечных организаций"</f>
        <v>Резервы (провизии) по корреспондентским счетам в других банках и текущим счетам ипотечных организаций</v>
      </c>
      <c r="F15" s="1" t="str">
        <f>"1"</f>
        <v>1</v>
      </c>
      <c r="G15" s="1" t="str">
        <f>"3"</f>
        <v>3</v>
      </c>
      <c r="H15" s="1" t="str">
        <f>"1"</f>
        <v>1</v>
      </c>
      <c r="I15" s="4">
        <v>-3961926.52</v>
      </c>
    </row>
    <row r="16" spans="1:9" x14ac:dyDescent="0.25">
      <c r="A16" s="1">
        <v>11</v>
      </c>
      <c r="B16" s="2">
        <v>46142</v>
      </c>
      <c r="C16" s="1">
        <v>20</v>
      </c>
      <c r="D16" s="1" t="str">
        <f>"1055"</f>
        <v>1055</v>
      </c>
      <c r="E16" s="3" t="str">
        <f>"Текущие счета банков в Национальном Банке  Республики Казахстан"</f>
        <v>Текущие счета банков в Национальном Банке  Республики Казахстан</v>
      </c>
      <c r="F16" s="1" t="str">
        <f>"1"</f>
        <v>1</v>
      </c>
      <c r="G16" s="1" t="str">
        <f>"3"</f>
        <v>3</v>
      </c>
      <c r="H16" s="1" t="str">
        <f>"1"</f>
        <v>1</v>
      </c>
      <c r="I16" s="4">
        <v>4446396898.7200003</v>
      </c>
    </row>
    <row r="17" spans="1:9" x14ac:dyDescent="0.25">
      <c r="A17" s="1">
        <v>12</v>
      </c>
      <c r="B17" s="2">
        <v>46142</v>
      </c>
      <c r="C17" s="1">
        <v>20</v>
      </c>
      <c r="D17" s="1" t="str">
        <f>"1101"</f>
        <v>1101</v>
      </c>
      <c r="E17" s="3" t="str">
        <f>"Вклады в Национальном Банке Республики Казахстан (на одну ночь)"</f>
        <v>Вклады в Национальном Банке Республики Казахстан (на одну ночь)</v>
      </c>
      <c r="F17" s="1" t="str">
        <f>"1"</f>
        <v>1</v>
      </c>
      <c r="G17" s="1" t="str">
        <f>"3"</f>
        <v>3</v>
      </c>
      <c r="H17" s="1" t="str">
        <f>"1"</f>
        <v>1</v>
      </c>
      <c r="I17" s="4">
        <v>3999929924.1900001</v>
      </c>
    </row>
    <row r="18" spans="1:9" x14ac:dyDescent="0.25">
      <c r="A18" s="1">
        <v>13</v>
      </c>
      <c r="B18" s="2">
        <v>46142</v>
      </c>
      <c r="C18" s="1">
        <v>20</v>
      </c>
      <c r="D18" s="1" t="str">
        <f>"1103"</f>
        <v>1103</v>
      </c>
      <c r="E18" s="3" t="str">
        <f>"Срочные вклады в Национальном Банке Республики Казахстан"</f>
        <v>Срочные вклады в Национальном Банке Республики Казахстан</v>
      </c>
      <c r="F18" s="1" t="str">
        <f>"1"</f>
        <v>1</v>
      </c>
      <c r="G18" s="1" t="str">
        <f>"3"</f>
        <v>3</v>
      </c>
      <c r="H18" s="1" t="str">
        <f>"1"</f>
        <v>1</v>
      </c>
      <c r="I18" s="4">
        <v>607985221690.98999</v>
      </c>
    </row>
    <row r="19" spans="1:9" x14ac:dyDescent="0.25">
      <c r="A19" s="1">
        <v>14</v>
      </c>
      <c r="B19" s="2">
        <v>46142</v>
      </c>
      <c r="C19" s="1">
        <v>20</v>
      </c>
      <c r="D19" s="1" t="str">
        <f>"1255"</f>
        <v>1255</v>
      </c>
      <c r="E19" s="3" t="str">
        <f>"Долгосрочные вклады, размещенные в других банках"</f>
        <v>Долгосрочные вклады, размещенные в других банках</v>
      </c>
      <c r="F19" s="1" t="str">
        <f>"1"</f>
        <v>1</v>
      </c>
      <c r="G19" s="1" t="str">
        <f>"4"</f>
        <v>4</v>
      </c>
      <c r="H19" s="1" t="str">
        <f>"1"</f>
        <v>1</v>
      </c>
      <c r="I19" s="4">
        <v>20000000000</v>
      </c>
    </row>
    <row r="20" spans="1:9" x14ac:dyDescent="0.25">
      <c r="A20" s="1">
        <v>15</v>
      </c>
      <c r="B20" s="2">
        <v>46142</v>
      </c>
      <c r="C20" s="1">
        <v>20</v>
      </c>
      <c r="D20" s="1" t="str">
        <f>"1259"</f>
        <v>1259</v>
      </c>
      <c r="E20" s="3" t="str">
        <f>"Резервы (провизии) по вкладам, размещенным в других банках"</f>
        <v>Резервы (провизии) по вкладам, размещенным в других банках</v>
      </c>
      <c r="F20" s="1" t="str">
        <f>"1"</f>
        <v>1</v>
      </c>
      <c r="G20" s="1" t="str">
        <f>"4"</f>
        <v>4</v>
      </c>
      <c r="H20" s="1" t="str">
        <f>"1"</f>
        <v>1</v>
      </c>
      <c r="I20" s="4">
        <v>-541002412.55999994</v>
      </c>
    </row>
    <row r="21" spans="1:9" x14ac:dyDescent="0.25">
      <c r="A21" s="1">
        <v>16</v>
      </c>
      <c r="B21" s="2">
        <v>46142</v>
      </c>
      <c r="C21" s="1">
        <v>20</v>
      </c>
      <c r="D21" s="1" t="str">
        <f>"1266"</f>
        <v>1266</v>
      </c>
      <c r="E21" s="3" t="str">
        <f>"Премия по вкладам, размещенным в других банках"</f>
        <v>Премия по вкладам, размещенным в других банках</v>
      </c>
      <c r="F21" s="1" t="str">
        <f>"1"</f>
        <v>1</v>
      </c>
      <c r="G21" s="1" t="str">
        <f>"4"</f>
        <v>4</v>
      </c>
      <c r="H21" s="1" t="str">
        <f>"1"</f>
        <v>1</v>
      </c>
      <c r="I21" s="4">
        <v>539911517.14999998</v>
      </c>
    </row>
    <row r="22" spans="1:9" x14ac:dyDescent="0.25">
      <c r="A22" s="1">
        <v>17</v>
      </c>
      <c r="B22" s="2">
        <v>46142</v>
      </c>
      <c r="C22" s="1">
        <v>20</v>
      </c>
      <c r="D22" s="1" t="str">
        <f>"1411"</f>
        <v>1411</v>
      </c>
      <c r="E22" s="3" t="str">
        <f>"Краткосрочные займы, предоставленные клиентам"</f>
        <v>Краткосрочные займы, предоставленные клиентам</v>
      </c>
      <c r="F22" s="1" t="str">
        <f>"1"</f>
        <v>1</v>
      </c>
      <c r="G22" s="1" t="str">
        <f>"9"</f>
        <v>9</v>
      </c>
      <c r="H22" s="1" t="str">
        <f>"1"</f>
        <v>1</v>
      </c>
      <c r="I22" s="4">
        <v>133212853.73999999</v>
      </c>
    </row>
    <row r="23" spans="1:9" x14ac:dyDescent="0.25">
      <c r="A23" s="1">
        <v>18</v>
      </c>
      <c r="B23" s="2">
        <v>46142</v>
      </c>
      <c r="C23" s="1">
        <v>20</v>
      </c>
      <c r="D23" s="1" t="str">
        <f>"1417"</f>
        <v>1417</v>
      </c>
      <c r="E23" s="3" t="str">
        <f>"Долгосрочные займы, предоставленные клиентам"</f>
        <v>Долгосрочные займы, предоставленные клиентам</v>
      </c>
      <c r="F23" s="1" t="str">
        <f>"1"</f>
        <v>1</v>
      </c>
      <c r="G23" s="1" t="str">
        <f>"9"</f>
        <v>9</v>
      </c>
      <c r="H23" s="1" t="str">
        <f>"1"</f>
        <v>1</v>
      </c>
      <c r="I23" s="4">
        <v>4225314514182.21</v>
      </c>
    </row>
    <row r="24" spans="1:9" x14ac:dyDescent="0.25">
      <c r="A24" s="1">
        <v>19</v>
      </c>
      <c r="B24" s="2">
        <v>46142</v>
      </c>
      <c r="C24" s="1">
        <v>20</v>
      </c>
      <c r="D24" s="1" t="str">
        <f>"1417"</f>
        <v>1417</v>
      </c>
      <c r="E24" s="3" t="str">
        <f>"Долгосрочные займы, предоставленные клиентам"</f>
        <v>Долгосрочные займы, предоставленные клиентам</v>
      </c>
      <c r="F24" s="1" t="str">
        <f>"2"</f>
        <v>2</v>
      </c>
      <c r="G24" s="1" t="str">
        <f>"9"</f>
        <v>9</v>
      </c>
      <c r="H24" s="1" t="str">
        <f>"1"</f>
        <v>1</v>
      </c>
      <c r="I24" s="4">
        <v>61007713.079999998</v>
      </c>
    </row>
    <row r="25" spans="1:9" x14ac:dyDescent="0.25">
      <c r="A25" s="1">
        <v>20</v>
      </c>
      <c r="B25" s="2">
        <v>46142</v>
      </c>
      <c r="C25" s="1">
        <v>20</v>
      </c>
      <c r="D25" s="1" t="str">
        <f>"1424"</f>
        <v>1424</v>
      </c>
      <c r="E25" s="3" t="str">
        <f>"Просроченная задолженность клиентов по займам"</f>
        <v>Просроченная задолженность клиентов по займам</v>
      </c>
      <c r="F25" s="1" t="str">
        <f>"1"</f>
        <v>1</v>
      </c>
      <c r="G25" s="1" t="str">
        <f>"9"</f>
        <v>9</v>
      </c>
      <c r="H25" s="1" t="str">
        <f>"1"</f>
        <v>1</v>
      </c>
      <c r="I25" s="4">
        <v>3095613326.0100002</v>
      </c>
    </row>
    <row r="26" spans="1:9" x14ac:dyDescent="0.25">
      <c r="A26" s="1">
        <v>21</v>
      </c>
      <c r="B26" s="2">
        <v>46142</v>
      </c>
      <c r="C26" s="1">
        <v>20</v>
      </c>
      <c r="D26" s="1" t="str">
        <f>"1424"</f>
        <v>1424</v>
      </c>
      <c r="E26" s="3" t="str">
        <f>"Просроченная задолженность клиентов по займам"</f>
        <v>Просроченная задолженность клиентов по займам</v>
      </c>
      <c r="F26" s="1" t="str">
        <f>"2"</f>
        <v>2</v>
      </c>
      <c r="G26" s="1" t="str">
        <f>"9"</f>
        <v>9</v>
      </c>
      <c r="H26" s="1" t="str">
        <f>"1"</f>
        <v>1</v>
      </c>
      <c r="I26" s="4">
        <v>106758.97</v>
      </c>
    </row>
    <row r="27" spans="1:9" x14ac:dyDescent="0.25">
      <c r="A27" s="1">
        <v>22</v>
      </c>
      <c r="B27" s="2">
        <v>46142</v>
      </c>
      <c r="C27" s="1">
        <v>20</v>
      </c>
      <c r="D27" s="1" t="str">
        <f>"1428"</f>
        <v>1428</v>
      </c>
      <c r="E27" s="3" t="str">
        <f>"Резервы (провизии) по займам и финансовому лизингу, предоставленным клиентам"</f>
        <v>Резервы (провизии) по займам и финансовому лизингу, предоставленным клиентам</v>
      </c>
      <c r="F27" s="1" t="str">
        <f>"2"</f>
        <v>2</v>
      </c>
      <c r="G27" s="1" t="str">
        <f>"9"</f>
        <v>9</v>
      </c>
      <c r="H27" s="1" t="str">
        <f>"1"</f>
        <v>1</v>
      </c>
      <c r="I27" s="4">
        <v>-93559.2</v>
      </c>
    </row>
    <row r="28" spans="1:9" x14ac:dyDescent="0.25">
      <c r="A28" s="1">
        <v>23</v>
      </c>
      <c r="B28" s="2">
        <v>46142</v>
      </c>
      <c r="C28" s="1">
        <v>20</v>
      </c>
      <c r="D28" s="1" t="str">
        <f>"1428"</f>
        <v>1428</v>
      </c>
      <c r="E28" s="3" t="str">
        <f>"Резервы (провизии) по займам и финансовому лизингу, предоставленным клиентам"</f>
        <v>Резервы (провизии) по займам и финансовому лизингу, предоставленным клиентам</v>
      </c>
      <c r="F28" s="1" t="str">
        <f>"1"</f>
        <v>1</v>
      </c>
      <c r="G28" s="1" t="str">
        <f>"9"</f>
        <v>9</v>
      </c>
      <c r="H28" s="1" t="str">
        <f>"1"</f>
        <v>1</v>
      </c>
      <c r="I28" s="4">
        <v>-14574768103.9</v>
      </c>
    </row>
    <row r="29" spans="1:9" x14ac:dyDescent="0.25">
      <c r="A29" s="1">
        <v>24</v>
      </c>
      <c r="B29" s="2">
        <v>46142</v>
      </c>
      <c r="C29" s="1">
        <v>20</v>
      </c>
      <c r="D29" s="1" t="str">
        <f>"1434"</f>
        <v>1434</v>
      </c>
      <c r="E29" s="3" t="str">
        <f>"Дисконт по займам, предоставленным клиентам"</f>
        <v>Дисконт по займам, предоставленным клиентам</v>
      </c>
      <c r="F29" s="1" t="str">
        <f>"1"</f>
        <v>1</v>
      </c>
      <c r="G29" s="1" t="str">
        <f>"9"</f>
        <v>9</v>
      </c>
      <c r="H29" s="1" t="str">
        <f>"1"</f>
        <v>1</v>
      </c>
      <c r="I29" s="4">
        <v>-138019977613.79999</v>
      </c>
    </row>
    <row r="30" spans="1:9" x14ac:dyDescent="0.25">
      <c r="A30" s="1">
        <v>25</v>
      </c>
      <c r="B30" s="2">
        <v>46142</v>
      </c>
      <c r="C30" s="1">
        <v>20</v>
      </c>
      <c r="D30" s="1" t="str">
        <f>"1434"</f>
        <v>1434</v>
      </c>
      <c r="E30" s="3" t="str">
        <f>"Дисконт по займам, предоставленным клиентам"</f>
        <v>Дисконт по займам, предоставленным клиентам</v>
      </c>
      <c r="F30" s="1" t="str">
        <f>"2"</f>
        <v>2</v>
      </c>
      <c r="G30" s="1" t="str">
        <f>"9"</f>
        <v>9</v>
      </c>
      <c r="H30" s="1" t="str">
        <f>"1"</f>
        <v>1</v>
      </c>
      <c r="I30" s="4">
        <v>-1590110.81</v>
      </c>
    </row>
    <row r="31" spans="1:9" x14ac:dyDescent="0.25">
      <c r="A31" s="1">
        <v>26</v>
      </c>
      <c r="B31" s="2">
        <v>46142</v>
      </c>
      <c r="C31" s="1">
        <v>20</v>
      </c>
      <c r="D31" s="1" t="str">
        <f>"1435"</f>
        <v>1435</v>
      </c>
      <c r="E31" s="3" t="str">
        <f>"Премия по займам, предоставленным клиентам"</f>
        <v>Премия по займам, предоставленным клиентам</v>
      </c>
      <c r="F31" s="1" t="str">
        <f>"1"</f>
        <v>1</v>
      </c>
      <c r="G31" s="1" t="str">
        <f>"9"</f>
        <v>9</v>
      </c>
      <c r="H31" s="1" t="str">
        <f>"1"</f>
        <v>1</v>
      </c>
      <c r="I31" s="4">
        <v>757385404.79999995</v>
      </c>
    </row>
    <row r="32" spans="1:9" x14ac:dyDescent="0.25">
      <c r="A32" s="1">
        <v>27</v>
      </c>
      <c r="B32" s="2">
        <v>46142</v>
      </c>
      <c r="C32" s="1">
        <v>20</v>
      </c>
      <c r="D32" s="1" t="str">
        <f>"1452"</f>
        <v>1452</v>
      </c>
      <c r="E32" s="3" t="str">
        <f>"Ценные бумаги, учитываемые по справедливой стоимости через прочий совокупный доход"</f>
        <v>Ценные бумаги, учитываемые по справедливой стоимости через прочий совокупный доход</v>
      </c>
      <c r="F32" s="1" t="str">
        <f>"1"</f>
        <v>1</v>
      </c>
      <c r="G32" s="1" t="str">
        <f>"6"</f>
        <v>6</v>
      </c>
      <c r="H32" s="1" t="str">
        <f>"1"</f>
        <v>1</v>
      </c>
      <c r="I32" s="4">
        <v>8000000000</v>
      </c>
    </row>
    <row r="33" spans="1:9" x14ac:dyDescent="0.25">
      <c r="A33" s="1">
        <v>28</v>
      </c>
      <c r="B33" s="2">
        <v>46142</v>
      </c>
      <c r="C33" s="1">
        <v>20</v>
      </c>
      <c r="D33" s="1" t="str">
        <f>"1452"</f>
        <v>1452</v>
      </c>
      <c r="E33" s="3" t="str">
        <f>"Ценные бумаги, учитываемые по справедливой стоимости через прочий совокупный доход"</f>
        <v>Ценные бумаги, учитываемые по справедливой стоимости через прочий совокупный доход</v>
      </c>
      <c r="F33" s="1" t="str">
        <f>"1"</f>
        <v>1</v>
      </c>
      <c r="G33" s="1" t="str">
        <f>"5"</f>
        <v>5</v>
      </c>
      <c r="H33" s="1" t="str">
        <f>"1"</f>
        <v>1</v>
      </c>
      <c r="I33" s="4">
        <v>5000000000</v>
      </c>
    </row>
    <row r="34" spans="1:9" x14ac:dyDescent="0.25">
      <c r="A34" s="1">
        <v>29</v>
      </c>
      <c r="B34" s="2">
        <v>46142</v>
      </c>
      <c r="C34" s="1">
        <v>20</v>
      </c>
      <c r="D34" s="1" t="str">
        <f>"1452"</f>
        <v>1452</v>
      </c>
      <c r="E34" s="3" t="str">
        <f>"Ценные бумаги, учитываемые по справедливой стоимости через прочий совокупный доход"</f>
        <v>Ценные бумаги, учитываемые по справедливой стоимости через прочий совокупный доход</v>
      </c>
      <c r="F34" s="1" t="str">
        <f>"1"</f>
        <v>1</v>
      </c>
      <c r="G34" s="1" t="str">
        <f>"1"</f>
        <v>1</v>
      </c>
      <c r="H34" s="1" t="str">
        <f>"1"</f>
        <v>1</v>
      </c>
      <c r="I34" s="4">
        <v>18157744000</v>
      </c>
    </row>
    <row r="35" spans="1:9" x14ac:dyDescent="0.25">
      <c r="A35" s="1">
        <v>30</v>
      </c>
      <c r="B35" s="2">
        <v>46142</v>
      </c>
      <c r="C35" s="1">
        <v>20</v>
      </c>
      <c r="D35" s="1" t="str">
        <f>"1452"</f>
        <v>1452</v>
      </c>
      <c r="E35" s="3" t="str">
        <f>"Ценные бумаги, учитываемые по справедливой стоимости через прочий совокупный доход"</f>
        <v>Ценные бумаги, учитываемые по справедливой стоимости через прочий совокупный доход</v>
      </c>
      <c r="F35" s="1" t="str">
        <f>"1"</f>
        <v>1</v>
      </c>
      <c r="G35" s="1" t="str">
        <f>"4"</f>
        <v>4</v>
      </c>
      <c r="H35" s="1" t="str">
        <f>"1"</f>
        <v>1</v>
      </c>
      <c r="I35" s="4">
        <v>4562983195</v>
      </c>
    </row>
    <row r="36" spans="1:9" ht="30" x14ac:dyDescent="0.25">
      <c r="A36" s="1">
        <v>31</v>
      </c>
      <c r="B36" s="2">
        <v>46142</v>
      </c>
      <c r="C36" s="1">
        <v>20</v>
      </c>
      <c r="D36" s="1" t="str">
        <f>"1453"</f>
        <v>1453</v>
      </c>
      <c r="E36" s="3" t="str">
        <f>"Дисконт по приобретенным ценным бумагам, учитываемым по справедливой стоимости через прочий совокупный доход"</f>
        <v>Дисконт по приобретенным ценным бумагам, учитываемым по справедливой стоимости через прочий совокупный доход</v>
      </c>
      <c r="F36" s="1" t="str">
        <f>"1"</f>
        <v>1</v>
      </c>
      <c r="G36" s="1" t="str">
        <f>"1"</f>
        <v>1</v>
      </c>
      <c r="H36" s="1" t="str">
        <f>"1"</f>
        <v>1</v>
      </c>
      <c r="I36" s="4">
        <v>-586355464.08000004</v>
      </c>
    </row>
    <row r="37" spans="1:9" ht="30" x14ac:dyDescent="0.25">
      <c r="A37" s="1">
        <v>32</v>
      </c>
      <c r="B37" s="2">
        <v>46142</v>
      </c>
      <c r="C37" s="1">
        <v>20</v>
      </c>
      <c r="D37" s="1" t="str">
        <f>"1454"</f>
        <v>1454</v>
      </c>
      <c r="E37" s="3" t="str">
        <f>"Премия по приобретенным ценным бумагам, учитываемым по справедливой стоимости через прочий совокупный доход"</f>
        <v>Премия по приобретенным ценным бумагам, учитываемым по справедливой стоимости через прочий совокупный доход</v>
      </c>
      <c r="F37" s="1" t="str">
        <f>"1"</f>
        <v>1</v>
      </c>
      <c r="G37" s="1" t="str">
        <f>"1"</f>
        <v>1</v>
      </c>
      <c r="H37" s="1" t="str">
        <f>"1"</f>
        <v>1</v>
      </c>
      <c r="I37" s="4">
        <v>6075.2</v>
      </c>
    </row>
    <row r="38" spans="1:9" ht="30" x14ac:dyDescent="0.25">
      <c r="A38" s="1">
        <v>33</v>
      </c>
      <c r="B38" s="2">
        <v>46142</v>
      </c>
      <c r="C38" s="1">
        <v>20</v>
      </c>
      <c r="D38" s="1" t="str">
        <f>"1456"</f>
        <v>1456</v>
      </c>
      <c r="E38" s="3" t="str">
        <f>"Счет положительной корректировки справедливой стоимости ценных бумаг, учитываемых по справедливой стоимости через прочий совокупный доход"</f>
        <v>Счет положительной корректировки справедливой стоимости ценных бумаг, учитываемых по справедливой стоимости через прочий совокупный доход</v>
      </c>
      <c r="F38" s="1" t="str">
        <f>"1"</f>
        <v>1</v>
      </c>
      <c r="G38" s="1" t="str">
        <f>"4"</f>
        <v>4</v>
      </c>
      <c r="H38" s="1" t="str">
        <f>"1"</f>
        <v>1</v>
      </c>
      <c r="I38" s="4">
        <v>40669.94</v>
      </c>
    </row>
    <row r="39" spans="1:9" ht="30" x14ac:dyDescent="0.25">
      <c r="A39" s="1">
        <v>34</v>
      </c>
      <c r="B39" s="2">
        <v>46142</v>
      </c>
      <c r="C39" s="1">
        <v>20</v>
      </c>
      <c r="D39" s="1" t="str">
        <f>"1457"</f>
        <v>1457</v>
      </c>
      <c r="E39" s="3" t="str">
        <f>"Счет отрицательной корректировки справедливой стоимости ценных бумаг, учитываемых по справедливой стоимости через прочий совокупный доход"</f>
        <v>Счет отрицательной корректировки справедливой стоимости ценных бумаг, учитываемых по справедливой стоимости через прочий совокупный доход</v>
      </c>
      <c r="F39" s="1" t="str">
        <f>"1"</f>
        <v>1</v>
      </c>
      <c r="G39" s="1" t="str">
        <f>"1"</f>
        <v>1</v>
      </c>
      <c r="H39" s="1" t="str">
        <f>"1"</f>
        <v>1</v>
      </c>
      <c r="I39" s="4">
        <v>-1411117664.8800001</v>
      </c>
    </row>
    <row r="40" spans="1:9" ht="30" x14ac:dyDescent="0.25">
      <c r="A40" s="1">
        <v>35</v>
      </c>
      <c r="B40" s="2">
        <v>46142</v>
      </c>
      <c r="C40" s="1">
        <v>20</v>
      </c>
      <c r="D40" s="1" t="str">
        <f>"1457"</f>
        <v>1457</v>
      </c>
      <c r="E40" s="3" t="str">
        <f>"Счет отрицательной корректировки справедливой стоимости ценных бумаг, учитываемых по справедливой стоимости через прочий совокупный доход"</f>
        <v>Счет отрицательной корректировки справедливой стоимости ценных бумаг, учитываемых по справедливой стоимости через прочий совокупный доход</v>
      </c>
      <c r="F40" s="1" t="str">
        <f>"1"</f>
        <v>1</v>
      </c>
      <c r="G40" s="1" t="str">
        <f>"5"</f>
        <v>5</v>
      </c>
      <c r="H40" s="1" t="str">
        <f>"1"</f>
        <v>1</v>
      </c>
      <c r="I40" s="4">
        <v>-526015302.75</v>
      </c>
    </row>
    <row r="41" spans="1:9" ht="30" x14ac:dyDescent="0.25">
      <c r="A41" s="1">
        <v>36</v>
      </c>
      <c r="B41" s="2">
        <v>46142</v>
      </c>
      <c r="C41" s="1">
        <v>20</v>
      </c>
      <c r="D41" s="1" t="str">
        <f>"1457"</f>
        <v>1457</v>
      </c>
      <c r="E41" s="3" t="str">
        <f>"Счет отрицательной корректировки справедливой стоимости ценных бумаг, учитываемых по справедливой стоимости через прочий совокупный доход"</f>
        <v>Счет отрицательной корректировки справедливой стоимости ценных бумаг, учитываемых по справедливой стоимости через прочий совокупный доход</v>
      </c>
      <c r="F41" s="1" t="str">
        <f>"1"</f>
        <v>1</v>
      </c>
      <c r="G41" s="1" t="str">
        <f>"4"</f>
        <v>4</v>
      </c>
      <c r="H41" s="1" t="str">
        <f>"1"</f>
        <v>1</v>
      </c>
      <c r="I41" s="4">
        <v>-192326155.41999999</v>
      </c>
    </row>
    <row r="42" spans="1:9" ht="30" x14ac:dyDescent="0.25">
      <c r="A42" s="1">
        <v>37</v>
      </c>
      <c r="B42" s="2">
        <v>46142</v>
      </c>
      <c r="C42" s="1">
        <v>20</v>
      </c>
      <c r="D42" s="1" t="str">
        <f>"1457"</f>
        <v>1457</v>
      </c>
      <c r="E42" s="3" t="str">
        <f>"Счет отрицательной корректировки справедливой стоимости ценных бумаг, учитываемых по справедливой стоимости через прочий совокупный доход"</f>
        <v>Счет отрицательной корректировки справедливой стоимости ценных бумаг, учитываемых по справедливой стоимости через прочий совокупный доход</v>
      </c>
      <c r="F42" s="1" t="str">
        <f>"1"</f>
        <v>1</v>
      </c>
      <c r="G42" s="1" t="str">
        <f>"6"</f>
        <v>6</v>
      </c>
      <c r="H42" s="1" t="str">
        <f>"1"</f>
        <v>1</v>
      </c>
      <c r="I42" s="4">
        <v>-970580746.35000002</v>
      </c>
    </row>
    <row r="43" spans="1:9" x14ac:dyDescent="0.25">
      <c r="A43" s="1">
        <v>38</v>
      </c>
      <c r="B43" s="2">
        <v>46142</v>
      </c>
      <c r="C43" s="1">
        <v>20</v>
      </c>
      <c r="D43" s="1" t="str">
        <f>"1481"</f>
        <v>1481</v>
      </c>
      <c r="E43" s="3" t="str">
        <f>"Ценные бумаги, учитываемые по амортизированной стоимости"</f>
        <v>Ценные бумаги, учитываемые по амортизированной стоимости</v>
      </c>
      <c r="F43" s="1" t="str">
        <f>"1"</f>
        <v>1</v>
      </c>
      <c r="G43" s="1" t="str">
        <f>"1"</f>
        <v>1</v>
      </c>
      <c r="H43" s="1" t="str">
        <f>"1"</f>
        <v>1</v>
      </c>
      <c r="I43" s="4">
        <v>68306000000</v>
      </c>
    </row>
    <row r="44" spans="1:9" x14ac:dyDescent="0.25">
      <c r="A44" s="1">
        <v>39</v>
      </c>
      <c r="B44" s="2">
        <v>46142</v>
      </c>
      <c r="C44" s="1">
        <v>20</v>
      </c>
      <c r="D44" s="1" t="str">
        <f>"1481"</f>
        <v>1481</v>
      </c>
      <c r="E44" s="3" t="str">
        <f>"Ценные бумаги, учитываемые по амортизированной стоимости"</f>
        <v>Ценные бумаги, учитываемые по амортизированной стоимости</v>
      </c>
      <c r="F44" s="1" t="str">
        <f>"1"</f>
        <v>1</v>
      </c>
      <c r="G44" s="1" t="str">
        <f>"7"</f>
        <v>7</v>
      </c>
      <c r="H44" s="1" t="str">
        <f>"1"</f>
        <v>1</v>
      </c>
      <c r="I44" s="4">
        <v>9000000000</v>
      </c>
    </row>
    <row r="45" spans="1:9" x14ac:dyDescent="0.25">
      <c r="A45" s="1">
        <v>40</v>
      </c>
      <c r="B45" s="2">
        <v>46142</v>
      </c>
      <c r="C45" s="1">
        <v>20</v>
      </c>
      <c r="D45" s="1" t="str">
        <f>"1481"</f>
        <v>1481</v>
      </c>
      <c r="E45" s="3" t="str">
        <f>"Ценные бумаги, учитываемые по амортизированной стоимости"</f>
        <v>Ценные бумаги, учитываемые по амортизированной стоимости</v>
      </c>
      <c r="F45" s="1" t="str">
        <f>"1"</f>
        <v>1</v>
      </c>
      <c r="G45" s="1" t="str">
        <f>"6"</f>
        <v>6</v>
      </c>
      <c r="H45" s="1" t="str">
        <f>"1"</f>
        <v>1</v>
      </c>
      <c r="I45" s="4">
        <v>23000000000</v>
      </c>
    </row>
    <row r="46" spans="1:9" x14ac:dyDescent="0.25">
      <c r="A46" s="1">
        <v>41</v>
      </c>
      <c r="B46" s="2">
        <v>46142</v>
      </c>
      <c r="C46" s="1">
        <v>20</v>
      </c>
      <c r="D46" s="1" t="str">
        <f>"1481"</f>
        <v>1481</v>
      </c>
      <c r="E46" s="3" t="str">
        <f>"Ценные бумаги, учитываемые по амортизированной стоимости"</f>
        <v>Ценные бумаги, учитываемые по амортизированной стоимости</v>
      </c>
      <c r="F46" s="1" t="str">
        <f>"1"</f>
        <v>1</v>
      </c>
      <c r="G46" s="1" t="str">
        <f>"6"</f>
        <v>6</v>
      </c>
      <c r="H46" s="1" t="str">
        <f>"2"</f>
        <v>2</v>
      </c>
      <c r="I46" s="4">
        <v>5092010000</v>
      </c>
    </row>
    <row r="47" spans="1:9" x14ac:dyDescent="0.25">
      <c r="A47" s="1">
        <v>42</v>
      </c>
      <c r="B47" s="2">
        <v>46142</v>
      </c>
      <c r="C47" s="1">
        <v>20</v>
      </c>
      <c r="D47" s="1" t="str">
        <f>"1481"</f>
        <v>1481</v>
      </c>
      <c r="E47" s="3" t="str">
        <f>"Ценные бумаги, учитываемые по амортизированной стоимости"</f>
        <v>Ценные бумаги, учитываемые по амортизированной стоимости</v>
      </c>
      <c r="F47" s="1" t="str">
        <f>"1"</f>
        <v>1</v>
      </c>
      <c r="G47" s="1" t="str">
        <f>"5"</f>
        <v>5</v>
      </c>
      <c r="H47" s="1" t="str">
        <f>"1"</f>
        <v>1</v>
      </c>
      <c r="I47" s="4">
        <v>227340949000</v>
      </c>
    </row>
    <row r="48" spans="1:9" x14ac:dyDescent="0.25">
      <c r="A48" s="1">
        <v>43</v>
      </c>
      <c r="B48" s="2">
        <v>46142</v>
      </c>
      <c r="C48" s="1">
        <v>20</v>
      </c>
      <c r="D48" s="1" t="str">
        <f>"1481"</f>
        <v>1481</v>
      </c>
      <c r="E48" s="3" t="str">
        <f>"Ценные бумаги, учитываемые по амортизированной стоимости"</f>
        <v>Ценные бумаги, учитываемые по амортизированной стоимости</v>
      </c>
      <c r="F48" s="1" t="str">
        <f>"2"</f>
        <v>2</v>
      </c>
      <c r="G48" s="1" t="str">
        <f>"3"</f>
        <v>3</v>
      </c>
      <c r="H48" s="1" t="str">
        <f>"1"</f>
        <v>1</v>
      </c>
      <c r="I48" s="4">
        <v>5186623615</v>
      </c>
    </row>
    <row r="49" spans="1:9" x14ac:dyDescent="0.25">
      <c r="A49" s="1">
        <v>44</v>
      </c>
      <c r="B49" s="2">
        <v>46142</v>
      </c>
      <c r="C49" s="1">
        <v>20</v>
      </c>
      <c r="D49" s="1" t="str">
        <f>"1481"</f>
        <v>1481</v>
      </c>
      <c r="E49" s="3" t="str">
        <f>"Ценные бумаги, учитываемые по амортизированной стоимости"</f>
        <v>Ценные бумаги, учитываемые по амортизированной стоимости</v>
      </c>
      <c r="F49" s="1" t="str">
        <f>"1"</f>
        <v>1</v>
      </c>
      <c r="G49" s="1" t="str">
        <f>"4"</f>
        <v>4</v>
      </c>
      <c r="H49" s="1" t="str">
        <f>"1"</f>
        <v>1</v>
      </c>
      <c r="I49" s="4">
        <v>23156362000</v>
      </c>
    </row>
    <row r="50" spans="1:9" x14ac:dyDescent="0.25">
      <c r="A50" s="1">
        <v>45</v>
      </c>
      <c r="B50" s="2">
        <v>46142</v>
      </c>
      <c r="C50" s="1">
        <v>20</v>
      </c>
      <c r="D50" s="1" t="str">
        <f>"1481"</f>
        <v>1481</v>
      </c>
      <c r="E50" s="3" t="str">
        <f>"Ценные бумаги, учитываемые по амортизированной стоимости"</f>
        <v>Ценные бумаги, учитываемые по амортизированной стоимости</v>
      </c>
      <c r="F50" s="1" t="str">
        <f>"1"</f>
        <v>1</v>
      </c>
      <c r="G50" s="1" t="str">
        <f>"4"</f>
        <v>4</v>
      </c>
      <c r="H50" s="1" t="str">
        <f>"2"</f>
        <v>2</v>
      </c>
      <c r="I50" s="4">
        <v>925820000</v>
      </c>
    </row>
    <row r="51" spans="1:9" x14ac:dyDescent="0.25">
      <c r="A51" s="1">
        <v>46</v>
      </c>
      <c r="B51" s="2">
        <v>46142</v>
      </c>
      <c r="C51" s="1">
        <v>20</v>
      </c>
      <c r="D51" s="1" t="str">
        <f>"1482"</f>
        <v>1482</v>
      </c>
      <c r="E51" s="3" t="str">
        <f>"Дисконт по ценным бумагам, учитываемым по амортизированной стоимости"</f>
        <v>Дисконт по ценным бумагам, учитываемым по амортизированной стоимости</v>
      </c>
      <c r="F51" s="1" t="str">
        <f>"1"</f>
        <v>1</v>
      </c>
      <c r="G51" s="1" t="str">
        <f>"4"</f>
        <v>4</v>
      </c>
      <c r="H51" s="1" t="str">
        <f>"1"</f>
        <v>1</v>
      </c>
      <c r="I51" s="4">
        <v>-1052769.03</v>
      </c>
    </row>
    <row r="52" spans="1:9" x14ac:dyDescent="0.25">
      <c r="A52" s="1">
        <v>47</v>
      </c>
      <c r="B52" s="2">
        <v>46142</v>
      </c>
      <c r="C52" s="1">
        <v>20</v>
      </c>
      <c r="D52" s="1" t="str">
        <f>"1482"</f>
        <v>1482</v>
      </c>
      <c r="E52" s="3" t="str">
        <f>"Дисконт по ценным бумагам, учитываемым по амортизированной стоимости"</f>
        <v>Дисконт по ценным бумагам, учитываемым по амортизированной стоимости</v>
      </c>
      <c r="F52" s="1" t="str">
        <f>"1"</f>
        <v>1</v>
      </c>
      <c r="G52" s="1" t="str">
        <f>"5"</f>
        <v>5</v>
      </c>
      <c r="H52" s="1" t="str">
        <f>"1"</f>
        <v>1</v>
      </c>
      <c r="I52" s="4">
        <v>-696183417.82000005</v>
      </c>
    </row>
    <row r="53" spans="1:9" x14ac:dyDescent="0.25">
      <c r="A53" s="1">
        <v>48</v>
      </c>
      <c r="B53" s="2">
        <v>46142</v>
      </c>
      <c r="C53" s="1">
        <v>20</v>
      </c>
      <c r="D53" s="1" t="str">
        <f>"1482"</f>
        <v>1482</v>
      </c>
      <c r="E53" s="3" t="str">
        <f>"Дисконт по ценным бумагам, учитываемым по амортизированной стоимости"</f>
        <v>Дисконт по ценным бумагам, учитываемым по амортизированной стоимости</v>
      </c>
      <c r="F53" s="1" t="str">
        <f>"1"</f>
        <v>1</v>
      </c>
      <c r="G53" s="1" t="str">
        <f>"6"</f>
        <v>6</v>
      </c>
      <c r="H53" s="1" t="str">
        <f>"2"</f>
        <v>2</v>
      </c>
      <c r="I53" s="4">
        <v>-40286168.509999998</v>
      </c>
    </row>
    <row r="54" spans="1:9" x14ac:dyDescent="0.25">
      <c r="A54" s="1">
        <v>49</v>
      </c>
      <c r="B54" s="2">
        <v>46142</v>
      </c>
      <c r="C54" s="1">
        <v>20</v>
      </c>
      <c r="D54" s="1" t="str">
        <f>"1482"</f>
        <v>1482</v>
      </c>
      <c r="E54" s="3" t="str">
        <f>"Дисконт по ценным бумагам, учитываемым по амортизированной стоимости"</f>
        <v>Дисконт по ценным бумагам, учитываемым по амортизированной стоимости</v>
      </c>
      <c r="F54" s="1" t="str">
        <f>"1"</f>
        <v>1</v>
      </c>
      <c r="G54" s="1" t="str">
        <f>"1"</f>
        <v>1</v>
      </c>
      <c r="H54" s="1" t="str">
        <f>"1"</f>
        <v>1</v>
      </c>
      <c r="I54" s="4">
        <v>-3618666124.8000002</v>
      </c>
    </row>
    <row r="55" spans="1:9" x14ac:dyDescent="0.25">
      <c r="A55" s="1">
        <v>50</v>
      </c>
      <c r="B55" s="2">
        <v>46142</v>
      </c>
      <c r="C55" s="1">
        <v>20</v>
      </c>
      <c r="D55" s="1" t="str">
        <f>"1482"</f>
        <v>1482</v>
      </c>
      <c r="E55" s="3" t="str">
        <f>"Дисконт по ценным бумагам, учитываемым по амортизированной стоимости"</f>
        <v>Дисконт по ценным бумагам, учитываемым по амортизированной стоимости</v>
      </c>
      <c r="F55" s="1" t="str">
        <f>"1"</f>
        <v>1</v>
      </c>
      <c r="G55" s="1" t="str">
        <f>"7"</f>
        <v>7</v>
      </c>
      <c r="H55" s="1" t="str">
        <f>"1"</f>
        <v>1</v>
      </c>
      <c r="I55" s="4">
        <v>-977383.94</v>
      </c>
    </row>
    <row r="56" spans="1:9" x14ac:dyDescent="0.25">
      <c r="A56" s="1">
        <v>51</v>
      </c>
      <c r="B56" s="2">
        <v>46142</v>
      </c>
      <c r="C56" s="1">
        <v>20</v>
      </c>
      <c r="D56" s="1" t="str">
        <f>"1482"</f>
        <v>1482</v>
      </c>
      <c r="E56" s="3" t="str">
        <f>"Дисконт по ценным бумагам, учитываемым по амортизированной стоимости"</f>
        <v>Дисконт по ценным бумагам, учитываемым по амортизированной стоимости</v>
      </c>
      <c r="F56" s="1" t="str">
        <f>"1"</f>
        <v>1</v>
      </c>
      <c r="G56" s="1" t="str">
        <f>"4"</f>
        <v>4</v>
      </c>
      <c r="H56" s="1" t="str">
        <f>"2"</f>
        <v>2</v>
      </c>
      <c r="I56" s="4">
        <v>-9783385.2799999993</v>
      </c>
    </row>
    <row r="57" spans="1:9" x14ac:dyDescent="0.25">
      <c r="A57" s="1">
        <v>52</v>
      </c>
      <c r="B57" s="2">
        <v>46142</v>
      </c>
      <c r="C57" s="1">
        <v>20</v>
      </c>
      <c r="D57" s="1" t="str">
        <f>"1483"</f>
        <v>1483</v>
      </c>
      <c r="E57" s="3" t="str">
        <f>"Премия по ценным бумагам, учитываемым по амортизированной стоимости"</f>
        <v>Премия по ценным бумагам, учитываемым по амортизированной стоимости</v>
      </c>
      <c r="F57" s="1" t="str">
        <f>"1"</f>
        <v>1</v>
      </c>
      <c r="G57" s="1" t="str">
        <f>"1"</f>
        <v>1</v>
      </c>
      <c r="H57" s="1" t="str">
        <f>"1"</f>
        <v>1</v>
      </c>
      <c r="I57" s="4">
        <v>12497235.300000001</v>
      </c>
    </row>
    <row r="58" spans="1:9" x14ac:dyDescent="0.25">
      <c r="A58" s="1">
        <v>53</v>
      </c>
      <c r="B58" s="2">
        <v>46142</v>
      </c>
      <c r="C58" s="1">
        <v>20</v>
      </c>
      <c r="D58" s="1" t="str">
        <f>"1486"</f>
        <v>1486</v>
      </c>
      <c r="E58" s="3" t="str">
        <f>"Резервы (провизии) по ценным бумагам, учитываемым по амортизированной стоимости"</f>
        <v>Резервы (провизии) по ценным бумагам, учитываемым по амортизированной стоимости</v>
      </c>
      <c r="F58" s="1" t="str">
        <f>"1"</f>
        <v>1</v>
      </c>
      <c r="G58" s="1" t="str">
        <f>"6"</f>
        <v>6</v>
      </c>
      <c r="H58" s="1" t="str">
        <f>"1"</f>
        <v>1</v>
      </c>
      <c r="I58" s="4">
        <v>-9846837.7799999993</v>
      </c>
    </row>
    <row r="59" spans="1:9" x14ac:dyDescent="0.25">
      <c r="A59" s="1">
        <v>54</v>
      </c>
      <c r="B59" s="2">
        <v>46142</v>
      </c>
      <c r="C59" s="1">
        <v>20</v>
      </c>
      <c r="D59" s="1" t="str">
        <f>"1486"</f>
        <v>1486</v>
      </c>
      <c r="E59" s="3" t="str">
        <f>"Резервы (провизии) по ценным бумагам, учитываемым по амортизированной стоимости"</f>
        <v>Резервы (провизии) по ценным бумагам, учитываемым по амортизированной стоимости</v>
      </c>
      <c r="F59" s="1" t="str">
        <f>"1"</f>
        <v>1</v>
      </c>
      <c r="G59" s="1" t="str">
        <f>"5"</f>
        <v>5</v>
      </c>
      <c r="H59" s="1" t="str">
        <f>"1"</f>
        <v>1</v>
      </c>
      <c r="I59" s="4">
        <v>-207818238.83000001</v>
      </c>
    </row>
    <row r="60" spans="1:9" x14ac:dyDescent="0.25">
      <c r="A60" s="1">
        <v>55</v>
      </c>
      <c r="B60" s="2">
        <v>46142</v>
      </c>
      <c r="C60" s="1">
        <v>20</v>
      </c>
      <c r="D60" s="1" t="str">
        <f>"1486"</f>
        <v>1486</v>
      </c>
      <c r="E60" s="3" t="str">
        <f>"Резервы (провизии) по ценным бумагам, учитываемым по амортизированной стоимости"</f>
        <v>Резервы (провизии) по ценным бумагам, учитываемым по амортизированной стоимости</v>
      </c>
      <c r="F60" s="1" t="str">
        <f>"1"</f>
        <v>1</v>
      </c>
      <c r="G60" s="1" t="str">
        <f>"1"</f>
        <v>1</v>
      </c>
      <c r="H60" s="1" t="str">
        <f>"1"</f>
        <v>1</v>
      </c>
      <c r="I60" s="4">
        <v>-81338369.159999996</v>
      </c>
    </row>
    <row r="61" spans="1:9" x14ac:dyDescent="0.25">
      <c r="A61" s="1">
        <v>56</v>
      </c>
      <c r="B61" s="2">
        <v>46142</v>
      </c>
      <c r="C61" s="1">
        <v>20</v>
      </c>
      <c r="D61" s="1" t="str">
        <f>"1486"</f>
        <v>1486</v>
      </c>
      <c r="E61" s="3" t="str">
        <f>"Резервы (провизии) по ценным бумагам, учитываемым по амортизированной стоимости"</f>
        <v>Резервы (провизии) по ценным бумагам, учитываемым по амортизированной стоимости</v>
      </c>
      <c r="F61" s="1" t="str">
        <f>"1"</f>
        <v>1</v>
      </c>
      <c r="G61" s="1" t="str">
        <f>"7"</f>
        <v>7</v>
      </c>
      <c r="H61" s="1" t="str">
        <f>"1"</f>
        <v>1</v>
      </c>
      <c r="I61" s="4">
        <v>-72451501.620000005</v>
      </c>
    </row>
    <row r="62" spans="1:9" x14ac:dyDescent="0.25">
      <c r="A62" s="1">
        <v>57</v>
      </c>
      <c r="B62" s="2">
        <v>46142</v>
      </c>
      <c r="C62" s="1">
        <v>20</v>
      </c>
      <c r="D62" s="1" t="str">
        <f>"1486"</f>
        <v>1486</v>
      </c>
      <c r="E62" s="3" t="str">
        <f>"Резервы (провизии) по ценным бумагам, учитываемым по амортизированной стоимости"</f>
        <v>Резервы (провизии) по ценным бумагам, учитываемым по амортизированной стоимости</v>
      </c>
      <c r="F62" s="1" t="str">
        <f>"1"</f>
        <v>1</v>
      </c>
      <c r="G62" s="1" t="str">
        <f>"4"</f>
        <v>4</v>
      </c>
      <c r="H62" s="1" t="str">
        <f>"1"</f>
        <v>1</v>
      </c>
      <c r="I62" s="4">
        <v>-48596735.979999997</v>
      </c>
    </row>
    <row r="63" spans="1:9" x14ac:dyDescent="0.25">
      <c r="A63" s="1">
        <v>58</v>
      </c>
      <c r="B63" s="2">
        <v>46142</v>
      </c>
      <c r="C63" s="1">
        <v>20</v>
      </c>
      <c r="D63" s="1" t="str">
        <f>"1486"</f>
        <v>1486</v>
      </c>
      <c r="E63" s="3" t="str">
        <f>"Резервы (провизии) по ценным бумагам, учитываемым по амортизированной стоимости"</f>
        <v>Резервы (провизии) по ценным бумагам, учитываемым по амортизированной стоимости</v>
      </c>
      <c r="F63" s="1" t="str">
        <f>"1"</f>
        <v>1</v>
      </c>
      <c r="G63" s="1" t="str">
        <f>"4"</f>
        <v>4</v>
      </c>
      <c r="H63" s="1" t="str">
        <f>"2"</f>
        <v>2</v>
      </c>
      <c r="I63" s="4">
        <v>-2225995.3199999998</v>
      </c>
    </row>
    <row r="64" spans="1:9" x14ac:dyDescent="0.25">
      <c r="A64" s="1">
        <v>59</v>
      </c>
      <c r="B64" s="2">
        <v>46142</v>
      </c>
      <c r="C64" s="1">
        <v>20</v>
      </c>
      <c r="D64" s="1" t="str">
        <f>"1486"</f>
        <v>1486</v>
      </c>
      <c r="E64" s="3" t="str">
        <f>"Резервы (провизии) по ценным бумагам, учитываемым по амортизированной стоимости"</f>
        <v>Резервы (провизии) по ценным бумагам, учитываемым по амортизированной стоимости</v>
      </c>
      <c r="F64" s="1" t="str">
        <f>"1"</f>
        <v>1</v>
      </c>
      <c r="G64" s="1" t="str">
        <f>"6"</f>
        <v>6</v>
      </c>
      <c r="H64" s="1" t="str">
        <f>"2"</f>
        <v>2</v>
      </c>
      <c r="I64" s="4">
        <v>-6461922.71</v>
      </c>
    </row>
    <row r="65" spans="1:9" x14ac:dyDescent="0.25">
      <c r="A65" s="1">
        <v>60</v>
      </c>
      <c r="B65" s="2">
        <v>46142</v>
      </c>
      <c r="C65" s="1">
        <v>20</v>
      </c>
      <c r="D65" s="1" t="str">
        <f>"1486"</f>
        <v>1486</v>
      </c>
      <c r="E65" s="3" t="str">
        <f>"Резервы (провизии) по ценным бумагам, учитываемым по амортизированной стоимости"</f>
        <v>Резервы (провизии) по ценным бумагам, учитываемым по амортизированной стоимости</v>
      </c>
      <c r="F65" s="1" t="str">
        <f>"2"</f>
        <v>2</v>
      </c>
      <c r="G65" s="1" t="str">
        <f>"3"</f>
        <v>3</v>
      </c>
      <c r="H65" s="1" t="str">
        <f>"1"</f>
        <v>1</v>
      </c>
      <c r="I65" s="4">
        <v>-1087703.68</v>
      </c>
    </row>
    <row r="66" spans="1:9" x14ac:dyDescent="0.25">
      <c r="A66" s="1">
        <v>61</v>
      </c>
      <c r="B66" s="2">
        <v>46142</v>
      </c>
      <c r="C66" s="1">
        <v>20</v>
      </c>
      <c r="D66" s="1" t="str">
        <f>"1602"</f>
        <v>1602</v>
      </c>
      <c r="E66" s="3" t="str">
        <f>"Прочие запасы"</f>
        <v>Прочие запасы</v>
      </c>
      <c r="F66" s="1" t="str">
        <f>""</f>
        <v/>
      </c>
      <c r="G66" s="1" t="str">
        <f>""</f>
        <v/>
      </c>
      <c r="H66" s="1" t="str">
        <f>""</f>
        <v/>
      </c>
      <c r="I66" s="4">
        <v>94620871.579999998</v>
      </c>
    </row>
    <row r="67" spans="1:9" x14ac:dyDescent="0.25">
      <c r="A67" s="1">
        <v>62</v>
      </c>
      <c r="B67" s="2">
        <v>46142</v>
      </c>
      <c r="C67" s="1">
        <v>20</v>
      </c>
      <c r="D67" s="1" t="str">
        <f>"1610"</f>
        <v>1610</v>
      </c>
      <c r="E67" s="3" t="str">
        <f>"Долгосрочные активы, предназначенные для продажи"</f>
        <v>Долгосрочные активы, предназначенные для продажи</v>
      </c>
      <c r="F67" s="1" t="str">
        <f>""</f>
        <v/>
      </c>
      <c r="G67" s="1" t="str">
        <f>""</f>
        <v/>
      </c>
      <c r="H67" s="1" t="str">
        <f>""</f>
        <v/>
      </c>
      <c r="I67" s="4">
        <v>186437729.74000001</v>
      </c>
    </row>
    <row r="68" spans="1:9" x14ac:dyDescent="0.25">
      <c r="A68" s="1">
        <v>63</v>
      </c>
      <c r="B68" s="2">
        <v>46142</v>
      </c>
      <c r="C68" s="1">
        <v>20</v>
      </c>
      <c r="D68" s="1" t="str">
        <f>"1651"</f>
        <v>1651</v>
      </c>
      <c r="E68" s="3" t="str">
        <f>"Строящиеся (устанавливаемые) основные средства"</f>
        <v>Строящиеся (устанавливаемые) основные средства</v>
      </c>
      <c r="F68" s="1" t="str">
        <f>""</f>
        <v/>
      </c>
      <c r="G68" s="1" t="str">
        <f>""</f>
        <v/>
      </c>
      <c r="H68" s="1" t="str">
        <f>""</f>
        <v/>
      </c>
      <c r="I68" s="4">
        <v>362320</v>
      </c>
    </row>
    <row r="69" spans="1:9" x14ac:dyDescent="0.25">
      <c r="A69" s="1">
        <v>64</v>
      </c>
      <c r="B69" s="2">
        <v>46142</v>
      </c>
      <c r="C69" s="1">
        <v>20</v>
      </c>
      <c r="D69" s="1" t="str">
        <f>"1652"</f>
        <v>1652</v>
      </c>
      <c r="E69" s="3" t="str">
        <f>"Земля, здания и сооружения"</f>
        <v>Земля, здания и сооружения</v>
      </c>
      <c r="F69" s="1" t="str">
        <f>""</f>
        <v/>
      </c>
      <c r="G69" s="1" t="str">
        <f>""</f>
        <v/>
      </c>
      <c r="H69" s="1" t="str">
        <f>""</f>
        <v/>
      </c>
      <c r="I69" s="4">
        <v>17711384736.740002</v>
      </c>
    </row>
    <row r="70" spans="1:9" x14ac:dyDescent="0.25">
      <c r="A70" s="1">
        <v>65</v>
      </c>
      <c r="B70" s="2">
        <v>46142</v>
      </c>
      <c r="C70" s="1">
        <v>20</v>
      </c>
      <c r="D70" s="1" t="str">
        <f>"1653"</f>
        <v>1653</v>
      </c>
      <c r="E70" s="3" t="str">
        <f>"Компьютерное оборудование"</f>
        <v>Компьютерное оборудование</v>
      </c>
      <c r="F70" s="1" t="str">
        <f>""</f>
        <v/>
      </c>
      <c r="G70" s="1" t="str">
        <f>""</f>
        <v/>
      </c>
      <c r="H70" s="1" t="str">
        <f>""</f>
        <v/>
      </c>
      <c r="I70" s="4">
        <v>10765440771.200001</v>
      </c>
    </row>
    <row r="71" spans="1:9" x14ac:dyDescent="0.25">
      <c r="A71" s="1">
        <v>66</v>
      </c>
      <c r="B71" s="2">
        <v>46142</v>
      </c>
      <c r="C71" s="1">
        <v>20</v>
      </c>
      <c r="D71" s="1" t="str">
        <f>"1654"</f>
        <v>1654</v>
      </c>
      <c r="E71" s="3" t="str">
        <f>"Прочие основные средства"</f>
        <v>Прочие основные средства</v>
      </c>
      <c r="F71" s="1" t="str">
        <f>""</f>
        <v/>
      </c>
      <c r="G71" s="1" t="str">
        <f>""</f>
        <v/>
      </c>
      <c r="H71" s="1" t="str">
        <f>""</f>
        <v/>
      </c>
      <c r="I71" s="4">
        <v>5835891713.3400002</v>
      </c>
    </row>
    <row r="72" spans="1:9" x14ac:dyDescent="0.25">
      <c r="A72" s="1">
        <v>67</v>
      </c>
      <c r="B72" s="2">
        <v>46142</v>
      </c>
      <c r="C72" s="1">
        <v>20</v>
      </c>
      <c r="D72" s="1" t="str">
        <f>"1655"</f>
        <v>1655</v>
      </c>
      <c r="E72" s="3" t="str">
        <f>"Активы в форме права пользования"</f>
        <v>Активы в форме права пользования</v>
      </c>
      <c r="F72" s="1" t="str">
        <f>""</f>
        <v/>
      </c>
      <c r="G72" s="1" t="str">
        <f>""</f>
        <v/>
      </c>
      <c r="H72" s="1" t="str">
        <f>""</f>
        <v/>
      </c>
      <c r="I72" s="4">
        <v>2550487927.8000002</v>
      </c>
    </row>
    <row r="73" spans="1:9" x14ac:dyDescent="0.25">
      <c r="A73" s="1">
        <v>68</v>
      </c>
      <c r="B73" s="2">
        <v>46142</v>
      </c>
      <c r="C73" s="1">
        <v>20</v>
      </c>
      <c r="D73" s="1" t="str">
        <f>"1657"</f>
        <v>1657</v>
      </c>
      <c r="E73" s="3" t="str">
        <f>"Капитальные затраты по активам в форме права пользования"</f>
        <v>Капитальные затраты по активам в форме права пользования</v>
      </c>
      <c r="F73" s="1" t="str">
        <f>""</f>
        <v/>
      </c>
      <c r="G73" s="1" t="str">
        <f>""</f>
        <v/>
      </c>
      <c r="H73" s="1" t="str">
        <f>""</f>
        <v/>
      </c>
      <c r="I73" s="4">
        <v>16410172</v>
      </c>
    </row>
    <row r="74" spans="1:9" x14ac:dyDescent="0.25">
      <c r="A74" s="1">
        <v>69</v>
      </c>
      <c r="B74" s="2">
        <v>46142</v>
      </c>
      <c r="C74" s="1">
        <v>20</v>
      </c>
      <c r="D74" s="1" t="str">
        <f>"1658"</f>
        <v>1658</v>
      </c>
      <c r="E74" s="3" t="str">
        <f>"Транспортные средства"</f>
        <v>Транспортные средства</v>
      </c>
      <c r="F74" s="1" t="str">
        <f>""</f>
        <v/>
      </c>
      <c r="G74" s="1" t="str">
        <f>""</f>
        <v/>
      </c>
      <c r="H74" s="1" t="str">
        <f>""</f>
        <v/>
      </c>
      <c r="I74" s="4">
        <v>331005299.60000002</v>
      </c>
    </row>
    <row r="75" spans="1:9" x14ac:dyDescent="0.25">
      <c r="A75" s="1">
        <v>70</v>
      </c>
      <c r="B75" s="2">
        <v>46142</v>
      </c>
      <c r="C75" s="1">
        <v>20</v>
      </c>
      <c r="D75" s="1" t="str">
        <f>"1659"</f>
        <v>1659</v>
      </c>
      <c r="E75" s="3" t="str">
        <f>"Нематериальные активы"</f>
        <v>Нематериальные активы</v>
      </c>
      <c r="F75" s="1" t="str">
        <f>""</f>
        <v/>
      </c>
      <c r="G75" s="1" t="str">
        <f>""</f>
        <v/>
      </c>
      <c r="H75" s="1" t="str">
        <f>""</f>
        <v/>
      </c>
      <c r="I75" s="4">
        <v>18255438828.060001</v>
      </c>
    </row>
    <row r="76" spans="1:9" x14ac:dyDescent="0.25">
      <c r="A76" s="1">
        <v>71</v>
      </c>
      <c r="B76" s="2">
        <v>46142</v>
      </c>
      <c r="C76" s="1">
        <v>20</v>
      </c>
      <c r="D76" s="1" t="str">
        <f>"1660"</f>
        <v>1660</v>
      </c>
      <c r="E76" s="3" t="str">
        <f>"Создаваемые (разрабатываемые) нематериальные активы"</f>
        <v>Создаваемые (разрабатываемые) нематериальные активы</v>
      </c>
      <c r="F76" s="1" t="str">
        <f>""</f>
        <v/>
      </c>
      <c r="G76" s="1" t="str">
        <f>""</f>
        <v/>
      </c>
      <c r="H76" s="1" t="str">
        <f>""</f>
        <v/>
      </c>
      <c r="I76" s="4">
        <v>102226713.11</v>
      </c>
    </row>
    <row r="77" spans="1:9" x14ac:dyDescent="0.25">
      <c r="A77" s="1">
        <v>72</v>
      </c>
      <c r="B77" s="2">
        <v>46142</v>
      </c>
      <c r="C77" s="1">
        <v>20</v>
      </c>
      <c r="D77" s="1" t="str">
        <f>"1692"</f>
        <v>1692</v>
      </c>
      <c r="E77" s="3" t="str">
        <f>"Начисленная амортизация по зданиям и сооружениям"</f>
        <v>Начисленная амортизация по зданиям и сооружениям</v>
      </c>
      <c r="F77" s="1" t="str">
        <f>""</f>
        <v/>
      </c>
      <c r="G77" s="1" t="str">
        <f>""</f>
        <v/>
      </c>
      <c r="H77" s="1" t="str">
        <f>""</f>
        <v/>
      </c>
      <c r="I77" s="4">
        <v>-787543682.71000004</v>
      </c>
    </row>
    <row r="78" spans="1:9" x14ac:dyDescent="0.25">
      <c r="A78" s="1">
        <v>73</v>
      </c>
      <c r="B78" s="2">
        <v>46142</v>
      </c>
      <c r="C78" s="1">
        <v>20</v>
      </c>
      <c r="D78" s="1" t="str">
        <f>"1693"</f>
        <v>1693</v>
      </c>
      <c r="E78" s="3" t="str">
        <f>"Начисленная амортизация по компьютерному оборудованию"</f>
        <v>Начисленная амортизация по компьютерному оборудованию</v>
      </c>
      <c r="F78" s="1" t="str">
        <f>""</f>
        <v/>
      </c>
      <c r="G78" s="1" t="str">
        <f>""</f>
        <v/>
      </c>
      <c r="H78" s="1" t="str">
        <f>""</f>
        <v/>
      </c>
      <c r="I78" s="4">
        <v>-6059226525.6499996</v>
      </c>
    </row>
    <row r="79" spans="1:9" x14ac:dyDescent="0.25">
      <c r="A79" s="1">
        <v>74</v>
      </c>
      <c r="B79" s="2">
        <v>46142</v>
      </c>
      <c r="C79" s="1">
        <v>20</v>
      </c>
      <c r="D79" s="1" t="str">
        <f>"1694"</f>
        <v>1694</v>
      </c>
      <c r="E79" s="3" t="str">
        <f>"Начисленная амортизация по прочим основным средствам"</f>
        <v>Начисленная амортизация по прочим основным средствам</v>
      </c>
      <c r="F79" s="1" t="str">
        <f>""</f>
        <v/>
      </c>
      <c r="G79" s="1" t="str">
        <f>""</f>
        <v/>
      </c>
      <c r="H79" s="1" t="str">
        <f>""</f>
        <v/>
      </c>
      <c r="I79" s="4">
        <v>-3919035215.9899998</v>
      </c>
    </row>
    <row r="80" spans="1:9" x14ac:dyDescent="0.25">
      <c r="A80" s="1">
        <v>75</v>
      </c>
      <c r="B80" s="2">
        <v>46142</v>
      </c>
      <c r="C80" s="1">
        <v>20</v>
      </c>
      <c r="D80" s="1" t="str">
        <f>"1695"</f>
        <v>1695</v>
      </c>
      <c r="E80" s="3" t="str">
        <f>"Начисленная амортизация по активам в форме права пользования"</f>
        <v>Начисленная амортизация по активам в форме права пользования</v>
      </c>
      <c r="F80" s="1" t="str">
        <f>""</f>
        <v/>
      </c>
      <c r="G80" s="1" t="str">
        <f>""</f>
        <v/>
      </c>
      <c r="H80" s="1" t="str">
        <f>""</f>
        <v/>
      </c>
      <c r="I80" s="4">
        <v>-1215330743.53</v>
      </c>
    </row>
    <row r="81" spans="1:9" x14ac:dyDescent="0.25">
      <c r="A81" s="1">
        <v>76</v>
      </c>
      <c r="B81" s="2">
        <v>46142</v>
      </c>
      <c r="C81" s="1">
        <v>20</v>
      </c>
      <c r="D81" s="1" t="str">
        <f>"1697"</f>
        <v>1697</v>
      </c>
      <c r="E81" s="3" t="str">
        <f>"Начисленная амортизация по капитальным затратам по активам в форме права пользования"</f>
        <v>Начисленная амортизация по капитальным затратам по активам в форме права пользования</v>
      </c>
      <c r="F81" s="1" t="str">
        <f>""</f>
        <v/>
      </c>
      <c r="G81" s="1" t="str">
        <f>""</f>
        <v/>
      </c>
      <c r="H81" s="1" t="str">
        <f>""</f>
        <v/>
      </c>
      <c r="I81" s="4">
        <v>-8083540.0499999998</v>
      </c>
    </row>
    <row r="82" spans="1:9" x14ac:dyDescent="0.25">
      <c r="A82" s="1">
        <v>77</v>
      </c>
      <c r="B82" s="2">
        <v>46142</v>
      </c>
      <c r="C82" s="1">
        <v>20</v>
      </c>
      <c r="D82" s="1" t="str">
        <f>"1698"</f>
        <v>1698</v>
      </c>
      <c r="E82" s="3" t="str">
        <f>"Начисленная амортизация по транспортным средствам"</f>
        <v>Начисленная амортизация по транспортным средствам</v>
      </c>
      <c r="F82" s="1" t="str">
        <f>""</f>
        <v/>
      </c>
      <c r="G82" s="1" t="str">
        <f>""</f>
        <v/>
      </c>
      <c r="H82" s="1" t="str">
        <f>""</f>
        <v/>
      </c>
      <c r="I82" s="4">
        <v>-292788099.51999998</v>
      </c>
    </row>
    <row r="83" spans="1:9" x14ac:dyDescent="0.25">
      <c r="A83" s="1">
        <v>78</v>
      </c>
      <c r="B83" s="2">
        <v>46142</v>
      </c>
      <c r="C83" s="1">
        <v>20</v>
      </c>
      <c r="D83" s="1" t="str">
        <f>"1699"</f>
        <v>1699</v>
      </c>
      <c r="E83" s="3" t="str">
        <f>"Начисленная амортизация по нематериальным активам"</f>
        <v>Начисленная амортизация по нематериальным активам</v>
      </c>
      <c r="F83" s="1" t="str">
        <f>""</f>
        <v/>
      </c>
      <c r="G83" s="1" t="str">
        <f>""</f>
        <v/>
      </c>
      <c r="H83" s="1" t="str">
        <f>""</f>
        <v/>
      </c>
      <c r="I83" s="4">
        <v>-10725180899.459999</v>
      </c>
    </row>
    <row r="84" spans="1:9" x14ac:dyDescent="0.25">
      <c r="A84" s="1">
        <v>79</v>
      </c>
      <c r="B84" s="2">
        <v>46142</v>
      </c>
      <c r="C84" s="1">
        <v>20</v>
      </c>
      <c r="D84" s="1" t="str">
        <f>"1710"</f>
        <v>1710</v>
      </c>
      <c r="E84" s="3" t="str">
        <f>"Начисленные доходы по вкладам, размещенным в Национальном Банке Республики Казахстан"</f>
        <v>Начисленные доходы по вкладам, размещенным в Национальном Банке Республики Казахстан</v>
      </c>
      <c r="F84" s="1" t="str">
        <f>"1"</f>
        <v>1</v>
      </c>
      <c r="G84" s="1" t="str">
        <f>"3"</f>
        <v>3</v>
      </c>
      <c r="H84" s="1" t="str">
        <f>"1"</f>
        <v>1</v>
      </c>
      <c r="I84" s="4">
        <v>478500000</v>
      </c>
    </row>
    <row r="85" spans="1:9" x14ac:dyDescent="0.25">
      <c r="A85" s="1">
        <v>80</v>
      </c>
      <c r="B85" s="2">
        <v>46142</v>
      </c>
      <c r="C85" s="1">
        <v>20</v>
      </c>
      <c r="D85" s="1" t="str">
        <f>"1725"</f>
        <v>1725</v>
      </c>
      <c r="E85" s="3" t="str">
        <f>"Начисленные доходы по вкладам, размещенным в других банках"</f>
        <v>Начисленные доходы по вкладам, размещенным в других банках</v>
      </c>
      <c r="F85" s="1" t="str">
        <f>"1"</f>
        <v>1</v>
      </c>
      <c r="G85" s="1" t="str">
        <f>"4"</f>
        <v>4</v>
      </c>
      <c r="H85" s="1" t="str">
        <f>"1"</f>
        <v>1</v>
      </c>
      <c r="I85" s="4">
        <v>36111111.109999999</v>
      </c>
    </row>
    <row r="86" spans="1:9" x14ac:dyDescent="0.25">
      <c r="A86" s="1">
        <v>81</v>
      </c>
      <c r="B86" s="2">
        <v>46142</v>
      </c>
      <c r="C86" s="1">
        <v>20</v>
      </c>
      <c r="D86" s="1" t="str">
        <f>"1740"</f>
        <v>1740</v>
      </c>
      <c r="E86" s="3" t="str">
        <f>"Начисленные доходы по займам и финансовому лизингу, предоставленным клиентам"</f>
        <v>Начисленные доходы по займам и финансовому лизингу, предоставленным клиентам</v>
      </c>
      <c r="F86" s="1" t="str">
        <f>"2"</f>
        <v>2</v>
      </c>
      <c r="G86" s="1" t="str">
        <f>"9"</f>
        <v>9</v>
      </c>
      <c r="H86" s="1" t="str">
        <f>"1"</f>
        <v>1</v>
      </c>
      <c r="I86" s="4">
        <v>136215.22</v>
      </c>
    </row>
    <row r="87" spans="1:9" x14ac:dyDescent="0.25">
      <c r="A87" s="1">
        <v>82</v>
      </c>
      <c r="B87" s="2">
        <v>46142</v>
      </c>
      <c r="C87" s="1">
        <v>20</v>
      </c>
      <c r="D87" s="1" t="str">
        <f>"1740"</f>
        <v>1740</v>
      </c>
      <c r="E87" s="3" t="str">
        <f>"Начисленные доходы по займам и финансовому лизингу, предоставленным клиентам"</f>
        <v>Начисленные доходы по займам и финансовому лизингу, предоставленным клиентам</v>
      </c>
      <c r="F87" s="1" t="str">
        <f>"1"</f>
        <v>1</v>
      </c>
      <c r="G87" s="1" t="str">
        <f>"9"</f>
        <v>9</v>
      </c>
      <c r="H87" s="1" t="str">
        <f>"1"</f>
        <v>1</v>
      </c>
      <c r="I87" s="4">
        <v>10765449951.940001</v>
      </c>
    </row>
    <row r="88" spans="1:9" x14ac:dyDescent="0.25">
      <c r="A88" s="1">
        <v>83</v>
      </c>
      <c r="B88" s="2">
        <v>46142</v>
      </c>
      <c r="C88" s="1">
        <v>20</v>
      </c>
      <c r="D88" s="1" t="str">
        <f>"1741"</f>
        <v>1741</v>
      </c>
      <c r="E88" s="3" t="str">
        <f>"Просроченное вознаграждение по займам и финансовому лизингу, предоставленным клиентам"</f>
        <v>Просроченное вознаграждение по займам и финансовому лизингу, предоставленным клиентам</v>
      </c>
      <c r="F88" s="1" t="str">
        <f>"2"</f>
        <v>2</v>
      </c>
      <c r="G88" s="1" t="str">
        <f>"9"</f>
        <v>9</v>
      </c>
      <c r="H88" s="1" t="str">
        <f>"1"</f>
        <v>1</v>
      </c>
      <c r="I88" s="4">
        <v>14574.88</v>
      </c>
    </row>
    <row r="89" spans="1:9" x14ac:dyDescent="0.25">
      <c r="A89" s="1">
        <v>84</v>
      </c>
      <c r="B89" s="2">
        <v>46142</v>
      </c>
      <c r="C89" s="1">
        <v>20</v>
      </c>
      <c r="D89" s="1" t="str">
        <f>"1741"</f>
        <v>1741</v>
      </c>
      <c r="E89" s="3" t="str">
        <f>"Просроченное вознаграждение по займам и финансовому лизингу, предоставленным клиентам"</f>
        <v>Просроченное вознаграждение по займам и финансовому лизингу, предоставленным клиентам</v>
      </c>
      <c r="F89" s="1" t="str">
        <f>"1"</f>
        <v>1</v>
      </c>
      <c r="G89" s="1" t="str">
        <f>"9"</f>
        <v>9</v>
      </c>
      <c r="H89" s="1" t="str">
        <f>"1"</f>
        <v>1</v>
      </c>
      <c r="I89" s="4">
        <v>482804209.23000002</v>
      </c>
    </row>
    <row r="90" spans="1:9" x14ac:dyDescent="0.25">
      <c r="A90" s="1">
        <v>85</v>
      </c>
      <c r="B90" s="2">
        <v>46142</v>
      </c>
      <c r="C90" s="1">
        <v>20</v>
      </c>
      <c r="D90" s="1" t="str">
        <f>"1745"</f>
        <v>1745</v>
      </c>
      <c r="E90" s="3" t="str">
        <f>"Начисленные доходы по ценным бумагам, учитываемым по амортизированной стоимости"</f>
        <v>Начисленные доходы по ценным бумагам, учитываемым по амортизированной стоимости</v>
      </c>
      <c r="F90" s="1" t="str">
        <f>"1"</f>
        <v>1</v>
      </c>
      <c r="G90" s="1" t="str">
        <f>"5"</f>
        <v>5</v>
      </c>
      <c r="H90" s="1" t="str">
        <f>"1"</f>
        <v>1</v>
      </c>
      <c r="I90" s="4">
        <v>9911552775.5</v>
      </c>
    </row>
    <row r="91" spans="1:9" x14ac:dyDescent="0.25">
      <c r="A91" s="1">
        <v>86</v>
      </c>
      <c r="B91" s="2">
        <v>46142</v>
      </c>
      <c r="C91" s="1">
        <v>20</v>
      </c>
      <c r="D91" s="1" t="str">
        <f>"1745"</f>
        <v>1745</v>
      </c>
      <c r="E91" s="3" t="str">
        <f>"Начисленные доходы по ценным бумагам, учитываемым по амортизированной стоимости"</f>
        <v>Начисленные доходы по ценным бумагам, учитываемым по амортизированной стоимости</v>
      </c>
      <c r="F91" s="1" t="str">
        <f>"1"</f>
        <v>1</v>
      </c>
      <c r="G91" s="1" t="str">
        <f>"6"</f>
        <v>6</v>
      </c>
      <c r="H91" s="1" t="str">
        <f>"2"</f>
        <v>2</v>
      </c>
      <c r="I91" s="4">
        <v>19073822.329999998</v>
      </c>
    </row>
    <row r="92" spans="1:9" x14ac:dyDescent="0.25">
      <c r="A92" s="1">
        <v>87</v>
      </c>
      <c r="B92" s="2">
        <v>46142</v>
      </c>
      <c r="C92" s="1">
        <v>20</v>
      </c>
      <c r="D92" s="1" t="str">
        <f>"1745"</f>
        <v>1745</v>
      </c>
      <c r="E92" s="3" t="str">
        <f>"Начисленные доходы по ценным бумагам, учитываемым по амортизированной стоимости"</f>
        <v>Начисленные доходы по ценным бумагам, учитываемым по амортизированной стоимости</v>
      </c>
      <c r="F92" s="1" t="str">
        <f>"1"</f>
        <v>1</v>
      </c>
      <c r="G92" s="1" t="str">
        <f>"6"</f>
        <v>6</v>
      </c>
      <c r="H92" s="1" t="str">
        <f>"1"</f>
        <v>1</v>
      </c>
      <c r="I92" s="4">
        <v>1061997716.89</v>
      </c>
    </row>
    <row r="93" spans="1:9" x14ac:dyDescent="0.25">
      <c r="A93" s="1">
        <v>88</v>
      </c>
      <c r="B93" s="2">
        <v>46142</v>
      </c>
      <c r="C93" s="1">
        <v>20</v>
      </c>
      <c r="D93" s="1" t="str">
        <f>"1745"</f>
        <v>1745</v>
      </c>
      <c r="E93" s="3" t="str">
        <f>"Начисленные доходы по ценным бумагам, учитываемым по амортизированной стоимости"</f>
        <v>Начисленные доходы по ценным бумагам, учитываемым по амортизированной стоимости</v>
      </c>
      <c r="F93" s="1" t="str">
        <f>"1"</f>
        <v>1</v>
      </c>
      <c r="G93" s="1" t="str">
        <f>"4"</f>
        <v>4</v>
      </c>
      <c r="H93" s="1" t="str">
        <f>"1"</f>
        <v>1</v>
      </c>
      <c r="I93" s="4">
        <v>1027712156.22</v>
      </c>
    </row>
    <row r="94" spans="1:9" x14ac:dyDescent="0.25">
      <c r="A94" s="1">
        <v>89</v>
      </c>
      <c r="B94" s="2">
        <v>46142</v>
      </c>
      <c r="C94" s="1">
        <v>20</v>
      </c>
      <c r="D94" s="1" t="str">
        <f>"1745"</f>
        <v>1745</v>
      </c>
      <c r="E94" s="3" t="str">
        <f>"Начисленные доходы по ценным бумагам, учитываемым по амортизированной стоимости"</f>
        <v>Начисленные доходы по ценным бумагам, учитываемым по амортизированной стоимости</v>
      </c>
      <c r="F94" s="1" t="str">
        <f>"1"</f>
        <v>1</v>
      </c>
      <c r="G94" s="1" t="str">
        <f>"4"</f>
        <v>4</v>
      </c>
      <c r="H94" s="1" t="str">
        <f>"2"</f>
        <v>2</v>
      </c>
      <c r="I94" s="4">
        <v>10646930</v>
      </c>
    </row>
    <row r="95" spans="1:9" x14ac:dyDescent="0.25">
      <c r="A95" s="1">
        <v>90</v>
      </c>
      <c r="B95" s="2">
        <v>46142</v>
      </c>
      <c r="C95" s="1">
        <v>20</v>
      </c>
      <c r="D95" s="1" t="str">
        <f>"1745"</f>
        <v>1745</v>
      </c>
      <c r="E95" s="3" t="str">
        <f>"Начисленные доходы по ценным бумагам, учитываемым по амортизированной стоимости"</f>
        <v>Начисленные доходы по ценным бумагам, учитываемым по амортизированной стоимости</v>
      </c>
      <c r="F95" s="1" t="str">
        <f>"1"</f>
        <v>1</v>
      </c>
      <c r="G95" s="1" t="str">
        <f>"7"</f>
        <v>7</v>
      </c>
      <c r="H95" s="1" t="str">
        <f>"1"</f>
        <v>1</v>
      </c>
      <c r="I95" s="4">
        <v>258361111.11000001</v>
      </c>
    </row>
    <row r="96" spans="1:9" x14ac:dyDescent="0.25">
      <c r="A96" s="1">
        <v>91</v>
      </c>
      <c r="B96" s="2">
        <v>46142</v>
      </c>
      <c r="C96" s="1">
        <v>20</v>
      </c>
      <c r="D96" s="1" t="str">
        <f>"1745"</f>
        <v>1745</v>
      </c>
      <c r="E96" s="3" t="str">
        <f>"Начисленные доходы по ценным бумагам, учитываемым по амортизированной стоимости"</f>
        <v>Начисленные доходы по ценным бумагам, учитываемым по амортизированной стоимости</v>
      </c>
      <c r="F96" s="1" t="str">
        <f>"2"</f>
        <v>2</v>
      </c>
      <c r="G96" s="1" t="str">
        <f>"3"</f>
        <v>3</v>
      </c>
      <c r="H96" s="1" t="str">
        <f>"1"</f>
        <v>1</v>
      </c>
      <c r="I96" s="4">
        <v>99118087.359999999</v>
      </c>
    </row>
    <row r="97" spans="1:9" x14ac:dyDescent="0.25">
      <c r="A97" s="1">
        <v>92</v>
      </c>
      <c r="B97" s="2">
        <v>46142</v>
      </c>
      <c r="C97" s="1">
        <v>20</v>
      </c>
      <c r="D97" s="1" t="str">
        <f>"1745"</f>
        <v>1745</v>
      </c>
      <c r="E97" s="3" t="str">
        <f>"Начисленные доходы по ценным бумагам, учитываемым по амортизированной стоимости"</f>
        <v>Начисленные доходы по ценным бумагам, учитываемым по амортизированной стоимости</v>
      </c>
      <c r="F97" s="1" t="str">
        <f>"1"</f>
        <v>1</v>
      </c>
      <c r="G97" s="1" t="str">
        <f>"1"</f>
        <v>1</v>
      </c>
      <c r="H97" s="1" t="str">
        <f>"1"</f>
        <v>1</v>
      </c>
      <c r="I97" s="4">
        <v>4712009766.6599998</v>
      </c>
    </row>
    <row r="98" spans="1:9" x14ac:dyDescent="0.25">
      <c r="A98" s="1">
        <v>93</v>
      </c>
      <c r="B98" s="2">
        <v>46142</v>
      </c>
      <c r="C98" s="1">
        <v>20</v>
      </c>
      <c r="D98" s="1" t="str">
        <f>"1746"</f>
        <v>1746</v>
      </c>
      <c r="E98" s="3" t="str">
        <f>"Начисленные доходы по ценным бумагам, учитываемым по справедливой стоимости через прочий совокупный доход"</f>
        <v>Начисленные доходы по ценным бумагам, учитываемым по справедливой стоимости через прочий совокупный доход</v>
      </c>
      <c r="F98" s="1" t="str">
        <f>"1"</f>
        <v>1</v>
      </c>
      <c r="G98" s="1" t="str">
        <f>"5"</f>
        <v>5</v>
      </c>
      <c r="H98" s="1" t="str">
        <f>"1"</f>
        <v>1</v>
      </c>
      <c r="I98" s="4">
        <v>115694444.44</v>
      </c>
    </row>
    <row r="99" spans="1:9" x14ac:dyDescent="0.25">
      <c r="A99" s="1">
        <v>94</v>
      </c>
      <c r="B99" s="2">
        <v>46142</v>
      </c>
      <c r="C99" s="1">
        <v>20</v>
      </c>
      <c r="D99" s="1" t="str">
        <f>"1746"</f>
        <v>1746</v>
      </c>
      <c r="E99" s="3" t="str">
        <f>"Начисленные доходы по ценным бумагам, учитываемым по справедливой стоимости через прочий совокупный доход"</f>
        <v>Начисленные доходы по ценным бумагам, учитываемым по справедливой стоимости через прочий совокупный доход</v>
      </c>
      <c r="F99" s="1" t="str">
        <f>"1"</f>
        <v>1</v>
      </c>
      <c r="G99" s="1" t="str">
        <f>"6"</f>
        <v>6</v>
      </c>
      <c r="H99" s="1" t="str">
        <f>"1"</f>
        <v>1</v>
      </c>
      <c r="I99" s="4">
        <v>258875000</v>
      </c>
    </row>
    <row r="100" spans="1:9" x14ac:dyDescent="0.25">
      <c r="A100" s="1">
        <v>95</v>
      </c>
      <c r="B100" s="2">
        <v>46142</v>
      </c>
      <c r="C100" s="1">
        <v>20</v>
      </c>
      <c r="D100" s="1" t="str">
        <f>"1746"</f>
        <v>1746</v>
      </c>
      <c r="E100" s="3" t="str">
        <f>"Начисленные доходы по ценным бумагам, учитываемым по справедливой стоимости через прочий совокупный доход"</f>
        <v>Начисленные доходы по ценным бумагам, учитываемым по справедливой стоимости через прочий совокупный доход</v>
      </c>
      <c r="F100" s="1" t="str">
        <f>"1"</f>
        <v>1</v>
      </c>
      <c r="G100" s="1" t="str">
        <f>"1"</f>
        <v>1</v>
      </c>
      <c r="H100" s="1" t="str">
        <f>"1"</f>
        <v>1</v>
      </c>
      <c r="I100" s="4">
        <v>571856376.67999995</v>
      </c>
    </row>
    <row r="101" spans="1:9" x14ac:dyDescent="0.25">
      <c r="A101" s="1">
        <v>96</v>
      </c>
      <c r="B101" s="2">
        <v>46142</v>
      </c>
      <c r="C101" s="1">
        <v>20</v>
      </c>
      <c r="D101" s="1" t="str">
        <f>"1746"</f>
        <v>1746</v>
      </c>
      <c r="E101" s="3" t="str">
        <f>"Начисленные доходы по ценным бумагам, учитываемым по справедливой стоимости через прочий совокупный доход"</f>
        <v>Начисленные доходы по ценным бумагам, учитываемым по справедливой стоимости через прочий совокупный доход</v>
      </c>
      <c r="F101" s="1" t="str">
        <f>"1"</f>
        <v>1</v>
      </c>
      <c r="G101" s="1" t="str">
        <f>"4"</f>
        <v>4</v>
      </c>
      <c r="H101" s="1" t="str">
        <f>"1"</f>
        <v>1</v>
      </c>
      <c r="I101" s="4">
        <v>169125000</v>
      </c>
    </row>
    <row r="102" spans="1:9" x14ac:dyDescent="0.25">
      <c r="A102" s="1">
        <v>97</v>
      </c>
      <c r="B102" s="2">
        <v>46142</v>
      </c>
      <c r="C102" s="1">
        <v>20</v>
      </c>
      <c r="D102" s="1" t="str">
        <f>"1793"</f>
        <v>1793</v>
      </c>
      <c r="E102" s="3" t="str">
        <f>"Расходы будущих периодов"</f>
        <v>Расходы будущих периодов</v>
      </c>
      <c r="F102" s="1" t="str">
        <f>"1"</f>
        <v>1</v>
      </c>
      <c r="G102" s="1" t="str">
        <f>"5"</f>
        <v>5</v>
      </c>
      <c r="H102" s="1" t="str">
        <f>"1"</f>
        <v>1</v>
      </c>
      <c r="I102" s="4">
        <v>442510906.06999999</v>
      </c>
    </row>
    <row r="103" spans="1:9" x14ac:dyDescent="0.25">
      <c r="A103" s="1">
        <v>98</v>
      </c>
      <c r="B103" s="2">
        <v>46142</v>
      </c>
      <c r="C103" s="1">
        <v>20</v>
      </c>
      <c r="D103" s="1" t="str">
        <f>"1793"</f>
        <v>1793</v>
      </c>
      <c r="E103" s="3" t="str">
        <f>"Расходы будущих периодов"</f>
        <v>Расходы будущих периодов</v>
      </c>
      <c r="F103" s="1" t="str">
        <f>"1"</f>
        <v>1</v>
      </c>
      <c r="G103" s="1" t="str">
        <f>"7"</f>
        <v>7</v>
      </c>
      <c r="H103" s="1" t="str">
        <f>"1"</f>
        <v>1</v>
      </c>
      <c r="I103" s="4">
        <v>1173700770.54</v>
      </c>
    </row>
    <row r="104" spans="1:9" x14ac:dyDescent="0.25">
      <c r="A104" s="1">
        <v>99</v>
      </c>
      <c r="B104" s="2">
        <v>46142</v>
      </c>
      <c r="C104" s="1">
        <v>20</v>
      </c>
      <c r="D104" s="1" t="str">
        <f>"1793"</f>
        <v>1793</v>
      </c>
      <c r="E104" s="3" t="str">
        <f>"Расходы будущих периодов"</f>
        <v>Расходы будущих периодов</v>
      </c>
      <c r="F104" s="1" t="str">
        <f>"1"</f>
        <v>1</v>
      </c>
      <c r="G104" s="1" t="str">
        <f>"8"</f>
        <v>8</v>
      </c>
      <c r="H104" s="1" t="str">
        <f>"1"</f>
        <v>1</v>
      </c>
      <c r="I104" s="4">
        <v>8890000</v>
      </c>
    </row>
    <row r="105" spans="1:9" x14ac:dyDescent="0.25">
      <c r="A105" s="1">
        <v>100</v>
      </c>
      <c r="B105" s="2">
        <v>46142</v>
      </c>
      <c r="C105" s="1">
        <v>20</v>
      </c>
      <c r="D105" s="1" t="str">
        <f>"1793"</f>
        <v>1793</v>
      </c>
      <c r="E105" s="3" t="str">
        <f>"Расходы будущих периодов"</f>
        <v>Расходы будущих периодов</v>
      </c>
      <c r="F105" s="1" t="str">
        <f>"1"</f>
        <v>1</v>
      </c>
      <c r="G105" s="1" t="str">
        <f>"6"</f>
        <v>6</v>
      </c>
      <c r="H105" s="1" t="str">
        <f>"1"</f>
        <v>1</v>
      </c>
      <c r="I105" s="4">
        <v>176229.81</v>
      </c>
    </row>
    <row r="106" spans="1:9" x14ac:dyDescent="0.25">
      <c r="A106" s="1">
        <v>101</v>
      </c>
      <c r="B106" s="2">
        <v>46142</v>
      </c>
      <c r="C106" s="1">
        <v>20</v>
      </c>
      <c r="D106" s="1" t="str">
        <f>"1793"</f>
        <v>1793</v>
      </c>
      <c r="E106" s="3" t="str">
        <f>"Расходы будущих периодов"</f>
        <v>Расходы будущих периодов</v>
      </c>
      <c r="F106" s="1" t="str">
        <f>"1"</f>
        <v>1</v>
      </c>
      <c r="G106" s="1" t="str">
        <f>"9"</f>
        <v>9</v>
      </c>
      <c r="H106" s="1" t="str">
        <f>"1"</f>
        <v>1</v>
      </c>
      <c r="I106" s="4">
        <v>63544294.390000001</v>
      </c>
    </row>
    <row r="107" spans="1:9" x14ac:dyDescent="0.25">
      <c r="A107" s="1">
        <v>102</v>
      </c>
      <c r="B107" s="2">
        <v>46142</v>
      </c>
      <c r="C107" s="1">
        <v>20</v>
      </c>
      <c r="D107" s="1" t="str">
        <f>"1793"</f>
        <v>1793</v>
      </c>
      <c r="E107" s="3" t="str">
        <f>"Расходы будущих периодов"</f>
        <v>Расходы будущих периодов</v>
      </c>
      <c r="F107" s="1" t="str">
        <f>"2"</f>
        <v>2</v>
      </c>
      <c r="G107" s="1" t="str">
        <f>"5"</f>
        <v>5</v>
      </c>
      <c r="H107" s="1" t="str">
        <f>"1"</f>
        <v>1</v>
      </c>
      <c r="I107" s="4">
        <v>8225721</v>
      </c>
    </row>
    <row r="108" spans="1:9" x14ac:dyDescent="0.25">
      <c r="A108" s="1">
        <v>103</v>
      </c>
      <c r="B108" s="2">
        <v>46142</v>
      </c>
      <c r="C108" s="1">
        <v>20</v>
      </c>
      <c r="D108" s="1" t="str">
        <f>"1793"</f>
        <v>1793</v>
      </c>
      <c r="E108" s="3" t="str">
        <f>"Расходы будущих периодов"</f>
        <v>Расходы будущих периодов</v>
      </c>
      <c r="F108" s="1" t="str">
        <f>"2"</f>
        <v>2</v>
      </c>
      <c r="G108" s="1" t="str">
        <f>"7"</f>
        <v>7</v>
      </c>
      <c r="H108" s="1" t="str">
        <f>"1"</f>
        <v>1</v>
      </c>
      <c r="I108" s="4">
        <v>480202.8</v>
      </c>
    </row>
    <row r="109" spans="1:9" x14ac:dyDescent="0.25">
      <c r="A109" s="1">
        <v>104</v>
      </c>
      <c r="B109" s="2">
        <v>46142</v>
      </c>
      <c r="C109" s="1">
        <v>20</v>
      </c>
      <c r="D109" s="1" t="str">
        <f>"1799"</f>
        <v>1799</v>
      </c>
      <c r="E109" s="3" t="str">
        <f>"Прочие предоплаты"</f>
        <v>Прочие предоплаты</v>
      </c>
      <c r="F109" s="1" t="str">
        <f>"1"</f>
        <v>1</v>
      </c>
      <c r="G109" s="1" t="str">
        <f>"7"</f>
        <v>7</v>
      </c>
      <c r="H109" s="1" t="str">
        <f>"1"</f>
        <v>1</v>
      </c>
      <c r="I109" s="4">
        <v>4260930.79</v>
      </c>
    </row>
    <row r="110" spans="1:9" x14ac:dyDescent="0.25">
      <c r="A110" s="1">
        <v>105</v>
      </c>
      <c r="B110" s="2">
        <v>46142</v>
      </c>
      <c r="C110" s="1">
        <v>20</v>
      </c>
      <c r="D110" s="1" t="str">
        <f>"1812"</f>
        <v>1812</v>
      </c>
      <c r="E110" s="3" t="str">
        <f>"Начисленные комиссионные доходы за агентские услуги"</f>
        <v>Начисленные комиссионные доходы за агентские услуги</v>
      </c>
      <c r="F110" s="1" t="str">
        <f>"1"</f>
        <v>1</v>
      </c>
      <c r="G110" s="1" t="str">
        <f>""</f>
        <v/>
      </c>
      <c r="H110" s="1" t="str">
        <f>"1"</f>
        <v>1</v>
      </c>
      <c r="I110" s="4">
        <v>376896704.57999998</v>
      </c>
    </row>
    <row r="111" spans="1:9" x14ac:dyDescent="0.25">
      <c r="A111" s="1">
        <v>106</v>
      </c>
      <c r="B111" s="2">
        <v>46142</v>
      </c>
      <c r="C111" s="1">
        <v>20</v>
      </c>
      <c r="D111" s="1" t="str">
        <f>"1815"</f>
        <v>1815</v>
      </c>
      <c r="E111" s="3" t="str">
        <f>"Начисленные комиссионные доходы за услуги по доверительным операциям"</f>
        <v>Начисленные комиссионные доходы за услуги по доверительным операциям</v>
      </c>
      <c r="F111" s="1" t="str">
        <f>"1"</f>
        <v>1</v>
      </c>
      <c r="G111" s="1" t="str">
        <f>""</f>
        <v/>
      </c>
      <c r="H111" s="1" t="str">
        <f>"1"</f>
        <v>1</v>
      </c>
      <c r="I111" s="4">
        <v>468032761.83999997</v>
      </c>
    </row>
    <row r="112" spans="1:9" x14ac:dyDescent="0.25">
      <c r="A112" s="1">
        <v>107</v>
      </c>
      <c r="B112" s="2">
        <v>46142</v>
      </c>
      <c r="C112" s="1">
        <v>20</v>
      </c>
      <c r="D112" s="1" t="str">
        <f>"1835"</f>
        <v>1835</v>
      </c>
      <c r="E112" s="3" t="str">
        <f>"Просроченные комиссионные доходы за услуги по доверительным операциям"</f>
        <v>Просроченные комиссионные доходы за услуги по доверительным операциям</v>
      </c>
      <c r="F112" s="1" t="str">
        <f>"1"</f>
        <v>1</v>
      </c>
      <c r="G112" s="1" t="str">
        <f>""</f>
        <v/>
      </c>
      <c r="H112" s="1" t="str">
        <f>"1"</f>
        <v>1</v>
      </c>
      <c r="I112" s="4">
        <v>167212212.69999999</v>
      </c>
    </row>
    <row r="113" spans="1:9" x14ac:dyDescent="0.25">
      <c r="A113" s="1">
        <v>108</v>
      </c>
      <c r="B113" s="2">
        <v>46142</v>
      </c>
      <c r="C113" s="1">
        <v>20</v>
      </c>
      <c r="D113" s="1" t="str">
        <f>"1845"</f>
        <v>1845</v>
      </c>
      <c r="E113" s="3" t="str">
        <f>"Резервы (провизии) по начисленным и просроченным комиссионным доходам"</f>
        <v>Резервы (провизии) по начисленным и просроченным комиссионным доходам</v>
      </c>
      <c r="F113" s="1" t="str">
        <f>"1"</f>
        <v>1</v>
      </c>
      <c r="G113" s="1" t="str">
        <f>""</f>
        <v/>
      </c>
      <c r="H113" s="1" t="str">
        <f>"1"</f>
        <v>1</v>
      </c>
      <c r="I113" s="4">
        <v>-139369106.5</v>
      </c>
    </row>
    <row r="114" spans="1:9" x14ac:dyDescent="0.25">
      <c r="A114" s="1">
        <v>109</v>
      </c>
      <c r="B114" s="2">
        <v>46142</v>
      </c>
      <c r="C114" s="1">
        <v>20</v>
      </c>
      <c r="D114" s="1" t="str">
        <f>"1851"</f>
        <v>1851</v>
      </c>
      <c r="E114" s="3" t="str">
        <f>"Расчеты по налогам и другим обязательным платежам в бюджет"</f>
        <v>Расчеты по налогам и другим обязательным платежам в бюджет</v>
      </c>
      <c r="F114" s="1" t="str">
        <f>"1"</f>
        <v>1</v>
      </c>
      <c r="G114" s="1" t="str">
        <f>"1"</f>
        <v>1</v>
      </c>
      <c r="H114" s="1" t="str">
        <f>"1"</f>
        <v>1</v>
      </c>
      <c r="I114" s="4">
        <v>184275959.63999999</v>
      </c>
    </row>
    <row r="115" spans="1:9" x14ac:dyDescent="0.25">
      <c r="A115" s="1">
        <v>110</v>
      </c>
      <c r="B115" s="2">
        <v>46142</v>
      </c>
      <c r="C115" s="1">
        <v>20</v>
      </c>
      <c r="D115" s="1" t="str">
        <f>"1854"</f>
        <v>1854</v>
      </c>
      <c r="E115" s="3" t="str">
        <f>"Расчеты с работниками"</f>
        <v>Расчеты с работниками</v>
      </c>
      <c r="F115" s="1" t="str">
        <f>""</f>
        <v/>
      </c>
      <c r="G115" s="1" t="str">
        <f>""</f>
        <v/>
      </c>
      <c r="H115" s="1" t="str">
        <f>""</f>
        <v/>
      </c>
      <c r="I115" s="4">
        <v>18192298</v>
      </c>
    </row>
    <row r="116" spans="1:9" x14ac:dyDescent="0.25">
      <c r="A116" s="1">
        <v>111</v>
      </c>
      <c r="B116" s="2">
        <v>46142</v>
      </c>
      <c r="C116" s="1">
        <v>20</v>
      </c>
      <c r="D116" s="1" t="str">
        <f>"1860"</f>
        <v>1860</v>
      </c>
      <c r="E116" s="3" t="str">
        <f>"Прочие дебиторы по банковской деятельности"</f>
        <v>Прочие дебиторы по банковской деятельности</v>
      </c>
      <c r="F116" s="1" t="str">
        <f>"1"</f>
        <v>1</v>
      </c>
      <c r="G116" s="1" t="str">
        <f>"6"</f>
        <v>6</v>
      </c>
      <c r="H116" s="1" t="str">
        <f>"1"</f>
        <v>1</v>
      </c>
      <c r="I116" s="4">
        <v>1576513</v>
      </c>
    </row>
    <row r="117" spans="1:9" x14ac:dyDescent="0.25">
      <c r="A117" s="1">
        <v>112</v>
      </c>
      <c r="B117" s="2">
        <v>46142</v>
      </c>
      <c r="C117" s="1">
        <v>20</v>
      </c>
      <c r="D117" s="1" t="str">
        <f>"1860"</f>
        <v>1860</v>
      </c>
      <c r="E117" s="3" t="str">
        <f>"Прочие дебиторы по банковской деятельности"</f>
        <v>Прочие дебиторы по банковской деятельности</v>
      </c>
      <c r="F117" s="1" t="str">
        <f>"1"</f>
        <v>1</v>
      </c>
      <c r="G117" s="1" t="str">
        <f>"4"</f>
        <v>4</v>
      </c>
      <c r="H117" s="1" t="str">
        <f>"1"</f>
        <v>1</v>
      </c>
      <c r="I117" s="4">
        <v>10346808399.6</v>
      </c>
    </row>
    <row r="118" spans="1:9" x14ac:dyDescent="0.25">
      <c r="A118" s="1">
        <v>113</v>
      </c>
      <c r="B118" s="2">
        <v>46142</v>
      </c>
      <c r="C118" s="1">
        <v>20</v>
      </c>
      <c r="D118" s="1" t="str">
        <f>"1860"</f>
        <v>1860</v>
      </c>
      <c r="E118" s="3" t="str">
        <f>"Прочие дебиторы по банковской деятельности"</f>
        <v>Прочие дебиторы по банковской деятельности</v>
      </c>
      <c r="F118" s="1" t="str">
        <f>"1"</f>
        <v>1</v>
      </c>
      <c r="G118" s="1" t="str">
        <f>"1"</f>
        <v>1</v>
      </c>
      <c r="H118" s="1" t="str">
        <f>"1"</f>
        <v>1</v>
      </c>
      <c r="I118" s="4">
        <v>181987051951.59</v>
      </c>
    </row>
    <row r="119" spans="1:9" x14ac:dyDescent="0.25">
      <c r="A119" s="1">
        <v>114</v>
      </c>
      <c r="B119" s="2">
        <v>46142</v>
      </c>
      <c r="C119" s="1">
        <v>20</v>
      </c>
      <c r="D119" s="1" t="str">
        <f>"1860"</f>
        <v>1860</v>
      </c>
      <c r="E119" s="3" t="str">
        <f>"Прочие дебиторы по банковской деятельности"</f>
        <v>Прочие дебиторы по банковской деятельности</v>
      </c>
      <c r="F119" s="1" t="str">
        <f>"1"</f>
        <v>1</v>
      </c>
      <c r="G119" s="1" t="str">
        <f>"2"</f>
        <v>2</v>
      </c>
      <c r="H119" s="1" t="str">
        <f>"1"</f>
        <v>1</v>
      </c>
      <c r="I119" s="4">
        <v>2630842916.1599998</v>
      </c>
    </row>
    <row r="120" spans="1:9" x14ac:dyDescent="0.25">
      <c r="A120" s="1">
        <v>115</v>
      </c>
      <c r="B120" s="2">
        <v>46142</v>
      </c>
      <c r="C120" s="1">
        <v>20</v>
      </c>
      <c r="D120" s="1" t="str">
        <f>"1862"</f>
        <v>1862</v>
      </c>
      <c r="E120" s="3" t="str">
        <f>"Гарантийные взносы, обеспечительные платы"</f>
        <v>Гарантийные взносы, обеспечительные платы</v>
      </c>
      <c r="F120" s="1" t="str">
        <f>"1"</f>
        <v>1</v>
      </c>
      <c r="G120" s="1" t="str">
        <f>"5"</f>
        <v>5</v>
      </c>
      <c r="H120" s="1" t="str">
        <f>"1"</f>
        <v>1</v>
      </c>
      <c r="I120" s="4">
        <v>30000000</v>
      </c>
    </row>
    <row r="121" spans="1:9" x14ac:dyDescent="0.25">
      <c r="A121" s="1">
        <v>116</v>
      </c>
      <c r="B121" s="2">
        <v>46142</v>
      </c>
      <c r="C121" s="1">
        <v>20</v>
      </c>
      <c r="D121" s="1" t="str">
        <f>"1867"</f>
        <v>1867</v>
      </c>
      <c r="E121" s="3" t="str">
        <f>"Прочие дебиторы по неосновной деятельности"</f>
        <v>Прочие дебиторы по неосновной деятельности</v>
      </c>
      <c r="F121" s="1" t="str">
        <f>"1"</f>
        <v>1</v>
      </c>
      <c r="G121" s="1" t="str">
        <f>"7"</f>
        <v>7</v>
      </c>
      <c r="H121" s="1" t="str">
        <f>"1"</f>
        <v>1</v>
      </c>
      <c r="I121" s="4">
        <v>51348929.140000001</v>
      </c>
    </row>
    <row r="122" spans="1:9" x14ac:dyDescent="0.25">
      <c r="A122" s="1">
        <v>117</v>
      </c>
      <c r="B122" s="2">
        <v>46142</v>
      </c>
      <c r="C122" s="1">
        <v>20</v>
      </c>
      <c r="D122" s="1" t="str">
        <f>"1867"</f>
        <v>1867</v>
      </c>
      <c r="E122" s="3" t="str">
        <f>"Прочие дебиторы по неосновной деятельности"</f>
        <v>Прочие дебиторы по неосновной деятельности</v>
      </c>
      <c r="F122" s="1" t="str">
        <f>"1"</f>
        <v>1</v>
      </c>
      <c r="G122" s="1" t="str">
        <f>"9"</f>
        <v>9</v>
      </c>
      <c r="H122" s="1" t="str">
        <f>"1"</f>
        <v>1</v>
      </c>
      <c r="I122" s="4">
        <v>53553.95</v>
      </c>
    </row>
    <row r="123" spans="1:9" x14ac:dyDescent="0.25">
      <c r="A123" s="1">
        <v>118</v>
      </c>
      <c r="B123" s="2">
        <v>46142</v>
      </c>
      <c r="C123" s="1">
        <v>20</v>
      </c>
      <c r="D123" s="1" t="str">
        <f>"1867"</f>
        <v>1867</v>
      </c>
      <c r="E123" s="3" t="str">
        <f>"Прочие дебиторы по неосновной деятельности"</f>
        <v>Прочие дебиторы по неосновной деятельности</v>
      </c>
      <c r="F123" s="1" t="str">
        <f>"1"</f>
        <v>1</v>
      </c>
      <c r="G123" s="1" t="str">
        <f>"6"</f>
        <v>6</v>
      </c>
      <c r="H123" s="1" t="str">
        <f>"1"</f>
        <v>1</v>
      </c>
      <c r="I123" s="4">
        <v>2072338.15</v>
      </c>
    </row>
    <row r="124" spans="1:9" x14ac:dyDescent="0.25">
      <c r="A124" s="1">
        <v>119</v>
      </c>
      <c r="B124" s="2">
        <v>46142</v>
      </c>
      <c r="C124" s="1">
        <v>20</v>
      </c>
      <c r="D124" s="1" t="str">
        <f>"1878"</f>
        <v>1878</v>
      </c>
      <c r="E124" s="3" t="str">
        <f>"Резервы (провизии) по дебиторской задолженности, связанной с неосновной деятельностью"</f>
        <v>Резервы (провизии) по дебиторской задолженности, связанной с неосновной деятельностью</v>
      </c>
      <c r="F124" s="1" t="str">
        <f>"1"</f>
        <v>1</v>
      </c>
      <c r="G124" s="1" t="str">
        <f>"1"</f>
        <v>1</v>
      </c>
      <c r="H124" s="1" t="str">
        <f>"1"</f>
        <v>1</v>
      </c>
      <c r="I124" s="4">
        <v>-3399994934.4299998</v>
      </c>
    </row>
    <row r="125" spans="1:9" x14ac:dyDescent="0.25">
      <c r="A125" s="1">
        <v>120</v>
      </c>
      <c r="B125" s="2">
        <v>46142</v>
      </c>
      <c r="C125" s="1">
        <v>20</v>
      </c>
      <c r="D125" s="1" t="str">
        <f>"1878"</f>
        <v>1878</v>
      </c>
      <c r="E125" s="3" t="str">
        <f>"Резервы (провизии) по дебиторской задолженности, связанной с неосновной деятельностью"</f>
        <v>Резервы (провизии) по дебиторской задолженности, связанной с неосновной деятельностью</v>
      </c>
      <c r="F125" s="1" t="str">
        <f>"1"</f>
        <v>1</v>
      </c>
      <c r="G125" s="1" t="str">
        <f>"9"</f>
        <v>9</v>
      </c>
      <c r="H125" s="1" t="str">
        <f>"1"</f>
        <v>1</v>
      </c>
      <c r="I125" s="4">
        <v>-137070</v>
      </c>
    </row>
    <row r="126" spans="1:9" x14ac:dyDescent="0.25">
      <c r="A126" s="1">
        <v>121</v>
      </c>
      <c r="B126" s="2">
        <v>46142</v>
      </c>
      <c r="C126" s="1">
        <v>20</v>
      </c>
      <c r="D126" s="1" t="str">
        <f>"1879"</f>
        <v>1879</v>
      </c>
      <c r="E126" s="3" t="str">
        <f>"Начисленная неустойка (штраф, пеня)"</f>
        <v>Начисленная неустойка (штраф, пеня)</v>
      </c>
      <c r="F126" s="1" t="str">
        <f>"1"</f>
        <v>1</v>
      </c>
      <c r="G126" s="1" t="str">
        <f>"7"</f>
        <v>7</v>
      </c>
      <c r="H126" s="1" t="str">
        <f>"1"</f>
        <v>1</v>
      </c>
      <c r="I126" s="4">
        <v>193491.5</v>
      </c>
    </row>
    <row r="127" spans="1:9" x14ac:dyDescent="0.25">
      <c r="A127" s="1">
        <v>122</v>
      </c>
      <c r="B127" s="2">
        <v>46142</v>
      </c>
      <c r="C127" s="1">
        <v>20</v>
      </c>
      <c r="D127" s="1" t="str">
        <f>"1879"</f>
        <v>1879</v>
      </c>
      <c r="E127" s="3" t="str">
        <f>"Начисленная неустойка (штраф, пеня)"</f>
        <v>Начисленная неустойка (штраф, пеня)</v>
      </c>
      <c r="F127" s="1" t="str">
        <f>"1"</f>
        <v>1</v>
      </c>
      <c r="G127" s="1" t="str">
        <f>"9"</f>
        <v>9</v>
      </c>
      <c r="H127" s="1" t="str">
        <f>"1"</f>
        <v>1</v>
      </c>
      <c r="I127" s="4">
        <v>26661647.379999999</v>
      </c>
    </row>
    <row r="128" spans="1:9" ht="45" x14ac:dyDescent="0.25">
      <c r="A128" s="1">
        <v>123</v>
      </c>
      <c r="B128" s="2">
        <v>46142</v>
      </c>
      <c r="C128" s="1">
        <v>20</v>
      </c>
      <c r="D128" s="1" t="str">
        <f>"2032"</f>
        <v>2032</v>
      </c>
      <c r="E128" s="3" t="str">
        <f>"Дисконт по займам, полученным от Правительства Республики Казахстан, местных исполнительных органов Республики Казахстан, национального управляющего холдинга и специального фонда развития частного предпринимательства"</f>
        <v>Дисконт по займам, полученным от Правительства Республики Казахстан, местных исполнительных органов Республики Казахстан, национального управляющего холдинга и специального фонда развития частного предпринимательства</v>
      </c>
      <c r="F128" s="1" t="str">
        <f>"1"</f>
        <v>1</v>
      </c>
      <c r="G128" s="1" t="str">
        <f>"1"</f>
        <v>1</v>
      </c>
      <c r="H128" s="1" t="str">
        <f>"1"</f>
        <v>1</v>
      </c>
      <c r="I128" s="4">
        <v>-360538692392.45001</v>
      </c>
    </row>
    <row r="129" spans="1:9" ht="45" x14ac:dyDescent="0.25">
      <c r="A129" s="1">
        <v>124</v>
      </c>
      <c r="B129" s="2">
        <v>46142</v>
      </c>
      <c r="C129" s="1">
        <v>20</v>
      </c>
      <c r="D129" s="1" t="str">
        <f>"2032"</f>
        <v>2032</v>
      </c>
      <c r="E129" s="3" t="str">
        <f>"Дисконт по займам, полученным от Правительства Республики Казахстан, местных исполнительных органов Республики Казахстан, национального управляющего холдинга и специального фонда развития частного предпринимательства"</f>
        <v>Дисконт по займам, полученным от Правительства Республики Казахстан, местных исполнительных органов Республики Казахстан, национального управляющего холдинга и специального фонда развития частного предпринимательства</v>
      </c>
      <c r="F129" s="1" t="str">
        <f>"1"</f>
        <v>1</v>
      </c>
      <c r="G129" s="1" t="str">
        <f>"2"</f>
        <v>2</v>
      </c>
      <c r="H129" s="1" t="str">
        <f>"1"</f>
        <v>1</v>
      </c>
      <c r="I129" s="4">
        <v>-167368085325.94</v>
      </c>
    </row>
    <row r="130" spans="1:9" ht="45" x14ac:dyDescent="0.25">
      <c r="A130" s="1">
        <v>125</v>
      </c>
      <c r="B130" s="2">
        <v>46142</v>
      </c>
      <c r="C130" s="1">
        <v>20</v>
      </c>
      <c r="D130" s="1" t="str">
        <f>"2032"</f>
        <v>2032</v>
      </c>
      <c r="E130" s="3" t="str">
        <f>"Дисконт по займам, полученным от Правительства Республики Казахстан, местных исполнительных органов Республики Казахстан, национального управляющего холдинга и специального фонда развития частного предпринимательства"</f>
        <v>Дисконт по займам, полученным от Правительства Республики Казахстан, местных исполнительных органов Республики Казахстан, национального управляющего холдинга и специального фонда развития частного предпринимательства</v>
      </c>
      <c r="F130" s="1" t="str">
        <f>"1"</f>
        <v>1</v>
      </c>
      <c r="G130" s="1" t="str">
        <f>"6"</f>
        <v>6</v>
      </c>
      <c r="H130" s="1" t="str">
        <f>"1"</f>
        <v>1</v>
      </c>
      <c r="I130" s="4">
        <v>-11485243249.969999</v>
      </c>
    </row>
    <row r="131" spans="1:9" ht="45" x14ac:dyDescent="0.25">
      <c r="A131" s="1">
        <v>126</v>
      </c>
      <c r="B131" s="2">
        <v>46142</v>
      </c>
      <c r="C131" s="1">
        <v>20</v>
      </c>
      <c r="D131" s="1" t="str">
        <f>"2036"</f>
        <v>2036</v>
      </c>
      <c r="E131" s="3" t="str">
        <f>"Долгосрочные займы, полученные от Правительства Республики Казахстан, местных исполнительных органов Республики Казахстан, национального управляющего холдинга и специального фонда развития частного предпринимательства"</f>
        <v>Долгосрочные займы, полученные от Правительства Республики Казахстан, местных исполнительных органов Республики Казахстан, национального управляющего холдинга и специального фонда развития частного предпринимательства</v>
      </c>
      <c r="F131" s="1" t="str">
        <f>"1"</f>
        <v>1</v>
      </c>
      <c r="G131" s="1" t="str">
        <f>"1"</f>
        <v>1</v>
      </c>
      <c r="H131" s="1" t="str">
        <f>"1"</f>
        <v>1</v>
      </c>
      <c r="I131" s="4">
        <v>439635876000</v>
      </c>
    </row>
    <row r="132" spans="1:9" ht="45" x14ac:dyDescent="0.25">
      <c r="A132" s="1">
        <v>127</v>
      </c>
      <c r="B132" s="2">
        <v>46142</v>
      </c>
      <c r="C132" s="1">
        <v>20</v>
      </c>
      <c r="D132" s="1" t="str">
        <f>"2036"</f>
        <v>2036</v>
      </c>
      <c r="E132" s="3" t="str">
        <f>"Долгосрочные займы, полученные от Правительства Республики Казахстан, местных исполнительных органов Республики Казахстан, национального управляющего холдинга и специального фонда развития частного предпринимательства"</f>
        <v>Долгосрочные займы, полученные от Правительства Республики Казахстан, местных исполнительных органов Республики Казахстан, национального управляющего холдинга и специального фонда развития частного предпринимательства</v>
      </c>
      <c r="F132" s="1" t="str">
        <f>"1"</f>
        <v>1</v>
      </c>
      <c r="G132" s="1" t="str">
        <f>"2"</f>
        <v>2</v>
      </c>
      <c r="H132" s="1" t="str">
        <f>"1"</f>
        <v>1</v>
      </c>
      <c r="I132" s="4">
        <v>222233471802</v>
      </c>
    </row>
    <row r="133" spans="1:9" ht="45" x14ac:dyDescent="0.25">
      <c r="A133" s="1">
        <v>128</v>
      </c>
      <c r="B133" s="2">
        <v>46142</v>
      </c>
      <c r="C133" s="1">
        <v>20</v>
      </c>
      <c r="D133" s="1" t="str">
        <f>"2036"</f>
        <v>2036</v>
      </c>
      <c r="E133" s="3" t="str">
        <f>"Долгосрочные займы, полученные от Правительства Республики Казахстан, местных исполнительных органов Республики Казахстан, национального управляющего холдинга и специального фонда развития частного предпринимательства"</f>
        <v>Долгосрочные займы, полученные от Правительства Республики Казахстан, местных исполнительных органов Республики Казахстан, национального управляющего холдинга и специального фонда развития частного предпринимательства</v>
      </c>
      <c r="F133" s="1" t="str">
        <f>"1"</f>
        <v>1</v>
      </c>
      <c r="G133" s="1" t="str">
        <f>"6"</f>
        <v>6</v>
      </c>
      <c r="H133" s="1" t="str">
        <f>"1"</f>
        <v>1</v>
      </c>
      <c r="I133" s="4">
        <v>22000000000</v>
      </c>
    </row>
    <row r="134" spans="1:9" x14ac:dyDescent="0.25">
      <c r="A134" s="1">
        <v>129</v>
      </c>
      <c r="B134" s="2">
        <v>46142</v>
      </c>
      <c r="C134" s="1">
        <v>20</v>
      </c>
      <c r="D134" s="1" t="str">
        <f>"2041"</f>
        <v>2041</v>
      </c>
      <c r="E134" s="3" t="str">
        <f>"Дисконт по займам, полученным от международных финансовых организаций"</f>
        <v>Дисконт по займам, полученным от международных финансовых организаций</v>
      </c>
      <c r="F134" s="1" t="str">
        <f>"2"</f>
        <v>2</v>
      </c>
      <c r="G134" s="1" t="str">
        <f>"3"</f>
        <v>3</v>
      </c>
      <c r="H134" s="1" t="str">
        <f>"1"</f>
        <v>1</v>
      </c>
      <c r="I134" s="4">
        <v>-144047578.63</v>
      </c>
    </row>
    <row r="135" spans="1:9" x14ac:dyDescent="0.25">
      <c r="A135" s="1">
        <v>130</v>
      </c>
      <c r="B135" s="2">
        <v>46142</v>
      </c>
      <c r="C135" s="1">
        <v>20</v>
      </c>
      <c r="D135" s="1" t="str">
        <f>"2046"</f>
        <v>2046</v>
      </c>
      <c r="E135" s="3" t="str">
        <f>"Долгосрочные займы, полученные от международных финансовых организаций"</f>
        <v>Долгосрочные займы, полученные от международных финансовых организаций</v>
      </c>
      <c r="F135" s="1" t="str">
        <f>"2"</f>
        <v>2</v>
      </c>
      <c r="G135" s="1" t="str">
        <f>"3"</f>
        <v>3</v>
      </c>
      <c r="H135" s="1" t="str">
        <f>"1"</f>
        <v>1</v>
      </c>
      <c r="I135" s="4">
        <v>38000000000</v>
      </c>
    </row>
    <row r="136" spans="1:9" x14ac:dyDescent="0.25">
      <c r="A136" s="1">
        <v>131</v>
      </c>
      <c r="B136" s="2">
        <v>46142</v>
      </c>
      <c r="C136" s="1">
        <v>20</v>
      </c>
      <c r="D136" s="1" t="str">
        <f>"2201"</f>
        <v>2201</v>
      </c>
      <c r="E136" s="3" t="str">
        <f>"Деньги государственного бюджета"</f>
        <v>Деньги государственного бюджета</v>
      </c>
      <c r="F136" s="1" t="str">
        <f>"1"</f>
        <v>1</v>
      </c>
      <c r="G136" s="1" t="str">
        <f>"2"</f>
        <v>2</v>
      </c>
      <c r="H136" s="1" t="str">
        <f>"1"</f>
        <v>1</v>
      </c>
      <c r="I136" s="4">
        <v>3035137671.23</v>
      </c>
    </row>
    <row r="137" spans="1:9" x14ac:dyDescent="0.25">
      <c r="A137" s="1">
        <v>132</v>
      </c>
      <c r="B137" s="2">
        <v>46142</v>
      </c>
      <c r="C137" s="1">
        <v>20</v>
      </c>
      <c r="D137" s="1" t="str">
        <f>"2201"</f>
        <v>2201</v>
      </c>
      <c r="E137" s="3" t="str">
        <f>"Деньги государственного бюджета"</f>
        <v>Деньги государственного бюджета</v>
      </c>
      <c r="F137" s="1" t="str">
        <f>"1"</f>
        <v>1</v>
      </c>
      <c r="G137" s="1" t="str">
        <f>"1"</f>
        <v>1</v>
      </c>
      <c r="H137" s="1" t="str">
        <f>"1"</f>
        <v>1</v>
      </c>
      <c r="I137" s="4">
        <v>1989621756.9000001</v>
      </c>
    </row>
    <row r="138" spans="1:9" x14ac:dyDescent="0.25">
      <c r="A138" s="1">
        <v>133</v>
      </c>
      <c r="B138" s="2">
        <v>46142</v>
      </c>
      <c r="C138" s="1">
        <v>20</v>
      </c>
      <c r="D138" s="1" t="str">
        <f>"2203"</f>
        <v>2203</v>
      </c>
      <c r="E138" s="3" t="str">
        <f>"Текущие счета юридических лиц"</f>
        <v>Текущие счета юридических лиц</v>
      </c>
      <c r="F138" s="1" t="str">
        <f>"1"</f>
        <v>1</v>
      </c>
      <c r="G138" s="1" t="str">
        <f>"5"</f>
        <v>5</v>
      </c>
      <c r="H138" s="1" t="str">
        <f>"1"</f>
        <v>1</v>
      </c>
      <c r="I138" s="4">
        <v>123582176395.58</v>
      </c>
    </row>
    <row r="139" spans="1:9" x14ac:dyDescent="0.25">
      <c r="A139" s="1">
        <v>134</v>
      </c>
      <c r="B139" s="2">
        <v>46142</v>
      </c>
      <c r="C139" s="1">
        <v>20</v>
      </c>
      <c r="D139" s="1" t="str">
        <f>"2203"</f>
        <v>2203</v>
      </c>
      <c r="E139" s="3" t="str">
        <f>"Текущие счета юридических лиц"</f>
        <v>Текущие счета юридических лиц</v>
      </c>
      <c r="F139" s="1" t="str">
        <f>"1"</f>
        <v>1</v>
      </c>
      <c r="G139" s="1" t="str">
        <f>"7"</f>
        <v>7</v>
      </c>
      <c r="H139" s="1" t="str">
        <f>"1"</f>
        <v>1</v>
      </c>
      <c r="I139" s="4">
        <v>2105252638.3199999</v>
      </c>
    </row>
    <row r="140" spans="1:9" x14ac:dyDescent="0.25">
      <c r="A140" s="1">
        <v>135</v>
      </c>
      <c r="B140" s="2">
        <v>46142</v>
      </c>
      <c r="C140" s="1">
        <v>20</v>
      </c>
      <c r="D140" s="1" t="str">
        <f>"2203"</f>
        <v>2203</v>
      </c>
      <c r="E140" s="3" t="str">
        <f>"Текущие счета юридических лиц"</f>
        <v>Текущие счета юридических лиц</v>
      </c>
      <c r="F140" s="1" t="str">
        <f>"1"</f>
        <v>1</v>
      </c>
      <c r="G140" s="1" t="str">
        <f>"6"</f>
        <v>6</v>
      </c>
      <c r="H140" s="1" t="str">
        <f>"1"</f>
        <v>1</v>
      </c>
      <c r="I140" s="4">
        <v>46600000</v>
      </c>
    </row>
    <row r="141" spans="1:9" x14ac:dyDescent="0.25">
      <c r="A141" s="1">
        <v>136</v>
      </c>
      <c r="B141" s="2">
        <v>46142</v>
      </c>
      <c r="C141" s="1">
        <v>20</v>
      </c>
      <c r="D141" s="1" t="str">
        <f>"2204"</f>
        <v>2204</v>
      </c>
      <c r="E141" s="3" t="str">
        <f>"Текущие счета физических лиц"</f>
        <v>Текущие счета физических лиц</v>
      </c>
      <c r="F141" s="1" t="str">
        <f>"2"</f>
        <v>2</v>
      </c>
      <c r="G141" s="1" t="str">
        <f>"9"</f>
        <v>9</v>
      </c>
      <c r="H141" s="1" t="str">
        <f>"1"</f>
        <v>1</v>
      </c>
      <c r="I141" s="4">
        <v>1046772.95</v>
      </c>
    </row>
    <row r="142" spans="1:9" x14ac:dyDescent="0.25">
      <c r="A142" s="1">
        <v>137</v>
      </c>
      <c r="B142" s="2">
        <v>46142</v>
      </c>
      <c r="C142" s="1">
        <v>20</v>
      </c>
      <c r="D142" s="1" t="str">
        <f>"2204"</f>
        <v>2204</v>
      </c>
      <c r="E142" s="3" t="str">
        <f>"Текущие счета физических лиц"</f>
        <v>Текущие счета физических лиц</v>
      </c>
      <c r="F142" s="1" t="str">
        <f>"1"</f>
        <v>1</v>
      </c>
      <c r="G142" s="1" t="str">
        <f>"9"</f>
        <v>9</v>
      </c>
      <c r="H142" s="1" t="str">
        <f>"1"</f>
        <v>1</v>
      </c>
      <c r="I142" s="4">
        <v>91635802112.860001</v>
      </c>
    </row>
    <row r="143" spans="1:9" x14ac:dyDescent="0.25">
      <c r="A143" s="1">
        <v>138</v>
      </c>
      <c r="B143" s="2">
        <v>46142</v>
      </c>
      <c r="C143" s="1">
        <v>20</v>
      </c>
      <c r="D143" s="1" t="str">
        <f>"2204"</f>
        <v>2204</v>
      </c>
      <c r="E143" s="3" t="str">
        <f>"Текущие счета физических лиц"</f>
        <v>Текущие счета физических лиц</v>
      </c>
      <c r="F143" s="1" t="str">
        <f>"1"</f>
        <v>1</v>
      </c>
      <c r="G143" s="1" t="str">
        <f>"9"</f>
        <v>9</v>
      </c>
      <c r="H143" s="1" t="str">
        <f>"2"</f>
        <v>2</v>
      </c>
      <c r="I143" s="4">
        <v>1028472830.04</v>
      </c>
    </row>
    <row r="144" spans="1:9" x14ac:dyDescent="0.25">
      <c r="A144" s="1">
        <v>139</v>
      </c>
      <c r="B144" s="2">
        <v>46142</v>
      </c>
      <c r="C144" s="1">
        <v>20</v>
      </c>
      <c r="D144" s="1" t="str">
        <f>"2206"</f>
        <v>2206</v>
      </c>
      <c r="E144" s="3" t="str">
        <f>"Краткосрочные вклады физических лиц"</f>
        <v>Краткосрочные вклады физических лиц</v>
      </c>
      <c r="F144" s="1" t="str">
        <f>"1"</f>
        <v>1</v>
      </c>
      <c r="G144" s="1" t="str">
        <f>"9"</f>
        <v>9</v>
      </c>
      <c r="H144" s="1" t="str">
        <f>"1"</f>
        <v>1</v>
      </c>
      <c r="I144" s="4">
        <v>11597750504.889999</v>
      </c>
    </row>
    <row r="145" spans="1:9" x14ac:dyDescent="0.25">
      <c r="A145" s="1">
        <v>140</v>
      </c>
      <c r="B145" s="2">
        <v>46142</v>
      </c>
      <c r="C145" s="1">
        <v>20</v>
      </c>
      <c r="D145" s="1" t="str">
        <f>"2207"</f>
        <v>2207</v>
      </c>
      <c r="E145" s="3" t="str">
        <f>"Долгосрочные вклады физических лиц"</f>
        <v>Долгосрочные вклады физических лиц</v>
      </c>
      <c r="F145" s="1" t="str">
        <f>"2"</f>
        <v>2</v>
      </c>
      <c r="G145" s="1" t="str">
        <f>"9"</f>
        <v>9</v>
      </c>
      <c r="H145" s="1" t="str">
        <f>"1"</f>
        <v>1</v>
      </c>
      <c r="I145" s="4">
        <v>39261747.060000002</v>
      </c>
    </row>
    <row r="146" spans="1:9" x14ac:dyDescent="0.25">
      <c r="A146" s="1">
        <v>141</v>
      </c>
      <c r="B146" s="2">
        <v>46142</v>
      </c>
      <c r="C146" s="1">
        <v>20</v>
      </c>
      <c r="D146" s="1" t="str">
        <f>"2207"</f>
        <v>2207</v>
      </c>
      <c r="E146" s="3" t="str">
        <f>"Долгосрочные вклады физических лиц"</f>
        <v>Долгосрочные вклады физических лиц</v>
      </c>
      <c r="F146" s="1" t="str">
        <f>"1"</f>
        <v>1</v>
      </c>
      <c r="G146" s="1" t="str">
        <f>"9"</f>
        <v>9</v>
      </c>
      <c r="H146" s="1" t="str">
        <f>"1"</f>
        <v>1</v>
      </c>
      <c r="I146" s="4">
        <v>2055323914688.5701</v>
      </c>
    </row>
    <row r="147" spans="1:9" x14ac:dyDescent="0.25">
      <c r="A147" s="1">
        <v>142</v>
      </c>
      <c r="B147" s="2">
        <v>46142</v>
      </c>
      <c r="C147" s="1">
        <v>20</v>
      </c>
      <c r="D147" s="1" t="str">
        <f>"2213"</f>
        <v>2213</v>
      </c>
      <c r="E147" s="3" t="str">
        <f>"Краткосрочный вклад физических лиц, являющийся обеспечением обязательств клиентов"</f>
        <v>Краткосрочный вклад физических лиц, являющийся обеспечением обязательств клиентов</v>
      </c>
      <c r="F147" s="1" t="str">
        <f>"1"</f>
        <v>1</v>
      </c>
      <c r="G147" s="1" t="str">
        <f>"9"</f>
        <v>9</v>
      </c>
      <c r="H147" s="1" t="str">
        <f>"1"</f>
        <v>1</v>
      </c>
      <c r="I147" s="4">
        <v>12730921.189999999</v>
      </c>
    </row>
    <row r="148" spans="1:9" x14ac:dyDescent="0.25">
      <c r="A148" s="1">
        <v>143</v>
      </c>
      <c r="B148" s="2">
        <v>46142</v>
      </c>
      <c r="C148" s="1">
        <v>20</v>
      </c>
      <c r="D148" s="1" t="str">
        <f>"2215"</f>
        <v>2215</v>
      </c>
      <c r="E148" s="3" t="str">
        <f>"Краткосрочные вклады юридических лиц"</f>
        <v>Краткосрочные вклады юридических лиц</v>
      </c>
      <c r="F148" s="1" t="str">
        <f>"1"</f>
        <v>1</v>
      </c>
      <c r="G148" s="1" t="str">
        <f>"7"</f>
        <v>7</v>
      </c>
      <c r="H148" s="1" t="str">
        <f>"1"</f>
        <v>1</v>
      </c>
      <c r="I148" s="4">
        <v>2500871</v>
      </c>
    </row>
    <row r="149" spans="1:9" x14ac:dyDescent="0.25">
      <c r="A149" s="1">
        <v>144</v>
      </c>
      <c r="B149" s="2">
        <v>46142</v>
      </c>
      <c r="C149" s="1">
        <v>20</v>
      </c>
      <c r="D149" s="1" t="str">
        <f>"2227"</f>
        <v>2227</v>
      </c>
      <c r="E149" s="3" t="str">
        <f>"Обязательства по аренде"</f>
        <v>Обязательства по аренде</v>
      </c>
      <c r="F149" s="1" t="str">
        <f>"1"</f>
        <v>1</v>
      </c>
      <c r="G149" s="1" t="str">
        <f>"6"</f>
        <v>6</v>
      </c>
      <c r="H149" s="1" t="str">
        <f>"1"</f>
        <v>1</v>
      </c>
      <c r="I149" s="4">
        <v>5837036.2199999997</v>
      </c>
    </row>
    <row r="150" spans="1:9" x14ac:dyDescent="0.25">
      <c r="A150" s="1">
        <v>145</v>
      </c>
      <c r="B150" s="2">
        <v>46142</v>
      </c>
      <c r="C150" s="1">
        <v>20</v>
      </c>
      <c r="D150" s="1" t="str">
        <f>"2227"</f>
        <v>2227</v>
      </c>
      <c r="E150" s="3" t="str">
        <f>"Обязательства по аренде"</f>
        <v>Обязательства по аренде</v>
      </c>
      <c r="F150" s="1" t="str">
        <f>"1"</f>
        <v>1</v>
      </c>
      <c r="G150" s="1" t="str">
        <f>"9"</f>
        <v>9</v>
      </c>
      <c r="H150" s="1" t="str">
        <f>"1"</f>
        <v>1</v>
      </c>
      <c r="I150" s="4">
        <v>1171411133.51</v>
      </c>
    </row>
    <row r="151" spans="1:9" x14ac:dyDescent="0.25">
      <c r="A151" s="1">
        <v>146</v>
      </c>
      <c r="B151" s="2">
        <v>46142</v>
      </c>
      <c r="C151" s="1">
        <v>20</v>
      </c>
      <c r="D151" s="1" t="str">
        <f>"2227"</f>
        <v>2227</v>
      </c>
      <c r="E151" s="3" t="str">
        <f>"Обязательства по аренде"</f>
        <v>Обязательства по аренде</v>
      </c>
      <c r="F151" s="1" t="str">
        <f>"1"</f>
        <v>1</v>
      </c>
      <c r="G151" s="1" t="str">
        <f>"7"</f>
        <v>7</v>
      </c>
      <c r="H151" s="1" t="str">
        <f>"1"</f>
        <v>1</v>
      </c>
      <c r="I151" s="4">
        <v>317549847.75</v>
      </c>
    </row>
    <row r="152" spans="1:9" x14ac:dyDescent="0.25">
      <c r="A152" s="1">
        <v>147</v>
      </c>
      <c r="B152" s="2">
        <v>46142</v>
      </c>
      <c r="C152" s="1">
        <v>20</v>
      </c>
      <c r="D152" s="1" t="str">
        <f>"2238"</f>
        <v>2238</v>
      </c>
      <c r="E152" s="3" t="str">
        <f>"Премия по вкладам, привлеченным от клиентов"</f>
        <v>Премия по вкладам, привлеченным от клиентов</v>
      </c>
      <c r="F152" s="1" t="str">
        <f>"1"</f>
        <v>1</v>
      </c>
      <c r="G152" s="1" t="str">
        <f>"9"</f>
        <v>9</v>
      </c>
      <c r="H152" s="1" t="str">
        <f>"1"</f>
        <v>1</v>
      </c>
      <c r="I152" s="4">
        <v>99924787.870000005</v>
      </c>
    </row>
    <row r="153" spans="1:9" x14ac:dyDescent="0.25">
      <c r="A153" s="1">
        <v>148</v>
      </c>
      <c r="B153" s="2">
        <v>46142</v>
      </c>
      <c r="C153" s="1">
        <v>20</v>
      </c>
      <c r="D153" s="1" t="str">
        <f>"2238"</f>
        <v>2238</v>
      </c>
      <c r="E153" s="3" t="str">
        <f>"Премия по вкладам, привлеченным от клиентов"</f>
        <v>Премия по вкладам, привлеченным от клиентов</v>
      </c>
      <c r="F153" s="1" t="str">
        <f>"2"</f>
        <v>2</v>
      </c>
      <c r="G153" s="1" t="str">
        <f>"9"</f>
        <v>9</v>
      </c>
      <c r="H153" s="1" t="str">
        <f>"1"</f>
        <v>1</v>
      </c>
      <c r="I153" s="4">
        <v>8151.92</v>
      </c>
    </row>
    <row r="154" spans="1:9" x14ac:dyDescent="0.25">
      <c r="A154" s="1">
        <v>149</v>
      </c>
      <c r="B154" s="2">
        <v>46142</v>
      </c>
      <c r="C154" s="1">
        <v>20</v>
      </c>
      <c r="D154" s="1" t="str">
        <f>"2241"</f>
        <v>2241</v>
      </c>
      <c r="E154" s="3" t="str">
        <f>"Долгосрочный вклад физических лиц, являющийся обеспечением обязательств клиентов"</f>
        <v>Долгосрочный вклад физических лиц, являющийся обеспечением обязательств клиентов</v>
      </c>
      <c r="F154" s="1" t="str">
        <f>"2"</f>
        <v>2</v>
      </c>
      <c r="G154" s="1" t="str">
        <f>"9"</f>
        <v>9</v>
      </c>
      <c r="H154" s="1" t="str">
        <f>"1"</f>
        <v>1</v>
      </c>
      <c r="I154" s="4">
        <v>3394443.58</v>
      </c>
    </row>
    <row r="155" spans="1:9" x14ac:dyDescent="0.25">
      <c r="A155" s="1">
        <v>150</v>
      </c>
      <c r="B155" s="2">
        <v>46142</v>
      </c>
      <c r="C155" s="1">
        <v>20</v>
      </c>
      <c r="D155" s="1" t="str">
        <f>"2241"</f>
        <v>2241</v>
      </c>
      <c r="E155" s="3" t="str">
        <f>"Долгосрочный вклад физических лиц, являющийся обеспечением обязательств клиентов"</f>
        <v>Долгосрочный вклад физических лиц, являющийся обеспечением обязательств клиентов</v>
      </c>
      <c r="F155" s="1" t="str">
        <f>"1"</f>
        <v>1</v>
      </c>
      <c r="G155" s="1" t="str">
        <f>"9"</f>
        <v>9</v>
      </c>
      <c r="H155" s="1" t="str">
        <f>"1"</f>
        <v>1</v>
      </c>
      <c r="I155" s="4">
        <v>1137288719678.6299</v>
      </c>
    </row>
    <row r="156" spans="1:9" x14ac:dyDescent="0.25">
      <c r="A156" s="1">
        <v>151</v>
      </c>
      <c r="B156" s="2">
        <v>46142</v>
      </c>
      <c r="C156" s="1">
        <v>20</v>
      </c>
      <c r="D156" s="1" t="str">
        <f>"2301"</f>
        <v>2301</v>
      </c>
      <c r="E156" s="3" t="str">
        <f>"Выпущенные в обращение облигации"</f>
        <v>Выпущенные в обращение облигации</v>
      </c>
      <c r="F156" s="1" t="str">
        <f>"1"</f>
        <v>1</v>
      </c>
      <c r="G156" s="1" t="str">
        <f>"6"</f>
        <v>6</v>
      </c>
      <c r="H156" s="1" t="str">
        <f>"1"</f>
        <v>1</v>
      </c>
      <c r="I156" s="4">
        <v>267700000000</v>
      </c>
    </row>
    <row r="157" spans="1:9" x14ac:dyDescent="0.25">
      <c r="A157" s="1">
        <v>152</v>
      </c>
      <c r="B157" s="2">
        <v>46142</v>
      </c>
      <c r="C157" s="1">
        <v>20</v>
      </c>
      <c r="D157" s="1" t="str">
        <f>"2301"</f>
        <v>2301</v>
      </c>
      <c r="E157" s="3" t="str">
        <f>"Выпущенные в обращение облигации"</f>
        <v>Выпущенные в обращение облигации</v>
      </c>
      <c r="F157" s="1" t="str">
        <f>"1"</f>
        <v>1</v>
      </c>
      <c r="G157" s="1" t="str">
        <f>"5"</f>
        <v>5</v>
      </c>
      <c r="H157" s="1" t="str">
        <f>"1"</f>
        <v>1</v>
      </c>
      <c r="I157" s="4">
        <v>631866814000</v>
      </c>
    </row>
    <row r="158" spans="1:9" x14ac:dyDescent="0.25">
      <c r="A158" s="1">
        <v>153</v>
      </c>
      <c r="B158" s="2">
        <v>46142</v>
      </c>
      <c r="C158" s="1">
        <v>20</v>
      </c>
      <c r="D158" s="1" t="str">
        <f>"2304"</f>
        <v>2304</v>
      </c>
      <c r="E158" s="3" t="str">
        <f>"Премия по выпущенным в обращение ценным бумагам"</f>
        <v>Премия по выпущенным в обращение ценным бумагам</v>
      </c>
      <c r="F158" s="1" t="str">
        <f>"1"</f>
        <v>1</v>
      </c>
      <c r="G158" s="1" t="str">
        <f>"5"</f>
        <v>5</v>
      </c>
      <c r="H158" s="1" t="str">
        <f>"1"</f>
        <v>1</v>
      </c>
      <c r="I158" s="4">
        <v>340969.4</v>
      </c>
    </row>
    <row r="159" spans="1:9" x14ac:dyDescent="0.25">
      <c r="A159" s="1">
        <v>154</v>
      </c>
      <c r="B159" s="2">
        <v>46142</v>
      </c>
      <c r="C159" s="1">
        <v>20</v>
      </c>
      <c r="D159" s="1" t="str">
        <f>"2305"</f>
        <v>2305</v>
      </c>
      <c r="E159" s="3" t="str">
        <f>"Дисконт по выпущенным в обращение ценным бумагам"</f>
        <v>Дисконт по выпущенным в обращение ценным бумагам</v>
      </c>
      <c r="F159" s="1" t="str">
        <f>"1"</f>
        <v>1</v>
      </c>
      <c r="G159" s="1" t="str">
        <f>"5"</f>
        <v>5</v>
      </c>
      <c r="H159" s="1" t="str">
        <f>"1"</f>
        <v>1</v>
      </c>
      <c r="I159" s="4">
        <v>-6038639500.3999996</v>
      </c>
    </row>
    <row r="160" spans="1:9" x14ac:dyDescent="0.25">
      <c r="A160" s="1">
        <v>155</v>
      </c>
      <c r="B160" s="2">
        <v>46142</v>
      </c>
      <c r="C160" s="1">
        <v>20</v>
      </c>
      <c r="D160" s="1" t="str">
        <f>"2305"</f>
        <v>2305</v>
      </c>
      <c r="E160" s="3" t="str">
        <f>"Дисконт по выпущенным в обращение ценным бумагам"</f>
        <v>Дисконт по выпущенным в обращение ценным бумагам</v>
      </c>
      <c r="F160" s="1" t="str">
        <f>"1"</f>
        <v>1</v>
      </c>
      <c r="G160" s="1" t="str">
        <f>"6"</f>
        <v>6</v>
      </c>
      <c r="H160" s="1" t="str">
        <f>"1"</f>
        <v>1</v>
      </c>
      <c r="I160" s="4">
        <v>-111464848762.66</v>
      </c>
    </row>
    <row r="161" spans="1:9" ht="30" x14ac:dyDescent="0.25">
      <c r="A161" s="1">
        <v>156</v>
      </c>
      <c r="B161" s="2">
        <v>46142</v>
      </c>
      <c r="C161" s="1">
        <v>20</v>
      </c>
      <c r="D161" s="1" t="str">
        <f>"2703"</f>
        <v>2703</v>
      </c>
      <c r="E161" s="3" t="str">
        <f>"Начисленные расходы по займам, полученным от Правительства Республики Казахстан, местных исполнительных органов Республики Казахстан и национального управляющего холдинга"</f>
        <v>Начисленные расходы по займам, полученным от Правительства Республики Казахстан, местных исполнительных органов Республики Казахстан и национального управляющего холдинга</v>
      </c>
      <c r="F161" s="1" t="str">
        <f>"1"</f>
        <v>1</v>
      </c>
      <c r="G161" s="1" t="str">
        <f>"2"</f>
        <v>2</v>
      </c>
      <c r="H161" s="1" t="str">
        <f>"1"</f>
        <v>1</v>
      </c>
      <c r="I161" s="4">
        <v>11020566.140000001</v>
      </c>
    </row>
    <row r="162" spans="1:9" ht="30" x14ac:dyDescent="0.25">
      <c r="A162" s="1">
        <v>157</v>
      </c>
      <c r="B162" s="2">
        <v>46142</v>
      </c>
      <c r="C162" s="1">
        <v>20</v>
      </c>
      <c r="D162" s="1" t="str">
        <f>"2703"</f>
        <v>2703</v>
      </c>
      <c r="E162" s="3" t="str">
        <f>"Начисленные расходы по займам, полученным от Правительства Республики Казахстан, местных исполнительных органов Республики Казахстан и национального управляющего холдинга"</f>
        <v>Начисленные расходы по займам, полученным от Правительства Республики Казахстан, местных исполнительных органов Республики Казахстан и национального управляющего холдинга</v>
      </c>
      <c r="F162" s="1" t="str">
        <f>"1"</f>
        <v>1</v>
      </c>
      <c r="G162" s="1" t="str">
        <f>"1"</f>
        <v>1</v>
      </c>
      <c r="H162" s="1" t="str">
        <f>"1"</f>
        <v>1</v>
      </c>
      <c r="I162" s="4">
        <v>93703117.200000003</v>
      </c>
    </row>
    <row r="163" spans="1:9" ht="30" x14ac:dyDescent="0.25">
      <c r="A163" s="1">
        <v>158</v>
      </c>
      <c r="B163" s="2">
        <v>46142</v>
      </c>
      <c r="C163" s="1">
        <v>20</v>
      </c>
      <c r="D163" s="1" t="str">
        <f>"2703"</f>
        <v>2703</v>
      </c>
      <c r="E163" s="3" t="str">
        <f>"Начисленные расходы по займам, полученным от Правительства Республики Казахстан, местных исполнительных органов Республики Казахстан и национального управляющего холдинга"</f>
        <v>Начисленные расходы по займам, полученным от Правительства Республики Казахстан, местных исполнительных органов Республики Казахстан и национального управляющего холдинга</v>
      </c>
      <c r="F163" s="1" t="str">
        <f>"1"</f>
        <v>1</v>
      </c>
      <c r="G163" s="1" t="str">
        <f>"6"</f>
        <v>6</v>
      </c>
      <c r="H163" s="1" t="str">
        <f>"1"</f>
        <v>1</v>
      </c>
      <c r="I163" s="4">
        <v>3208333.33</v>
      </c>
    </row>
    <row r="164" spans="1:9" x14ac:dyDescent="0.25">
      <c r="A164" s="1">
        <v>159</v>
      </c>
      <c r="B164" s="2">
        <v>46142</v>
      </c>
      <c r="C164" s="1">
        <v>20</v>
      </c>
      <c r="D164" s="1" t="str">
        <f>"2704"</f>
        <v>2704</v>
      </c>
      <c r="E164" s="3" t="str">
        <f>"Начисленные расходы по займам, полученным от международных финансовых организаций"</f>
        <v>Начисленные расходы по займам, полученным от международных финансовых организаций</v>
      </c>
      <c r="F164" s="1" t="str">
        <f>"2"</f>
        <v>2</v>
      </c>
      <c r="G164" s="1" t="str">
        <f>"3"</f>
        <v>3</v>
      </c>
      <c r="H164" s="1" t="str">
        <f>"1"</f>
        <v>1</v>
      </c>
      <c r="I164" s="4">
        <v>589487649.99000001</v>
      </c>
    </row>
    <row r="165" spans="1:9" x14ac:dyDescent="0.25">
      <c r="A165" s="1">
        <v>160</v>
      </c>
      <c r="B165" s="2">
        <v>46142</v>
      </c>
      <c r="C165" s="1">
        <v>20</v>
      </c>
      <c r="D165" s="1" t="str">
        <f>"2721"</f>
        <v>2721</v>
      </c>
      <c r="E165" s="3" t="str">
        <f>"Начисленные расходы по срочным вкладам клиентов"</f>
        <v>Начисленные расходы по срочным вкладам клиентов</v>
      </c>
      <c r="F165" s="1" t="str">
        <f>"2"</f>
        <v>2</v>
      </c>
      <c r="G165" s="1" t="str">
        <f>"9"</f>
        <v>9</v>
      </c>
      <c r="H165" s="1" t="str">
        <f>"1"</f>
        <v>1</v>
      </c>
      <c r="I165" s="4">
        <v>242586.41</v>
      </c>
    </row>
    <row r="166" spans="1:9" x14ac:dyDescent="0.25">
      <c r="A166" s="1">
        <v>161</v>
      </c>
      <c r="B166" s="2">
        <v>46142</v>
      </c>
      <c r="C166" s="1">
        <v>20</v>
      </c>
      <c r="D166" s="1" t="str">
        <f>"2721"</f>
        <v>2721</v>
      </c>
      <c r="E166" s="3" t="str">
        <f>"Начисленные расходы по срочным вкладам клиентов"</f>
        <v>Начисленные расходы по срочным вкладам клиентов</v>
      </c>
      <c r="F166" s="1" t="str">
        <f>"1"</f>
        <v>1</v>
      </c>
      <c r="G166" s="1" t="str">
        <f>"7"</f>
        <v>7</v>
      </c>
      <c r="H166" s="1" t="str">
        <f>"1"</f>
        <v>1</v>
      </c>
      <c r="I166" s="4">
        <v>3328475.83</v>
      </c>
    </row>
    <row r="167" spans="1:9" x14ac:dyDescent="0.25">
      <c r="A167" s="1">
        <v>162</v>
      </c>
      <c r="B167" s="2">
        <v>46142</v>
      </c>
      <c r="C167" s="1">
        <v>20</v>
      </c>
      <c r="D167" s="1" t="str">
        <f>"2721"</f>
        <v>2721</v>
      </c>
      <c r="E167" s="3" t="str">
        <f>"Начисленные расходы по срочным вкладам клиентов"</f>
        <v>Начисленные расходы по срочным вкладам клиентов</v>
      </c>
      <c r="F167" s="1" t="str">
        <f>"1"</f>
        <v>1</v>
      </c>
      <c r="G167" s="1" t="str">
        <f>"9"</f>
        <v>9</v>
      </c>
      <c r="H167" s="1" t="str">
        <f>"1"</f>
        <v>1</v>
      </c>
      <c r="I167" s="4">
        <v>12124386251.129999</v>
      </c>
    </row>
    <row r="168" spans="1:9" x14ac:dyDescent="0.25">
      <c r="A168" s="1">
        <v>163</v>
      </c>
      <c r="B168" s="2">
        <v>46142</v>
      </c>
      <c r="C168" s="1">
        <v>20</v>
      </c>
      <c r="D168" s="1" t="str">
        <f>"2723"</f>
        <v>2723</v>
      </c>
      <c r="E168" s="3" t="str">
        <f>"Начисленные расходы по вкладу, являющемуся обеспечением обязательств клиентов"</f>
        <v>Начисленные расходы по вкладу, являющемуся обеспечением обязательств клиентов</v>
      </c>
      <c r="F168" s="1" t="str">
        <f>"2"</f>
        <v>2</v>
      </c>
      <c r="G168" s="1" t="str">
        <f>"9"</f>
        <v>9</v>
      </c>
      <c r="H168" s="1" t="str">
        <f>"1"</f>
        <v>1</v>
      </c>
      <c r="I168" s="4">
        <v>22058.99</v>
      </c>
    </row>
    <row r="169" spans="1:9" x14ac:dyDescent="0.25">
      <c r="A169" s="1">
        <v>164</v>
      </c>
      <c r="B169" s="2">
        <v>46142</v>
      </c>
      <c r="C169" s="1">
        <v>20</v>
      </c>
      <c r="D169" s="1" t="str">
        <f>"2723"</f>
        <v>2723</v>
      </c>
      <c r="E169" s="3" t="str">
        <f>"Начисленные расходы по вкладу, являющемуся обеспечением обязательств клиентов"</f>
        <v>Начисленные расходы по вкладу, являющемуся обеспечением обязательств клиентов</v>
      </c>
      <c r="F169" s="1" t="str">
        <f>"1"</f>
        <v>1</v>
      </c>
      <c r="G169" s="1" t="str">
        <f>"9"</f>
        <v>9</v>
      </c>
      <c r="H169" s="1" t="str">
        <f>"1"</f>
        <v>1</v>
      </c>
      <c r="I169" s="4">
        <v>7309302536.8299999</v>
      </c>
    </row>
    <row r="170" spans="1:9" x14ac:dyDescent="0.25">
      <c r="A170" s="1">
        <v>165</v>
      </c>
      <c r="B170" s="2">
        <v>46142</v>
      </c>
      <c r="C170" s="1">
        <v>20</v>
      </c>
      <c r="D170" s="1" t="str">
        <f>"2730"</f>
        <v>2730</v>
      </c>
      <c r="E170" s="3" t="str">
        <f>"Начисленные расходы по выпущенным в обращение ценным бумагам"</f>
        <v>Начисленные расходы по выпущенным в обращение ценным бумагам</v>
      </c>
      <c r="F170" s="1" t="str">
        <f>"1"</f>
        <v>1</v>
      </c>
      <c r="G170" s="1" t="str">
        <f>"5"</f>
        <v>5</v>
      </c>
      <c r="H170" s="1" t="str">
        <f>"1"</f>
        <v>1</v>
      </c>
      <c r="I170" s="4">
        <v>28321147379</v>
      </c>
    </row>
    <row r="171" spans="1:9" x14ac:dyDescent="0.25">
      <c r="A171" s="1">
        <v>166</v>
      </c>
      <c r="B171" s="2">
        <v>46142</v>
      </c>
      <c r="C171" s="1">
        <v>20</v>
      </c>
      <c r="D171" s="1" t="str">
        <f>"2730"</f>
        <v>2730</v>
      </c>
      <c r="E171" s="3" t="str">
        <f>"Начисленные расходы по выпущенным в обращение ценным бумагам"</f>
        <v>Начисленные расходы по выпущенным в обращение ценным бумагам</v>
      </c>
      <c r="F171" s="1" t="str">
        <f>"1"</f>
        <v>1</v>
      </c>
      <c r="G171" s="1" t="str">
        <f>"6"</f>
        <v>6</v>
      </c>
      <c r="H171" s="1" t="str">
        <f>"1"</f>
        <v>1</v>
      </c>
      <c r="I171" s="4">
        <v>3098387555.5599999</v>
      </c>
    </row>
    <row r="172" spans="1:9" x14ac:dyDescent="0.25">
      <c r="A172" s="1">
        <v>167</v>
      </c>
      <c r="B172" s="2">
        <v>46142</v>
      </c>
      <c r="C172" s="1">
        <v>20</v>
      </c>
      <c r="D172" s="1" t="str">
        <f>"2731"</f>
        <v>2731</v>
      </c>
      <c r="E172" s="3" t="str">
        <f>"Начисленные расходы по прочим операциям"</f>
        <v>Начисленные расходы по прочим операциям</v>
      </c>
      <c r="F172" s="1" t="str">
        <f>"1"</f>
        <v>1</v>
      </c>
      <c r="G172" s="1" t="str">
        <f>"6"</f>
        <v>6</v>
      </c>
      <c r="H172" s="1" t="str">
        <f>"1"</f>
        <v>1</v>
      </c>
      <c r="I172" s="4">
        <v>6888.89</v>
      </c>
    </row>
    <row r="173" spans="1:9" x14ac:dyDescent="0.25">
      <c r="A173" s="1">
        <v>168</v>
      </c>
      <c r="B173" s="2">
        <v>46142</v>
      </c>
      <c r="C173" s="1">
        <v>20</v>
      </c>
      <c r="D173" s="1" t="str">
        <f>"2731"</f>
        <v>2731</v>
      </c>
      <c r="E173" s="3" t="str">
        <f>"Начисленные расходы по прочим операциям"</f>
        <v>Начисленные расходы по прочим операциям</v>
      </c>
      <c r="F173" s="1" t="str">
        <f>"1"</f>
        <v>1</v>
      </c>
      <c r="G173" s="1" t="str">
        <f>"8"</f>
        <v>8</v>
      </c>
      <c r="H173" s="1" t="str">
        <f>"1"</f>
        <v>1</v>
      </c>
      <c r="I173" s="4">
        <v>14690.41</v>
      </c>
    </row>
    <row r="174" spans="1:9" x14ac:dyDescent="0.25">
      <c r="A174" s="1">
        <v>169</v>
      </c>
      <c r="B174" s="2">
        <v>46142</v>
      </c>
      <c r="C174" s="1">
        <v>20</v>
      </c>
      <c r="D174" s="1" t="str">
        <f>"2731"</f>
        <v>2731</v>
      </c>
      <c r="E174" s="3" t="str">
        <f>"Начисленные расходы по прочим операциям"</f>
        <v>Начисленные расходы по прочим операциям</v>
      </c>
      <c r="F174" s="1" t="str">
        <f>"1"</f>
        <v>1</v>
      </c>
      <c r="G174" s="1" t="str">
        <f>"7"</f>
        <v>7</v>
      </c>
      <c r="H174" s="1" t="str">
        <f>"1"</f>
        <v>1</v>
      </c>
      <c r="I174" s="4">
        <v>155712.38</v>
      </c>
    </row>
    <row r="175" spans="1:9" x14ac:dyDescent="0.25">
      <c r="A175" s="1">
        <v>170</v>
      </c>
      <c r="B175" s="2">
        <v>46142</v>
      </c>
      <c r="C175" s="1">
        <v>20</v>
      </c>
      <c r="D175" s="1" t="str">
        <f>"2745"</f>
        <v>2745</v>
      </c>
      <c r="E175" s="3" t="str">
        <f>"Начисленные процентные расходы по обязательствам по аренде"</f>
        <v>Начисленные процентные расходы по обязательствам по аренде</v>
      </c>
      <c r="F175" s="1" t="str">
        <f>"1"</f>
        <v>1</v>
      </c>
      <c r="G175" s="1" t="str">
        <f>"9"</f>
        <v>9</v>
      </c>
      <c r="H175" s="1" t="str">
        <f>"1"</f>
        <v>1</v>
      </c>
      <c r="I175" s="4">
        <v>15635910.949999999</v>
      </c>
    </row>
    <row r="176" spans="1:9" x14ac:dyDescent="0.25">
      <c r="A176" s="1">
        <v>171</v>
      </c>
      <c r="B176" s="2">
        <v>46142</v>
      </c>
      <c r="C176" s="1">
        <v>20</v>
      </c>
      <c r="D176" s="1" t="str">
        <f>"2745"</f>
        <v>2745</v>
      </c>
      <c r="E176" s="3" t="str">
        <f>"Начисленные процентные расходы по обязательствам по аренде"</f>
        <v>Начисленные процентные расходы по обязательствам по аренде</v>
      </c>
      <c r="F176" s="1" t="str">
        <f>"1"</f>
        <v>1</v>
      </c>
      <c r="G176" s="1" t="str">
        <f>"7"</f>
        <v>7</v>
      </c>
      <c r="H176" s="1" t="str">
        <f>"1"</f>
        <v>1</v>
      </c>
      <c r="I176" s="4">
        <v>3847271.15</v>
      </c>
    </row>
    <row r="177" spans="1:9" x14ac:dyDescent="0.25">
      <c r="A177" s="1">
        <v>172</v>
      </c>
      <c r="B177" s="2">
        <v>46142</v>
      </c>
      <c r="C177" s="1">
        <v>20</v>
      </c>
      <c r="D177" s="1" t="str">
        <f>"2770"</f>
        <v>2770</v>
      </c>
      <c r="E177" s="3" t="str">
        <f>"Начисленные расходы по административно-хозяйственной деятельности"</f>
        <v>Начисленные расходы по административно-хозяйственной деятельности</v>
      </c>
      <c r="F177" s="1" t="str">
        <f>"1"</f>
        <v>1</v>
      </c>
      <c r="G177" s="1" t="str">
        <f>"6"</f>
        <v>6</v>
      </c>
      <c r="H177" s="1" t="str">
        <f>"1"</f>
        <v>1</v>
      </c>
      <c r="I177" s="4">
        <v>34270007.049999997</v>
      </c>
    </row>
    <row r="178" spans="1:9" x14ac:dyDescent="0.25">
      <c r="A178" s="1">
        <v>173</v>
      </c>
      <c r="B178" s="2">
        <v>46142</v>
      </c>
      <c r="C178" s="1">
        <v>20</v>
      </c>
      <c r="D178" s="1" t="str">
        <f>"2770"</f>
        <v>2770</v>
      </c>
      <c r="E178" s="3" t="str">
        <f>"Начисленные расходы по административно-хозяйственной деятельности"</f>
        <v>Начисленные расходы по административно-хозяйственной деятельности</v>
      </c>
      <c r="F178" s="1" t="str">
        <f>"1"</f>
        <v>1</v>
      </c>
      <c r="G178" s="1" t="str">
        <f>"5"</f>
        <v>5</v>
      </c>
      <c r="H178" s="1" t="str">
        <f>"1"</f>
        <v>1</v>
      </c>
      <c r="I178" s="4">
        <v>44177972.670000002</v>
      </c>
    </row>
    <row r="179" spans="1:9" x14ac:dyDescent="0.25">
      <c r="A179" s="1">
        <v>174</v>
      </c>
      <c r="B179" s="2">
        <v>46142</v>
      </c>
      <c r="C179" s="1">
        <v>20</v>
      </c>
      <c r="D179" s="1" t="str">
        <f>"2770"</f>
        <v>2770</v>
      </c>
      <c r="E179" s="3" t="str">
        <f>"Начисленные расходы по административно-хозяйственной деятельности"</f>
        <v>Начисленные расходы по административно-хозяйственной деятельности</v>
      </c>
      <c r="F179" s="1" t="str">
        <f>"1"</f>
        <v>1</v>
      </c>
      <c r="G179" s="1" t="str">
        <f>"7"</f>
        <v>7</v>
      </c>
      <c r="H179" s="1" t="str">
        <f>"1"</f>
        <v>1</v>
      </c>
      <c r="I179" s="4">
        <v>240032775.25</v>
      </c>
    </row>
    <row r="180" spans="1:9" x14ac:dyDescent="0.25">
      <c r="A180" s="1">
        <v>175</v>
      </c>
      <c r="B180" s="2">
        <v>46142</v>
      </c>
      <c r="C180" s="1">
        <v>20</v>
      </c>
      <c r="D180" s="1" t="str">
        <f>"2770"</f>
        <v>2770</v>
      </c>
      <c r="E180" s="3" t="str">
        <f>"Начисленные расходы по административно-хозяйственной деятельности"</f>
        <v>Начисленные расходы по административно-хозяйственной деятельности</v>
      </c>
      <c r="F180" s="1" t="str">
        <f>"1"</f>
        <v>1</v>
      </c>
      <c r="G180" s="1" t="str">
        <f>"8"</f>
        <v>8</v>
      </c>
      <c r="H180" s="1" t="str">
        <f>"1"</f>
        <v>1</v>
      </c>
      <c r="I180" s="4">
        <v>3169181.03</v>
      </c>
    </row>
    <row r="181" spans="1:9" x14ac:dyDescent="0.25">
      <c r="A181" s="1">
        <v>176</v>
      </c>
      <c r="B181" s="2">
        <v>46142</v>
      </c>
      <c r="C181" s="1">
        <v>20</v>
      </c>
      <c r="D181" s="1" t="str">
        <f>"2770"</f>
        <v>2770</v>
      </c>
      <c r="E181" s="3" t="str">
        <f>"Начисленные расходы по административно-хозяйственной деятельности"</f>
        <v>Начисленные расходы по административно-хозяйственной деятельности</v>
      </c>
      <c r="F181" s="1" t="str">
        <f>"1"</f>
        <v>1</v>
      </c>
      <c r="G181" s="1" t="str">
        <f>"9"</f>
        <v>9</v>
      </c>
      <c r="H181" s="1" t="str">
        <f>"1"</f>
        <v>1</v>
      </c>
      <c r="I181" s="4">
        <v>69304370.480000004</v>
      </c>
    </row>
    <row r="182" spans="1:9" x14ac:dyDescent="0.25">
      <c r="A182" s="1">
        <v>177</v>
      </c>
      <c r="B182" s="2">
        <v>46142</v>
      </c>
      <c r="C182" s="1">
        <v>20</v>
      </c>
      <c r="D182" s="1" t="str">
        <f>"2770"</f>
        <v>2770</v>
      </c>
      <c r="E182" s="3" t="str">
        <f>"Начисленные расходы по административно-хозяйственной деятельности"</f>
        <v>Начисленные расходы по административно-хозяйственной деятельности</v>
      </c>
      <c r="F182" s="1" t="str">
        <f>"2"</f>
        <v>2</v>
      </c>
      <c r="G182" s="1" t="str">
        <f>"7"</f>
        <v>7</v>
      </c>
      <c r="H182" s="1" t="str">
        <f>"1"</f>
        <v>1</v>
      </c>
      <c r="I182" s="4">
        <v>76654184.299999997</v>
      </c>
    </row>
    <row r="183" spans="1:9" x14ac:dyDescent="0.25">
      <c r="A183" s="1">
        <v>178</v>
      </c>
      <c r="B183" s="2">
        <v>46142</v>
      </c>
      <c r="C183" s="1">
        <v>20</v>
      </c>
      <c r="D183" s="1" t="str">
        <f>"2792"</f>
        <v>2792</v>
      </c>
      <c r="E183" s="3" t="str">
        <f>"Предоплата по предоставленным займам"</f>
        <v>Предоплата по предоставленным займам</v>
      </c>
      <c r="F183" s="1" t="str">
        <f>"1"</f>
        <v>1</v>
      </c>
      <c r="G183" s="1" t="str">
        <f>"9"</f>
        <v>9</v>
      </c>
      <c r="H183" s="1" t="str">
        <f>"1"</f>
        <v>1</v>
      </c>
      <c r="I183" s="4">
        <v>165905092.59</v>
      </c>
    </row>
    <row r="184" spans="1:9" x14ac:dyDescent="0.25">
      <c r="A184" s="1">
        <v>179</v>
      </c>
      <c r="B184" s="2">
        <v>46142</v>
      </c>
      <c r="C184" s="1">
        <v>20</v>
      </c>
      <c r="D184" s="1" t="str">
        <f>"2792"</f>
        <v>2792</v>
      </c>
      <c r="E184" s="3" t="str">
        <f>"Предоплата по предоставленным займам"</f>
        <v>Предоплата по предоставленным займам</v>
      </c>
      <c r="F184" s="1" t="str">
        <f>"2"</f>
        <v>2</v>
      </c>
      <c r="G184" s="1" t="str">
        <f>"9"</f>
        <v>9</v>
      </c>
      <c r="H184" s="1" t="str">
        <f>"1"</f>
        <v>1</v>
      </c>
      <c r="I184" s="4">
        <v>409190.40000000002</v>
      </c>
    </row>
    <row r="185" spans="1:9" x14ac:dyDescent="0.25">
      <c r="A185" s="1">
        <v>180</v>
      </c>
      <c r="B185" s="2">
        <v>46142</v>
      </c>
      <c r="C185" s="1">
        <v>20</v>
      </c>
      <c r="D185" s="1" t="str">
        <f>"2794"</f>
        <v>2794</v>
      </c>
      <c r="E185" s="3" t="str">
        <f>"Доходы будущих периодов"</f>
        <v>Доходы будущих периодов</v>
      </c>
      <c r="F185" s="1" t="str">
        <f>"1"</f>
        <v>1</v>
      </c>
      <c r="G185" s="1" t="str">
        <f>"2"</f>
        <v>2</v>
      </c>
      <c r="H185" s="1" t="str">
        <f>"1"</f>
        <v>1</v>
      </c>
      <c r="I185" s="4">
        <v>4327852487.3500004</v>
      </c>
    </row>
    <row r="186" spans="1:9" x14ac:dyDescent="0.25">
      <c r="A186" s="1">
        <v>181</v>
      </c>
      <c r="B186" s="2">
        <v>46142</v>
      </c>
      <c r="C186" s="1">
        <v>20</v>
      </c>
      <c r="D186" s="1" t="str">
        <f>"2794"</f>
        <v>2794</v>
      </c>
      <c r="E186" s="3" t="str">
        <f>"Доходы будущих периодов"</f>
        <v>Доходы будущих периодов</v>
      </c>
      <c r="F186" s="1" t="str">
        <f>"1"</f>
        <v>1</v>
      </c>
      <c r="G186" s="1" t="str">
        <f>"9"</f>
        <v>9</v>
      </c>
      <c r="H186" s="1" t="str">
        <f>"1"</f>
        <v>1</v>
      </c>
      <c r="I186" s="4">
        <v>1271088921.6500001</v>
      </c>
    </row>
    <row r="187" spans="1:9" x14ac:dyDescent="0.25">
      <c r="A187" s="1">
        <v>182</v>
      </c>
      <c r="B187" s="2">
        <v>46142</v>
      </c>
      <c r="C187" s="1">
        <v>20</v>
      </c>
      <c r="D187" s="1" t="str">
        <f>"2794"</f>
        <v>2794</v>
      </c>
      <c r="E187" s="3" t="str">
        <f>"Доходы будущих периодов"</f>
        <v>Доходы будущих периодов</v>
      </c>
      <c r="F187" s="1" t="str">
        <f>"1"</f>
        <v>1</v>
      </c>
      <c r="G187" s="1" t="str">
        <f>"1"</f>
        <v>1</v>
      </c>
      <c r="H187" s="1" t="str">
        <f>"1"</f>
        <v>1</v>
      </c>
      <c r="I187" s="4">
        <v>155446127305.97</v>
      </c>
    </row>
    <row r="188" spans="1:9" x14ac:dyDescent="0.25">
      <c r="A188" s="1">
        <v>183</v>
      </c>
      <c r="B188" s="2">
        <v>46142</v>
      </c>
      <c r="C188" s="1">
        <v>20</v>
      </c>
      <c r="D188" s="1" t="str">
        <f>"2794"</f>
        <v>2794</v>
      </c>
      <c r="E188" s="3" t="str">
        <f>"Доходы будущих периодов"</f>
        <v>Доходы будущих периодов</v>
      </c>
      <c r="F188" s="1" t="str">
        <f>"1"</f>
        <v>1</v>
      </c>
      <c r="G188" s="1" t="str">
        <f>"7"</f>
        <v>7</v>
      </c>
      <c r="H188" s="1" t="str">
        <f>"1"</f>
        <v>1</v>
      </c>
      <c r="I188" s="4">
        <v>279236026.57999998</v>
      </c>
    </row>
    <row r="189" spans="1:9" x14ac:dyDescent="0.25">
      <c r="A189" s="1">
        <v>184</v>
      </c>
      <c r="B189" s="2">
        <v>46142</v>
      </c>
      <c r="C189" s="1">
        <v>20</v>
      </c>
      <c r="D189" s="1" t="str">
        <f>"2794"</f>
        <v>2794</v>
      </c>
      <c r="E189" s="3" t="str">
        <f>"Доходы будущих периодов"</f>
        <v>Доходы будущих периодов</v>
      </c>
      <c r="F189" s="1" t="str">
        <f>"1"</f>
        <v>1</v>
      </c>
      <c r="G189" s="1" t="str">
        <f>"5"</f>
        <v>5</v>
      </c>
      <c r="H189" s="1" t="str">
        <f>"1"</f>
        <v>1</v>
      </c>
      <c r="I189" s="4">
        <v>1334530258</v>
      </c>
    </row>
    <row r="190" spans="1:9" x14ac:dyDescent="0.25">
      <c r="A190" s="1">
        <v>185</v>
      </c>
      <c r="B190" s="2">
        <v>46142</v>
      </c>
      <c r="C190" s="1">
        <v>20</v>
      </c>
      <c r="D190" s="1" t="str">
        <f>"2794"</f>
        <v>2794</v>
      </c>
      <c r="E190" s="3" t="str">
        <f>"Доходы будущих периодов"</f>
        <v>Доходы будущих периодов</v>
      </c>
      <c r="F190" s="1" t="str">
        <f>"1"</f>
        <v>1</v>
      </c>
      <c r="G190" s="1" t="str">
        <f>"6"</f>
        <v>6</v>
      </c>
      <c r="H190" s="1" t="str">
        <f>"1"</f>
        <v>1</v>
      </c>
      <c r="I190" s="4">
        <v>92142195445.929993</v>
      </c>
    </row>
    <row r="191" spans="1:9" x14ac:dyDescent="0.25">
      <c r="A191" s="1">
        <v>186</v>
      </c>
      <c r="B191" s="2">
        <v>46142</v>
      </c>
      <c r="C191" s="1">
        <v>20</v>
      </c>
      <c r="D191" s="1" t="str">
        <f>"2794"</f>
        <v>2794</v>
      </c>
      <c r="E191" s="3" t="str">
        <f>"Доходы будущих периодов"</f>
        <v>Доходы будущих периодов</v>
      </c>
      <c r="F191" s="1" t="str">
        <f>"2"</f>
        <v>2</v>
      </c>
      <c r="G191" s="1" t="str">
        <f>"9"</f>
        <v>9</v>
      </c>
      <c r="H191" s="1" t="str">
        <f>"1"</f>
        <v>1</v>
      </c>
      <c r="I191" s="4">
        <v>469902.5</v>
      </c>
    </row>
    <row r="192" spans="1:9" x14ac:dyDescent="0.25">
      <c r="A192" s="1">
        <v>187</v>
      </c>
      <c r="B192" s="2">
        <v>46142</v>
      </c>
      <c r="C192" s="1">
        <v>20</v>
      </c>
      <c r="D192" s="1" t="str">
        <f>"2799"</f>
        <v>2799</v>
      </c>
      <c r="E192" s="3" t="str">
        <f>"Прочие предоплаты"</f>
        <v>Прочие предоплаты</v>
      </c>
      <c r="F192" s="1" t="str">
        <f>"1"</f>
        <v>1</v>
      </c>
      <c r="G192" s="1" t="str">
        <f>"2"</f>
        <v>2</v>
      </c>
      <c r="H192" s="1" t="str">
        <f>"1"</f>
        <v>1</v>
      </c>
      <c r="I192" s="4">
        <v>534.45000000000005</v>
      </c>
    </row>
    <row r="193" spans="1:9" x14ac:dyDescent="0.25">
      <c r="A193" s="1">
        <v>188</v>
      </c>
      <c r="B193" s="2">
        <v>46142</v>
      </c>
      <c r="C193" s="1">
        <v>20</v>
      </c>
      <c r="D193" s="1" t="str">
        <f>"2811"</f>
        <v>2811</v>
      </c>
      <c r="E193" s="3" t="str">
        <f>"Начисленные комиссионные расходы по услугам по переводным операциям"</f>
        <v>Начисленные комиссионные расходы по услугам по переводным операциям</v>
      </c>
      <c r="F193" s="1" t="str">
        <f>"1"</f>
        <v>1</v>
      </c>
      <c r="G193" s="1" t="str">
        <f>""</f>
        <v/>
      </c>
      <c r="H193" s="1" t="str">
        <f>"1"</f>
        <v>1</v>
      </c>
      <c r="I193" s="4">
        <v>60350</v>
      </c>
    </row>
    <row r="194" spans="1:9" x14ac:dyDescent="0.25">
      <c r="A194" s="1">
        <v>189</v>
      </c>
      <c r="B194" s="2">
        <v>46142</v>
      </c>
      <c r="C194" s="1">
        <v>20</v>
      </c>
      <c r="D194" s="1" t="str">
        <f>"2812"</f>
        <v>2812</v>
      </c>
      <c r="E194" s="3" t="str">
        <f>"Начисленные комиссионные расходы по агентским услугам"</f>
        <v>Начисленные комиссионные расходы по агентским услугам</v>
      </c>
      <c r="F194" s="1" t="str">
        <f>"1"</f>
        <v>1</v>
      </c>
      <c r="G194" s="1" t="str">
        <f>""</f>
        <v/>
      </c>
      <c r="H194" s="1" t="str">
        <f>"1"</f>
        <v>1</v>
      </c>
      <c r="I194" s="4">
        <v>653087980</v>
      </c>
    </row>
    <row r="195" spans="1:9" x14ac:dyDescent="0.25">
      <c r="A195" s="1">
        <v>190</v>
      </c>
      <c r="B195" s="2">
        <v>46142</v>
      </c>
      <c r="C195" s="1">
        <v>20</v>
      </c>
      <c r="D195" s="1" t="str">
        <f>"2813"</f>
        <v>2813</v>
      </c>
      <c r="E195" s="3" t="str">
        <f>"Начисленные комиссионные расходы по услугам  по купле-продаже ценных бумаг"</f>
        <v>Начисленные комиссионные расходы по услугам  по купле-продаже ценных бумаг</v>
      </c>
      <c r="F195" s="1" t="str">
        <f>"1"</f>
        <v>1</v>
      </c>
      <c r="G195" s="1" t="str">
        <f>""</f>
        <v/>
      </c>
      <c r="H195" s="1" t="str">
        <f>"1"</f>
        <v>1</v>
      </c>
      <c r="I195" s="4">
        <v>352199.97</v>
      </c>
    </row>
    <row r="196" spans="1:9" x14ac:dyDescent="0.25">
      <c r="A196" s="1">
        <v>191</v>
      </c>
      <c r="B196" s="2">
        <v>46142</v>
      </c>
      <c r="C196" s="1">
        <v>20</v>
      </c>
      <c r="D196" s="1" t="str">
        <f>"2851"</f>
        <v>2851</v>
      </c>
      <c r="E196" s="3" t="str">
        <f>"Расчеты по налогам и другим обязательным платежам в бюджет"</f>
        <v>Расчеты по налогам и другим обязательным платежам в бюджет</v>
      </c>
      <c r="F196" s="1" t="str">
        <f>"1"</f>
        <v>1</v>
      </c>
      <c r="G196" s="1" t="str">
        <f>"1"</f>
        <v>1</v>
      </c>
      <c r="H196" s="1" t="str">
        <f>"1"</f>
        <v>1</v>
      </c>
      <c r="I196" s="4">
        <v>1373496465.73</v>
      </c>
    </row>
    <row r="197" spans="1:9" x14ac:dyDescent="0.25">
      <c r="A197" s="1">
        <v>192</v>
      </c>
      <c r="B197" s="2">
        <v>46142</v>
      </c>
      <c r="C197" s="1">
        <v>20</v>
      </c>
      <c r="D197" s="1" t="str">
        <f>"2854"</f>
        <v>2854</v>
      </c>
      <c r="E197" s="3" t="str">
        <f>"Расчеты с работниками"</f>
        <v>Расчеты с работниками</v>
      </c>
      <c r="F197" s="1" t="str">
        <f>""</f>
        <v/>
      </c>
      <c r="G197" s="1" t="str">
        <f>""</f>
        <v/>
      </c>
      <c r="H197" s="1" t="str">
        <f>""</f>
        <v/>
      </c>
      <c r="I197" s="4">
        <v>1094902156.6800001</v>
      </c>
    </row>
    <row r="198" spans="1:9" x14ac:dyDescent="0.25">
      <c r="A198" s="1">
        <v>193</v>
      </c>
      <c r="B198" s="2">
        <v>46142</v>
      </c>
      <c r="C198" s="1">
        <v>20</v>
      </c>
      <c r="D198" s="1" t="str">
        <f>"2856"</f>
        <v>2856</v>
      </c>
      <c r="E198" s="3" t="str">
        <f>"Кредиторы по капитальным вложениям"</f>
        <v>Кредиторы по капитальным вложениям</v>
      </c>
      <c r="F198" s="1" t="str">
        <f>"1"</f>
        <v>1</v>
      </c>
      <c r="G198" s="1" t="str">
        <f>"7"</f>
        <v>7</v>
      </c>
      <c r="H198" s="1" t="str">
        <f>"1"</f>
        <v>1</v>
      </c>
      <c r="I198" s="4">
        <v>3567000</v>
      </c>
    </row>
    <row r="199" spans="1:9" x14ac:dyDescent="0.25">
      <c r="A199" s="1">
        <v>194</v>
      </c>
      <c r="B199" s="2">
        <v>46142</v>
      </c>
      <c r="C199" s="1">
        <v>20</v>
      </c>
      <c r="D199" s="1" t="str">
        <f>"2857"</f>
        <v>2857</v>
      </c>
      <c r="E199" s="3" t="str">
        <f>"Отложенные налоговые обязательства"</f>
        <v>Отложенные налоговые обязательства</v>
      </c>
      <c r="F199" s="1" t="str">
        <f>""</f>
        <v/>
      </c>
      <c r="G199" s="1" t="str">
        <f>""</f>
        <v/>
      </c>
      <c r="H199" s="1" t="str">
        <f>""</f>
        <v/>
      </c>
      <c r="I199" s="4">
        <v>69946566757.380005</v>
      </c>
    </row>
    <row r="200" spans="1:9" x14ac:dyDescent="0.25">
      <c r="A200" s="1">
        <v>195</v>
      </c>
      <c r="B200" s="2">
        <v>46142</v>
      </c>
      <c r="C200" s="1">
        <v>20</v>
      </c>
      <c r="D200" s="1" t="str">
        <f>"2860"</f>
        <v>2860</v>
      </c>
      <c r="E200" s="3" t="str">
        <f>"Прочие кредиторы по банковской деятельности"</f>
        <v>Прочие кредиторы по банковской деятельности</v>
      </c>
      <c r="F200" s="1" t="str">
        <f>"1"</f>
        <v>1</v>
      </c>
      <c r="G200" s="1" t="str">
        <f>"1"</f>
        <v>1</v>
      </c>
      <c r="H200" s="1" t="str">
        <f>"1"</f>
        <v>1</v>
      </c>
      <c r="I200" s="4">
        <v>57282520.979999997</v>
      </c>
    </row>
    <row r="201" spans="1:9" x14ac:dyDescent="0.25">
      <c r="A201" s="1">
        <v>196</v>
      </c>
      <c r="B201" s="2">
        <v>46142</v>
      </c>
      <c r="C201" s="1">
        <v>20</v>
      </c>
      <c r="D201" s="1" t="str">
        <f>"2860"</f>
        <v>2860</v>
      </c>
      <c r="E201" s="3" t="str">
        <f>"Прочие кредиторы по банковской деятельности"</f>
        <v>Прочие кредиторы по банковской деятельности</v>
      </c>
      <c r="F201" s="1" t="str">
        <f>"1"</f>
        <v>1</v>
      </c>
      <c r="G201" s="1" t="str">
        <f>"5"</f>
        <v>5</v>
      </c>
      <c r="H201" s="1" t="str">
        <f>"1"</f>
        <v>1</v>
      </c>
      <c r="I201" s="4">
        <v>869048921.66999996</v>
      </c>
    </row>
    <row r="202" spans="1:9" x14ac:dyDescent="0.25">
      <c r="A202" s="1">
        <v>197</v>
      </c>
      <c r="B202" s="2">
        <v>46142</v>
      </c>
      <c r="C202" s="1">
        <v>20</v>
      </c>
      <c r="D202" s="1" t="str">
        <f>"2860"</f>
        <v>2860</v>
      </c>
      <c r="E202" s="3" t="str">
        <f>"Прочие кредиторы по банковской деятельности"</f>
        <v>Прочие кредиторы по банковской деятельности</v>
      </c>
      <c r="F202" s="1" t="str">
        <f>"1"</f>
        <v>1</v>
      </c>
      <c r="G202" s="1" t="str">
        <f>"8"</f>
        <v>8</v>
      </c>
      <c r="H202" s="1" t="str">
        <f>"1"</f>
        <v>1</v>
      </c>
      <c r="I202" s="4">
        <v>176495166.83000001</v>
      </c>
    </row>
    <row r="203" spans="1:9" x14ac:dyDescent="0.25">
      <c r="A203" s="1">
        <v>198</v>
      </c>
      <c r="B203" s="2">
        <v>46142</v>
      </c>
      <c r="C203" s="1">
        <v>20</v>
      </c>
      <c r="D203" s="1" t="str">
        <f>"2860"</f>
        <v>2860</v>
      </c>
      <c r="E203" s="3" t="str">
        <f>"Прочие кредиторы по банковской деятельности"</f>
        <v>Прочие кредиторы по банковской деятельности</v>
      </c>
      <c r="F203" s="1" t="str">
        <f>"1"</f>
        <v>1</v>
      </c>
      <c r="G203" s="1" t="str">
        <f>"9"</f>
        <v>9</v>
      </c>
      <c r="H203" s="1" t="str">
        <f>"1"</f>
        <v>1</v>
      </c>
      <c r="I203" s="4">
        <v>28616946.109999999</v>
      </c>
    </row>
    <row r="204" spans="1:9" x14ac:dyDescent="0.25">
      <c r="A204" s="1">
        <v>199</v>
      </c>
      <c r="B204" s="2">
        <v>46142</v>
      </c>
      <c r="C204" s="1">
        <v>20</v>
      </c>
      <c r="D204" s="1" t="str">
        <f>"2860"</f>
        <v>2860</v>
      </c>
      <c r="E204" s="3" t="str">
        <f>"Прочие кредиторы по банковской деятельности"</f>
        <v>Прочие кредиторы по банковской деятельности</v>
      </c>
      <c r="F204" s="1" t="str">
        <f>"1"</f>
        <v>1</v>
      </c>
      <c r="G204" s="1" t="str">
        <f>"6"</f>
        <v>6</v>
      </c>
      <c r="H204" s="1" t="str">
        <f>"1"</f>
        <v>1</v>
      </c>
      <c r="I204" s="4">
        <v>57901101.490000002</v>
      </c>
    </row>
    <row r="205" spans="1:9" x14ac:dyDescent="0.25">
      <c r="A205" s="1">
        <v>200</v>
      </c>
      <c r="B205" s="2">
        <v>46142</v>
      </c>
      <c r="C205" s="1">
        <v>20</v>
      </c>
      <c r="D205" s="1" t="str">
        <f>"2860"</f>
        <v>2860</v>
      </c>
      <c r="E205" s="3" t="str">
        <f>"Прочие кредиторы по банковской деятельности"</f>
        <v>Прочие кредиторы по банковской деятельности</v>
      </c>
      <c r="F205" s="1" t="str">
        <f>"1"</f>
        <v>1</v>
      </c>
      <c r="G205" s="1" t="str">
        <f>"7"</f>
        <v>7</v>
      </c>
      <c r="H205" s="1" t="str">
        <f>"1"</f>
        <v>1</v>
      </c>
      <c r="I205" s="4">
        <v>1076184675.4400001</v>
      </c>
    </row>
    <row r="206" spans="1:9" x14ac:dyDescent="0.25">
      <c r="A206" s="1">
        <v>201</v>
      </c>
      <c r="B206" s="2">
        <v>46142</v>
      </c>
      <c r="C206" s="1">
        <v>20</v>
      </c>
      <c r="D206" s="1" t="str">
        <f>"2861"</f>
        <v>2861</v>
      </c>
      <c r="E206" s="3" t="str">
        <f>"Резерв на отпускные выплаты"</f>
        <v>Резерв на отпускные выплаты</v>
      </c>
      <c r="F206" s="1" t="str">
        <f>""</f>
        <v/>
      </c>
      <c r="G206" s="1" t="str">
        <f>""</f>
        <v/>
      </c>
      <c r="H206" s="1" t="str">
        <f>""</f>
        <v/>
      </c>
      <c r="I206" s="4">
        <v>2058167675.1800001</v>
      </c>
    </row>
    <row r="207" spans="1:9" x14ac:dyDescent="0.25">
      <c r="A207" s="1">
        <v>202</v>
      </c>
      <c r="B207" s="2">
        <v>46142</v>
      </c>
      <c r="C207" s="1">
        <v>20</v>
      </c>
      <c r="D207" s="1" t="str">
        <f>"2867"</f>
        <v>2867</v>
      </c>
      <c r="E207" s="3" t="str">
        <f>"Прочие кредиторы по неосновной деятельности"</f>
        <v>Прочие кредиторы по неосновной деятельности</v>
      </c>
      <c r="F207" s="1" t="str">
        <f>"1"</f>
        <v>1</v>
      </c>
      <c r="G207" s="1" t="str">
        <f>"7"</f>
        <v>7</v>
      </c>
      <c r="H207" s="1" t="str">
        <f>"1"</f>
        <v>1</v>
      </c>
      <c r="I207" s="4">
        <v>380157458.75999999</v>
      </c>
    </row>
    <row r="208" spans="1:9" x14ac:dyDescent="0.25">
      <c r="A208" s="1">
        <v>203</v>
      </c>
      <c r="B208" s="2">
        <v>46142</v>
      </c>
      <c r="C208" s="1">
        <v>20</v>
      </c>
      <c r="D208" s="1" t="str">
        <f>"2867"</f>
        <v>2867</v>
      </c>
      <c r="E208" s="3" t="str">
        <f>"Прочие кредиторы по неосновной деятельности"</f>
        <v>Прочие кредиторы по неосновной деятельности</v>
      </c>
      <c r="F208" s="1" t="str">
        <f>"1"</f>
        <v>1</v>
      </c>
      <c r="G208" s="1" t="str">
        <f>"9"</f>
        <v>9</v>
      </c>
      <c r="H208" s="1" t="str">
        <f>"1"</f>
        <v>1</v>
      </c>
      <c r="I208" s="4">
        <v>11739541</v>
      </c>
    </row>
    <row r="209" spans="1:9" x14ac:dyDescent="0.25">
      <c r="A209" s="1">
        <v>204</v>
      </c>
      <c r="B209" s="2">
        <v>46142</v>
      </c>
      <c r="C209" s="1">
        <v>20</v>
      </c>
      <c r="D209" s="1" t="str">
        <f>"2867"</f>
        <v>2867</v>
      </c>
      <c r="E209" s="3" t="str">
        <f>"Прочие кредиторы по неосновной деятельности"</f>
        <v>Прочие кредиторы по неосновной деятельности</v>
      </c>
      <c r="F209" s="1" t="str">
        <f>"2"</f>
        <v>2</v>
      </c>
      <c r="G209" s="1" t="str">
        <f>"7"</f>
        <v>7</v>
      </c>
      <c r="H209" s="1" t="str">
        <f>"2"</f>
        <v>2</v>
      </c>
      <c r="I209" s="4">
        <v>920397.92</v>
      </c>
    </row>
    <row r="210" spans="1:9" x14ac:dyDescent="0.25">
      <c r="A210" s="1">
        <v>205</v>
      </c>
      <c r="B210" s="2">
        <v>46142</v>
      </c>
      <c r="C210" s="1">
        <v>20</v>
      </c>
      <c r="D210" s="1" t="str">
        <f>"2870"</f>
        <v>2870</v>
      </c>
      <c r="E210" s="3" t="str">
        <f>"Прочие транзитные счета"</f>
        <v>Прочие транзитные счета</v>
      </c>
      <c r="F210" s="1" t="str">
        <f>"1"</f>
        <v>1</v>
      </c>
      <c r="G210" s="1" t="str">
        <f>"9"</f>
        <v>9</v>
      </c>
      <c r="H210" s="1" t="str">
        <f>"1"</f>
        <v>1</v>
      </c>
      <c r="I210" s="4">
        <v>24033000</v>
      </c>
    </row>
    <row r="211" spans="1:9" x14ac:dyDescent="0.25">
      <c r="A211" s="1">
        <v>206</v>
      </c>
      <c r="B211" s="2">
        <v>46142</v>
      </c>
      <c r="C211" s="1">
        <v>20</v>
      </c>
      <c r="D211" s="1" t="str">
        <f>"3001"</f>
        <v>3001</v>
      </c>
      <c r="E211" s="3" t="str">
        <f>"Уставный капитал – простые акции"</f>
        <v>Уставный капитал – простые акции</v>
      </c>
      <c r="F211" s="1" t="str">
        <f>""</f>
        <v/>
      </c>
      <c r="G211" s="1" t="str">
        <f>""</f>
        <v/>
      </c>
      <c r="H211" s="1" t="str">
        <f>""</f>
        <v/>
      </c>
      <c r="I211" s="4">
        <v>78300000000</v>
      </c>
    </row>
    <row r="212" spans="1:9" x14ac:dyDescent="0.25">
      <c r="A212" s="1">
        <v>207</v>
      </c>
      <c r="B212" s="2">
        <v>46142</v>
      </c>
      <c r="C212" s="1">
        <v>20</v>
      </c>
      <c r="D212" s="1" t="str">
        <f>"3101"</f>
        <v>3101</v>
      </c>
      <c r="E212" s="3" t="str">
        <f>"Дополнительный оплаченный капитал"</f>
        <v>Дополнительный оплаченный капитал</v>
      </c>
      <c r="F212" s="1" t="str">
        <f>""</f>
        <v/>
      </c>
      <c r="G212" s="1" t="str">
        <f>""</f>
        <v/>
      </c>
      <c r="H212" s="1" t="str">
        <f>""</f>
        <v/>
      </c>
      <c r="I212" s="4">
        <v>267302684582.44</v>
      </c>
    </row>
    <row r="213" spans="1:9" x14ac:dyDescent="0.25">
      <c r="A213" s="1">
        <v>208</v>
      </c>
      <c r="B213" s="2">
        <v>46142</v>
      </c>
      <c r="C213" s="1">
        <v>20</v>
      </c>
      <c r="D213" s="1" t="str">
        <f>"3510"</f>
        <v>3510</v>
      </c>
      <c r="E213" s="3" t="str">
        <f>"Резервный капитал"</f>
        <v>Резервный капитал</v>
      </c>
      <c r="F213" s="1" t="str">
        <f>""</f>
        <v/>
      </c>
      <c r="G213" s="1" t="str">
        <f>""</f>
        <v/>
      </c>
      <c r="H213" s="1" t="str">
        <f>""</f>
        <v/>
      </c>
      <c r="I213" s="4">
        <v>2283334818.8800001</v>
      </c>
    </row>
    <row r="214" spans="1:9" ht="30" x14ac:dyDescent="0.25">
      <c r="A214" s="1">
        <v>209</v>
      </c>
      <c r="B214" s="2">
        <v>46142</v>
      </c>
      <c r="C214" s="1">
        <v>20</v>
      </c>
      <c r="D214" s="1" t="str">
        <f>"3561"</f>
        <v>3561</v>
      </c>
      <c r="E214" s="3" t="str">
        <f>"Резервы переоценки стоимости ценных бумаг, учитываемых по справедливой стоимости через прочий совокупный доход"</f>
        <v>Резервы переоценки стоимости ценных бумаг, учитываемых по справедливой стоимости через прочий совокупный доход</v>
      </c>
      <c r="F214" s="1" t="str">
        <f>"1"</f>
        <v>1</v>
      </c>
      <c r="G214" s="1" t="str">
        <f>""</f>
        <v/>
      </c>
      <c r="H214" s="1" t="str">
        <f>"1"</f>
        <v>1</v>
      </c>
      <c r="I214" s="4">
        <v>-3099999199.46</v>
      </c>
    </row>
    <row r="215" spans="1:9" ht="30" x14ac:dyDescent="0.25">
      <c r="A215" s="1">
        <v>210</v>
      </c>
      <c r="B215" s="2">
        <v>46142</v>
      </c>
      <c r="C215" s="1">
        <v>20</v>
      </c>
      <c r="D215" s="1" t="str">
        <f>"3562"</f>
        <v>3562</v>
      </c>
      <c r="E215" s="3" t="str">
        <f>"Резервы (провизии) под ожидаемые кредитные убытки по ценным бумагам, учитываемым по справедливой стоимости через прочий совокупный доход»"</f>
        <v>Резервы (провизии) под ожидаемые кредитные убытки по ценным бумагам, учитываемым по справедливой стоимости через прочий совокупный доход»</v>
      </c>
      <c r="F215" s="1" t="str">
        <f>"1"</f>
        <v>1</v>
      </c>
      <c r="G215" s="1" t="str">
        <f>""</f>
        <v/>
      </c>
      <c r="H215" s="1" t="str">
        <f>"1"</f>
        <v>1</v>
      </c>
      <c r="I215" s="4">
        <v>40434561.659999996</v>
      </c>
    </row>
    <row r="216" spans="1:9" x14ac:dyDescent="0.25">
      <c r="A216" s="1">
        <v>211</v>
      </c>
      <c r="B216" s="2">
        <v>46142</v>
      </c>
      <c r="C216" s="1">
        <v>20</v>
      </c>
      <c r="D216" s="1" t="str">
        <f>"3580"</f>
        <v>3580</v>
      </c>
      <c r="E216" s="3" t="str">
        <f>"Нераспределенная чистая прибыль (непокрытый убыток) прошлых лет"</f>
        <v>Нераспределенная чистая прибыль (непокрытый убыток) прошлых лет</v>
      </c>
      <c r="F216" s="1" t="str">
        <f>""</f>
        <v/>
      </c>
      <c r="G216" s="1" t="str">
        <f>""</f>
        <v/>
      </c>
      <c r="H216" s="1" t="str">
        <f>""</f>
        <v/>
      </c>
      <c r="I216" s="4">
        <v>421177940346.14001</v>
      </c>
    </row>
    <row r="217" spans="1:9" x14ac:dyDescent="0.25">
      <c r="A217" s="1">
        <v>212</v>
      </c>
      <c r="B217" s="2">
        <v>46142</v>
      </c>
      <c r="C217" s="1">
        <v>20</v>
      </c>
      <c r="D217" s="1" t="str">
        <f>"3599"</f>
        <v>3599</v>
      </c>
      <c r="E217" s="3" t="str">
        <f>"Нераспределенная чистая прибыль (непокрытый убыток)"</f>
        <v>Нераспределенная чистая прибыль (непокрытый убыток)</v>
      </c>
      <c r="F217" s="1" t="str">
        <f>""</f>
        <v/>
      </c>
      <c r="G217" s="1" t="str">
        <f>""</f>
        <v/>
      </c>
      <c r="H217" s="1" t="str">
        <f>""</f>
        <v/>
      </c>
      <c r="I217" s="4">
        <v>39997061946.110001</v>
      </c>
    </row>
    <row r="218" spans="1:9" ht="30" x14ac:dyDescent="0.25">
      <c r="A218" s="1">
        <v>213</v>
      </c>
      <c r="B218" s="2">
        <v>46142</v>
      </c>
      <c r="C218" s="1">
        <v>20</v>
      </c>
      <c r="D218" s="1" t="str">
        <f>"4101"</f>
        <v>4101</v>
      </c>
      <c r="E218" s="3" t="str">
        <f>"Доходы, связанные с получением вознаграждения по вкладам, размещенным в Национальном Банке Республики Казахстан (на одну ночь)"</f>
        <v>Доходы, связанные с получением вознаграждения по вкладам, размещенным в Национальном Банке Республики Казахстан (на одну ночь)</v>
      </c>
      <c r="F218" s="1" t="str">
        <f>""</f>
        <v/>
      </c>
      <c r="G218" s="1" t="str">
        <f>""</f>
        <v/>
      </c>
      <c r="H218" s="1" t="str">
        <f>""</f>
        <v/>
      </c>
      <c r="I218" s="4">
        <v>1386113888.9000001</v>
      </c>
    </row>
    <row r="219" spans="1:9" ht="30" x14ac:dyDescent="0.25">
      <c r="A219" s="1">
        <v>214</v>
      </c>
      <c r="B219" s="2">
        <v>46142</v>
      </c>
      <c r="C219" s="1">
        <v>20</v>
      </c>
      <c r="D219" s="1" t="str">
        <f>"4103"</f>
        <v>4103</v>
      </c>
      <c r="E219" s="3" t="str">
        <f>"Доходы, связанные с получением вознаграждения по срочным вкладам, размещенным в Национальном Банке Республики Казахстан"</f>
        <v>Доходы, связанные с получением вознаграждения по срочным вкладам, размещенным в Национальном Банке Республики Казахстан</v>
      </c>
      <c r="F219" s="1" t="str">
        <f>""</f>
        <v/>
      </c>
      <c r="G219" s="1" t="str">
        <f>""</f>
        <v/>
      </c>
      <c r="H219" s="1" t="str">
        <f>""</f>
        <v/>
      </c>
      <c r="I219" s="4">
        <v>43517650000</v>
      </c>
    </row>
    <row r="220" spans="1:9" x14ac:dyDescent="0.25">
      <c r="A220" s="1">
        <v>215</v>
      </c>
      <c r="B220" s="2">
        <v>46142</v>
      </c>
      <c r="C220" s="1">
        <v>20</v>
      </c>
      <c r="D220" s="1" t="str">
        <f>"4255"</f>
        <v>4255</v>
      </c>
      <c r="E220" s="3" t="str">
        <f>"Доходы, связанные с получением вознаграждения по долгосрочным вкладам, размещенным в других банках"</f>
        <v>Доходы, связанные с получением вознаграждения по долгосрочным вкладам, размещенным в других банках</v>
      </c>
      <c r="F220" s="1" t="str">
        <f>""</f>
        <v/>
      </c>
      <c r="G220" s="1" t="str">
        <f>""</f>
        <v/>
      </c>
      <c r="H220" s="1" t="str">
        <f>""</f>
        <v/>
      </c>
      <c r="I220" s="4">
        <v>964583333.33000004</v>
      </c>
    </row>
    <row r="221" spans="1:9" x14ac:dyDescent="0.25">
      <c r="A221" s="1">
        <v>216</v>
      </c>
      <c r="B221" s="2">
        <v>46142</v>
      </c>
      <c r="C221" s="1">
        <v>20</v>
      </c>
      <c r="D221" s="1" t="str">
        <f>"4266"</f>
        <v>4266</v>
      </c>
      <c r="E221" s="3" t="str">
        <f>"Доходы по амортизации дисконта по вкладам, размещенным в других банках"</f>
        <v>Доходы по амортизации дисконта по вкладам, размещенным в других банках</v>
      </c>
      <c r="F221" s="1" t="str">
        <f>""</f>
        <v/>
      </c>
      <c r="G221" s="1" t="str">
        <f>""</f>
        <v/>
      </c>
      <c r="H221" s="1" t="str">
        <f>""</f>
        <v/>
      </c>
      <c r="I221" s="4">
        <v>9677881.3900000006</v>
      </c>
    </row>
    <row r="222" spans="1:9" x14ac:dyDescent="0.25">
      <c r="A222" s="1">
        <v>217</v>
      </c>
      <c r="B222" s="2">
        <v>46142</v>
      </c>
      <c r="C222" s="1">
        <v>20</v>
      </c>
      <c r="D222" s="1" t="str">
        <f>"4411"</f>
        <v>4411</v>
      </c>
      <c r="E222" s="3" t="str">
        <f>"Доходы, связанные с получением вознаграждения по краткосрочным займам, предоставленным клиентам"</f>
        <v>Доходы, связанные с получением вознаграждения по краткосрочным займам, предоставленным клиентам</v>
      </c>
      <c r="F222" s="1" t="str">
        <f>""</f>
        <v/>
      </c>
      <c r="G222" s="1" t="str">
        <f>""</f>
        <v/>
      </c>
      <c r="H222" s="1" t="str">
        <f>""</f>
        <v/>
      </c>
      <c r="I222" s="4">
        <v>2229916.79</v>
      </c>
    </row>
    <row r="223" spans="1:9" x14ac:dyDescent="0.25">
      <c r="A223" s="1">
        <v>218</v>
      </c>
      <c r="B223" s="2">
        <v>46142</v>
      </c>
      <c r="C223" s="1">
        <v>20</v>
      </c>
      <c r="D223" s="1" t="str">
        <f>"4417"</f>
        <v>4417</v>
      </c>
      <c r="E223" s="3" t="str">
        <f>"Доходы, связанные с получением вознаграждения по долгосрочным займам, предоставленным клиентам"</f>
        <v>Доходы, связанные с получением вознаграждения по долгосрочным займам, предоставленным клиентам</v>
      </c>
      <c r="F223" s="1" t="str">
        <f>""</f>
        <v/>
      </c>
      <c r="G223" s="1" t="str">
        <f>""</f>
        <v/>
      </c>
      <c r="H223" s="1" t="str">
        <f>""</f>
        <v/>
      </c>
      <c r="I223" s="4">
        <v>84902816638.259995</v>
      </c>
    </row>
    <row r="224" spans="1:9" x14ac:dyDescent="0.25">
      <c r="A224" s="1">
        <v>219</v>
      </c>
      <c r="B224" s="2">
        <v>46142</v>
      </c>
      <c r="C224" s="1">
        <v>20</v>
      </c>
      <c r="D224" s="1" t="str">
        <f>"4424"</f>
        <v>4424</v>
      </c>
      <c r="E224" s="3" t="str">
        <f>"Доходы, связанные с получением вознаграждения по просроченной задолженности клиентов по займам"</f>
        <v>Доходы, связанные с получением вознаграждения по просроченной задолженности клиентов по займам</v>
      </c>
      <c r="F224" s="1" t="str">
        <f>""</f>
        <v/>
      </c>
      <c r="G224" s="1" t="str">
        <f>""</f>
        <v/>
      </c>
      <c r="H224" s="1" t="str">
        <f>""</f>
        <v/>
      </c>
      <c r="I224" s="4">
        <v>198484561.34999999</v>
      </c>
    </row>
    <row r="225" spans="1:9" ht="30" x14ac:dyDescent="0.25">
      <c r="A225" s="1">
        <v>220</v>
      </c>
      <c r="B225" s="2">
        <v>46142</v>
      </c>
      <c r="C225" s="1">
        <v>20</v>
      </c>
      <c r="D225" s="1" t="str">
        <f>"4434"</f>
        <v>4434</v>
      </c>
      <c r="E225" s="3" t="str">
        <f>"Доходы в виде корректировки процентных доходов, признаваемых методом эффективной ставки процента по займам, предоставленным клиентам"</f>
        <v>Доходы в виде корректировки процентных доходов, признаваемых методом эффективной ставки процента по займам, предоставленным клиентам</v>
      </c>
      <c r="F225" s="1" t="str">
        <f>""</f>
        <v/>
      </c>
      <c r="G225" s="1" t="str">
        <f>""</f>
        <v/>
      </c>
      <c r="H225" s="1" t="str">
        <f>""</f>
        <v/>
      </c>
      <c r="I225" s="4">
        <v>11776726824.469999</v>
      </c>
    </row>
    <row r="226" spans="1:9" ht="30" x14ac:dyDescent="0.25">
      <c r="A226" s="1">
        <v>221</v>
      </c>
      <c r="B226" s="2">
        <v>46142</v>
      </c>
      <c r="C226" s="1">
        <v>20</v>
      </c>
      <c r="D226" s="1" t="str">
        <f>"4436"</f>
        <v>4436</v>
      </c>
      <c r="E226" s="3" t="str">
        <f>"Доходы в виде корректировки валовой балансовой стоимости в связи с модификацией займов, предоставленных клиентам"</f>
        <v>Доходы в виде корректировки валовой балансовой стоимости в связи с модификацией займов, предоставленных клиентам</v>
      </c>
      <c r="F226" s="1" t="str">
        <f>""</f>
        <v/>
      </c>
      <c r="G226" s="1" t="str">
        <f>""</f>
        <v/>
      </c>
      <c r="H226" s="1" t="str">
        <f>""</f>
        <v/>
      </c>
      <c r="I226" s="4">
        <v>545017401.62</v>
      </c>
    </row>
    <row r="227" spans="1:9" x14ac:dyDescent="0.25">
      <c r="A227" s="1">
        <v>222</v>
      </c>
      <c r="B227" s="2">
        <v>46142</v>
      </c>
      <c r="C227" s="1">
        <v>20</v>
      </c>
      <c r="D227" s="1" t="str">
        <f>"4440"</f>
        <v>4440</v>
      </c>
      <c r="E227" s="3" t="str">
        <f>"Доходы по амортизации премии по вкладам, привлеченным от клиентов"</f>
        <v>Доходы по амортизации премии по вкладам, привлеченным от клиентов</v>
      </c>
      <c r="F227" s="1" t="str">
        <f>""</f>
        <v/>
      </c>
      <c r="G227" s="1" t="str">
        <f>""</f>
        <v/>
      </c>
      <c r="H227" s="1" t="str">
        <f>""</f>
        <v/>
      </c>
      <c r="I227" s="4">
        <v>17166432.579999998</v>
      </c>
    </row>
    <row r="228" spans="1:9" ht="30" x14ac:dyDescent="0.25">
      <c r="A228" s="1">
        <v>223</v>
      </c>
      <c r="B228" s="2">
        <v>46142</v>
      </c>
      <c r="C228" s="1">
        <v>20</v>
      </c>
      <c r="D228" s="1" t="str">
        <f>"4452"</f>
        <v>4452</v>
      </c>
      <c r="E228" s="3" t="str">
        <f>"Доходы, связанные с получением вознаграждения по ценным бумагам, учитываемым по справедливой стоимости через прочий совокупный доход"</f>
        <v>Доходы, связанные с получением вознаграждения по ценным бумагам, учитываемым по справедливой стоимости через прочий совокупный доход</v>
      </c>
      <c r="F228" s="1" t="str">
        <f>""</f>
        <v/>
      </c>
      <c r="G228" s="1" t="str">
        <f>""</f>
        <v/>
      </c>
      <c r="H228" s="1" t="str">
        <f>""</f>
        <v/>
      </c>
      <c r="I228" s="4">
        <v>1213250007.9100001</v>
      </c>
    </row>
    <row r="229" spans="1:9" ht="30" x14ac:dyDescent="0.25">
      <c r="A229" s="1">
        <v>224</v>
      </c>
      <c r="B229" s="2">
        <v>46142</v>
      </c>
      <c r="C229" s="1">
        <v>20</v>
      </c>
      <c r="D229" s="1" t="str">
        <f>"4453"</f>
        <v>4453</v>
      </c>
      <c r="E229" s="3" t="str">
        <f>"Доходы по амортизации дисконта по ценным бумагам, учитываемым по справедливой стоимости через прочий совокупный доход"</f>
        <v>Доходы по амортизации дисконта по ценным бумагам, учитываемым по справедливой стоимости через прочий совокупный доход</v>
      </c>
      <c r="F229" s="1" t="str">
        <f>""</f>
        <v/>
      </c>
      <c r="G229" s="1" t="str">
        <f>""</f>
        <v/>
      </c>
      <c r="H229" s="1" t="str">
        <f>""</f>
        <v/>
      </c>
      <c r="I229" s="4">
        <v>139929328.19</v>
      </c>
    </row>
    <row r="230" spans="1:9" x14ac:dyDescent="0.25">
      <c r="A230" s="1">
        <v>225</v>
      </c>
      <c r="B230" s="2">
        <v>46142</v>
      </c>
      <c r="C230" s="1">
        <v>20</v>
      </c>
      <c r="D230" s="1" t="str">
        <f>"4454"</f>
        <v>4454</v>
      </c>
      <c r="E230" s="3" t="str">
        <f>"Доходы по амортизации премии по выпущенным в обращение ценным бумагам"</f>
        <v>Доходы по амортизации премии по выпущенным в обращение ценным бумагам</v>
      </c>
      <c r="F230" s="1" t="str">
        <f>""</f>
        <v/>
      </c>
      <c r="G230" s="1" t="str">
        <f>""</f>
        <v/>
      </c>
      <c r="H230" s="1" t="str">
        <f>""</f>
        <v/>
      </c>
      <c r="I230" s="4">
        <v>39762566.420000002</v>
      </c>
    </row>
    <row r="231" spans="1:9" x14ac:dyDescent="0.25">
      <c r="A231" s="1">
        <v>226</v>
      </c>
      <c r="B231" s="2">
        <v>46142</v>
      </c>
      <c r="C231" s="1">
        <v>20</v>
      </c>
      <c r="D231" s="1" t="str">
        <f>"4465"</f>
        <v>4465</v>
      </c>
      <c r="E231" s="3" t="str">
        <f>"Доходы по операциям «РЕПО» с ценными бумагами"</f>
        <v>Доходы по операциям «РЕПО» с ценными бумагами</v>
      </c>
      <c r="F231" s="1" t="str">
        <f>""</f>
        <v/>
      </c>
      <c r="G231" s="1" t="str">
        <f>""</f>
        <v/>
      </c>
      <c r="H231" s="1" t="str">
        <f>""</f>
        <v/>
      </c>
      <c r="I231" s="4">
        <v>177163212.90000001</v>
      </c>
    </row>
    <row r="232" spans="1:9" ht="30" x14ac:dyDescent="0.25">
      <c r="A232" s="1">
        <v>227</v>
      </c>
      <c r="B232" s="2">
        <v>46142</v>
      </c>
      <c r="C232" s="1">
        <v>20</v>
      </c>
      <c r="D232" s="1" t="str">
        <f>"4481"</f>
        <v>4481</v>
      </c>
      <c r="E232" s="3" t="str">
        <f>"Доходы, связанные с получением вознаграждения по ценным бумагам, учитываемым по амортизированной стоимости"</f>
        <v>Доходы, связанные с получением вознаграждения по ценным бумагам, учитываемым по амортизированной стоимости</v>
      </c>
      <c r="F232" s="1" t="str">
        <f>""</f>
        <v/>
      </c>
      <c r="G232" s="1" t="str">
        <f>""</f>
        <v/>
      </c>
      <c r="H232" s="1" t="str">
        <f>""</f>
        <v/>
      </c>
      <c r="I232" s="4">
        <v>17150851985.110001</v>
      </c>
    </row>
    <row r="233" spans="1:9" x14ac:dyDescent="0.25">
      <c r="A233" s="1">
        <v>228</v>
      </c>
      <c r="B233" s="2">
        <v>46142</v>
      </c>
      <c r="C233" s="1">
        <v>20</v>
      </c>
      <c r="D233" s="1" t="str">
        <f>"4482"</f>
        <v>4482</v>
      </c>
      <c r="E233" s="3" t="str">
        <f>"Доходы по амортизации дисконта по ценным бумагам, учитываемым по амортизированной стоимости"</f>
        <v>Доходы по амортизации дисконта по ценным бумагам, учитываемым по амортизированной стоимости</v>
      </c>
      <c r="F233" s="1" t="str">
        <f>""</f>
        <v/>
      </c>
      <c r="G233" s="1" t="str">
        <f>""</f>
        <v/>
      </c>
      <c r="H233" s="1" t="str">
        <f>""</f>
        <v/>
      </c>
      <c r="I233" s="4">
        <v>969141942.61000001</v>
      </c>
    </row>
    <row r="234" spans="1:9" x14ac:dyDescent="0.25">
      <c r="A234" s="1">
        <v>229</v>
      </c>
      <c r="B234" s="2">
        <v>46142</v>
      </c>
      <c r="C234" s="1">
        <v>20</v>
      </c>
      <c r="D234" s="1" t="str">
        <f>"4530"</f>
        <v>4530</v>
      </c>
      <c r="E234" s="3" t="str">
        <f>"Доходы по купле-продаже иностранной валюты"</f>
        <v>Доходы по купле-продаже иностранной валюты</v>
      </c>
      <c r="F234" s="1" t="str">
        <f>""</f>
        <v/>
      </c>
      <c r="G234" s="1" t="str">
        <f>""</f>
        <v/>
      </c>
      <c r="H234" s="1" t="str">
        <f>""</f>
        <v/>
      </c>
      <c r="I234" s="4">
        <v>77765431.780000001</v>
      </c>
    </row>
    <row r="235" spans="1:9" x14ac:dyDescent="0.25">
      <c r="A235" s="1">
        <v>230</v>
      </c>
      <c r="B235" s="2">
        <v>46142</v>
      </c>
      <c r="C235" s="1">
        <v>20</v>
      </c>
      <c r="D235" s="1" t="str">
        <f>"4601"</f>
        <v>4601</v>
      </c>
      <c r="E235" s="3" t="str">
        <f>"Комиссионные доходы за услуги по переводным операциям"</f>
        <v>Комиссионные доходы за услуги по переводным операциям</v>
      </c>
      <c r="F235" s="1" t="str">
        <f>""</f>
        <v/>
      </c>
      <c r="G235" s="1" t="str">
        <f>""</f>
        <v/>
      </c>
      <c r="H235" s="1" t="str">
        <f>""</f>
        <v/>
      </c>
      <c r="I235" s="4">
        <v>502434462.33999997</v>
      </c>
    </row>
    <row r="236" spans="1:9" x14ac:dyDescent="0.25">
      <c r="A236" s="1">
        <v>231</v>
      </c>
      <c r="B236" s="2">
        <v>46142</v>
      </c>
      <c r="C236" s="1">
        <v>20</v>
      </c>
      <c r="D236" s="1" t="str">
        <f>"4602"</f>
        <v>4602</v>
      </c>
      <c r="E236" s="3" t="str">
        <f>"Комиссионные доходы за агентские услуги"</f>
        <v>Комиссионные доходы за агентские услуги</v>
      </c>
      <c r="F236" s="1" t="str">
        <f>""</f>
        <v/>
      </c>
      <c r="G236" s="1" t="str">
        <f>""</f>
        <v/>
      </c>
      <c r="H236" s="1" t="str">
        <f>""</f>
        <v/>
      </c>
      <c r="I236" s="4">
        <v>434563867.45999998</v>
      </c>
    </row>
    <row r="237" spans="1:9" x14ac:dyDescent="0.25">
      <c r="A237" s="1">
        <v>232</v>
      </c>
      <c r="B237" s="2">
        <v>46142</v>
      </c>
      <c r="C237" s="1">
        <v>20</v>
      </c>
      <c r="D237" s="1" t="str">
        <f>"4605"</f>
        <v>4605</v>
      </c>
      <c r="E237" s="3" t="str">
        <f>"Комиссионные доходы за услуги по доверительным операциям"</f>
        <v>Комиссионные доходы за услуги по доверительным операциям</v>
      </c>
      <c r="F237" s="1" t="str">
        <f>""</f>
        <v/>
      </c>
      <c r="G237" s="1" t="str">
        <f>""</f>
        <v/>
      </c>
      <c r="H237" s="1" t="str">
        <f>""</f>
        <v/>
      </c>
      <c r="I237" s="4">
        <v>893085626.38</v>
      </c>
    </row>
    <row r="238" spans="1:9" x14ac:dyDescent="0.25">
      <c r="A238" s="1">
        <v>233</v>
      </c>
      <c r="B238" s="2">
        <v>46142</v>
      </c>
      <c r="C238" s="1">
        <v>20</v>
      </c>
      <c r="D238" s="1" t="str">
        <f>"4607"</f>
        <v>4607</v>
      </c>
      <c r="E238" s="3" t="str">
        <f>"Комиссионные доходы за услуги по приему вкладов, открытию и ведению банковских счетов клиентов"</f>
        <v>Комиссионные доходы за услуги по приему вкладов, открытию и ведению банковских счетов клиентов</v>
      </c>
      <c r="F238" s="1" t="str">
        <f>""</f>
        <v/>
      </c>
      <c r="G238" s="1" t="str">
        <f>""</f>
        <v/>
      </c>
      <c r="H238" s="1" t="str">
        <f>""</f>
        <v/>
      </c>
      <c r="I238" s="4">
        <v>48521365.789999999</v>
      </c>
    </row>
    <row r="239" spans="1:9" x14ac:dyDescent="0.25">
      <c r="A239" s="1">
        <v>234</v>
      </c>
      <c r="B239" s="2">
        <v>46142</v>
      </c>
      <c r="C239" s="1">
        <v>20</v>
      </c>
      <c r="D239" s="1" t="str">
        <f>"4608"</f>
        <v>4608</v>
      </c>
      <c r="E239" s="3" t="str">
        <f>"Прочие комиссионные доходы"</f>
        <v>Прочие комиссионные доходы</v>
      </c>
      <c r="F239" s="1" t="str">
        <f>""</f>
        <v/>
      </c>
      <c r="G239" s="1" t="str">
        <f>""</f>
        <v/>
      </c>
      <c r="H239" s="1" t="str">
        <f>""</f>
        <v/>
      </c>
      <c r="I239" s="4">
        <v>399561438.39999998</v>
      </c>
    </row>
    <row r="240" spans="1:9" x14ac:dyDescent="0.25">
      <c r="A240" s="1">
        <v>235</v>
      </c>
      <c r="B240" s="2">
        <v>46142</v>
      </c>
      <c r="C240" s="1">
        <v>20</v>
      </c>
      <c r="D240" s="1" t="str">
        <f>"4611"</f>
        <v>4611</v>
      </c>
      <c r="E240" s="3" t="str">
        <f>"Комиссионные доходы за услуги по кассовым операциям"</f>
        <v>Комиссионные доходы за услуги по кассовым операциям</v>
      </c>
      <c r="F240" s="1" t="str">
        <f>""</f>
        <v/>
      </c>
      <c r="G240" s="1" t="str">
        <f>""</f>
        <v/>
      </c>
      <c r="H240" s="1" t="str">
        <f>""</f>
        <v/>
      </c>
      <c r="I240" s="4">
        <v>28271855.649999999</v>
      </c>
    </row>
    <row r="241" spans="1:9" x14ac:dyDescent="0.25">
      <c r="A241" s="1">
        <v>236</v>
      </c>
      <c r="B241" s="2">
        <v>46142</v>
      </c>
      <c r="C241" s="1">
        <v>20</v>
      </c>
      <c r="D241" s="1" t="str">
        <f>"4703"</f>
        <v>4703</v>
      </c>
      <c r="E241" s="3" t="str">
        <f>"Доход от переоценки иностранной валюты"</f>
        <v>Доход от переоценки иностранной валюты</v>
      </c>
      <c r="F241" s="1" t="str">
        <f>""</f>
        <v/>
      </c>
      <c r="G241" s="1" t="str">
        <f>""</f>
        <v/>
      </c>
      <c r="H241" s="1" t="str">
        <f>""</f>
        <v/>
      </c>
      <c r="I241" s="4">
        <v>2449641999.48</v>
      </c>
    </row>
    <row r="242" spans="1:9" x14ac:dyDescent="0.25">
      <c r="A242" s="1">
        <v>237</v>
      </c>
      <c r="B242" s="2">
        <v>46142</v>
      </c>
      <c r="C242" s="1">
        <v>20</v>
      </c>
      <c r="D242" s="1" t="str">
        <f>"4900"</f>
        <v>4900</v>
      </c>
      <c r="E242" s="3" t="str">
        <f>"Неустойка (штраф, пеня)"</f>
        <v>Неустойка (штраф, пеня)</v>
      </c>
      <c r="F242" s="1" t="str">
        <f>""</f>
        <v/>
      </c>
      <c r="G242" s="1" t="str">
        <f>""</f>
        <v/>
      </c>
      <c r="H242" s="1" t="str">
        <f>""</f>
        <v/>
      </c>
      <c r="I242" s="4">
        <v>15105223.949999999</v>
      </c>
    </row>
    <row r="243" spans="1:9" x14ac:dyDescent="0.25">
      <c r="A243" s="1">
        <v>238</v>
      </c>
      <c r="B243" s="2">
        <v>46142</v>
      </c>
      <c r="C243" s="1">
        <v>20</v>
      </c>
      <c r="D243" s="1" t="str">
        <f>"4921"</f>
        <v>4921</v>
      </c>
      <c r="E243" s="3" t="str">
        <f>"Прочие доходы от банковской деятельности"</f>
        <v>Прочие доходы от банковской деятельности</v>
      </c>
      <c r="F243" s="1" t="str">
        <f>""</f>
        <v/>
      </c>
      <c r="G243" s="1" t="str">
        <f>""</f>
        <v/>
      </c>
      <c r="H243" s="1" t="str">
        <f>""</f>
        <v/>
      </c>
      <c r="I243" s="4">
        <v>4931188877.3599997</v>
      </c>
    </row>
    <row r="244" spans="1:9" x14ac:dyDescent="0.25">
      <c r="A244" s="1">
        <v>239</v>
      </c>
      <c r="B244" s="2">
        <v>46142</v>
      </c>
      <c r="C244" s="1">
        <v>20</v>
      </c>
      <c r="D244" s="1" t="str">
        <f>"4922"</f>
        <v>4922</v>
      </c>
      <c r="E244" s="3" t="str">
        <f>"Прочие доходы от неосновной деятельности"</f>
        <v>Прочие доходы от неосновной деятельности</v>
      </c>
      <c r="F244" s="1" t="str">
        <f>""</f>
        <v/>
      </c>
      <c r="G244" s="1" t="str">
        <f>""</f>
        <v/>
      </c>
      <c r="H244" s="1" t="str">
        <f>""</f>
        <v/>
      </c>
      <c r="I244" s="4">
        <v>64038366.969999999</v>
      </c>
    </row>
    <row r="245" spans="1:9" x14ac:dyDescent="0.25">
      <c r="A245" s="1">
        <v>240</v>
      </c>
      <c r="B245" s="2">
        <v>46142</v>
      </c>
      <c r="C245" s="1">
        <v>20</v>
      </c>
      <c r="D245" s="1" t="str">
        <f>"4951"</f>
        <v>4951</v>
      </c>
      <c r="E245" s="3" t="str">
        <f>"Доходы от восстановления резервов (провизий), созданных по вкладам, размещенным в других банках"</f>
        <v>Доходы от восстановления резервов (провизий), созданных по вкладам, размещенным в других банках</v>
      </c>
      <c r="F245" s="1" t="str">
        <f>""</f>
        <v/>
      </c>
      <c r="G245" s="1" t="str">
        <f>""</f>
        <v/>
      </c>
      <c r="H245" s="1" t="str">
        <f>""</f>
        <v/>
      </c>
      <c r="I245" s="4">
        <v>183630684.81</v>
      </c>
    </row>
    <row r="246" spans="1:9" x14ac:dyDescent="0.25">
      <c r="A246" s="1">
        <v>241</v>
      </c>
      <c r="B246" s="2">
        <v>46142</v>
      </c>
      <c r="C246" s="1">
        <v>20</v>
      </c>
      <c r="D246" s="1" t="str">
        <f>"4954"</f>
        <v>4954</v>
      </c>
      <c r="E246" s="3" t="str">
        <f>"Доходы от восстановления резервов (провизий), созданных по ценным бумагам"</f>
        <v>Доходы от восстановления резервов (провизий), созданных по ценным бумагам</v>
      </c>
      <c r="F246" s="1" t="str">
        <f>""</f>
        <v/>
      </c>
      <c r="G246" s="1" t="str">
        <f>""</f>
        <v/>
      </c>
      <c r="H246" s="1" t="str">
        <f>""</f>
        <v/>
      </c>
      <c r="I246" s="4">
        <v>254687103.46000001</v>
      </c>
    </row>
    <row r="247" spans="1:9" ht="30" x14ac:dyDescent="0.25">
      <c r="A247" s="1">
        <v>242</v>
      </c>
      <c r="B247" s="2">
        <v>46142</v>
      </c>
      <c r="C247" s="1">
        <v>20</v>
      </c>
      <c r="D247" s="1" t="str">
        <f>"4955"</f>
        <v>4955</v>
      </c>
      <c r="E247" s="3" t="str">
        <f>"Доходы от восстановления резервов (провизий), созданных по займам и финансовому лизингу, предоставленным клиентам"</f>
        <v>Доходы от восстановления резервов (провизий), созданных по займам и финансовому лизингу, предоставленным клиентам</v>
      </c>
      <c r="F247" s="1" t="str">
        <f>""</f>
        <v/>
      </c>
      <c r="G247" s="1" t="str">
        <f>""</f>
        <v/>
      </c>
      <c r="H247" s="1" t="str">
        <f>""</f>
        <v/>
      </c>
      <c r="I247" s="4">
        <v>8793512866.8600006</v>
      </c>
    </row>
    <row r="248" spans="1:9" ht="30" x14ac:dyDescent="0.25">
      <c r="A248" s="1">
        <v>243</v>
      </c>
      <c r="B248" s="2">
        <v>46142</v>
      </c>
      <c r="C248" s="1">
        <v>20</v>
      </c>
      <c r="D248" s="1" t="str">
        <f>"4956"</f>
        <v>4956</v>
      </c>
      <c r="E248" s="3" t="str">
        <f>"Доходы от восстановления резервов (провизий) по корреспондентским счетам в других банках и текущим счетам ипотечных организаций"</f>
        <v>Доходы от восстановления резервов (провизий) по корреспондентским счетам в других банках и текущим счетам ипотечных организаций</v>
      </c>
      <c r="F248" s="1" t="str">
        <f>""</f>
        <v/>
      </c>
      <c r="G248" s="1" t="str">
        <f>""</f>
        <v/>
      </c>
      <c r="H248" s="1" t="str">
        <f>""</f>
        <v/>
      </c>
      <c r="I248" s="4">
        <v>12821531.6</v>
      </c>
    </row>
    <row r="249" spans="1:9" ht="30" x14ac:dyDescent="0.25">
      <c r="A249" s="1">
        <v>244</v>
      </c>
      <c r="B249" s="2">
        <v>46142</v>
      </c>
      <c r="C249" s="1">
        <v>20</v>
      </c>
      <c r="D249" s="1" t="str">
        <f>"4959"</f>
        <v>4959</v>
      </c>
      <c r="E249" s="3" t="str">
        <f>"Доходы от восстановления резервов (провизий), созданных по дебиторской задолженности, не связанной с основной деятельностью"</f>
        <v>Доходы от восстановления резервов (провизий), созданных по дебиторской задолженности, не связанной с основной деятельностью</v>
      </c>
      <c r="F249" s="1" t="str">
        <f>""</f>
        <v/>
      </c>
      <c r="G249" s="1" t="str">
        <f>""</f>
        <v/>
      </c>
      <c r="H249" s="1" t="str">
        <f>""</f>
        <v/>
      </c>
      <c r="I249" s="4">
        <v>706712639.10000002</v>
      </c>
    </row>
    <row r="250" spans="1:9" ht="45" x14ac:dyDescent="0.25">
      <c r="A250" s="1">
        <v>245</v>
      </c>
      <c r="B250" s="2">
        <v>46142</v>
      </c>
      <c r="C250" s="1">
        <v>20</v>
      </c>
      <c r="D250" s="1" t="str">
        <f>"5036"</f>
        <v>5036</v>
      </c>
      <c r="E250" s="3" t="str">
        <f>_xlfn._LONGTEXT("Расходы, связанные с выплатой вознаграждения по долгосрочным займам, полученным от Правительства Республики Казахстан, местных исполнительных органов Республики Казахстан, национального управляющего холдинга и специального фонда развития частного предприн","имательства")</f>
        <v>Расходы, связанные с выплатой вознаграждения по долгосрочным займам, полученным от Правительства Республики Казахстан, местных исполнительных органов Республики Казахстан, национального управляющего холдинга и специального фонда развития частного предпринимательства</v>
      </c>
      <c r="F250" s="1" t="str">
        <f>""</f>
        <v/>
      </c>
      <c r="G250" s="1" t="str">
        <f>""</f>
        <v/>
      </c>
      <c r="H250" s="1" t="str">
        <f>""</f>
        <v/>
      </c>
      <c r="I250" s="4">
        <v>129378075.91</v>
      </c>
    </row>
    <row r="251" spans="1:9" ht="30" x14ac:dyDescent="0.25">
      <c r="A251" s="1">
        <v>246</v>
      </c>
      <c r="B251" s="2">
        <v>46142</v>
      </c>
      <c r="C251" s="1">
        <v>20</v>
      </c>
      <c r="D251" s="1" t="str">
        <f>"5046"</f>
        <v>5046</v>
      </c>
      <c r="E251" s="3" t="str">
        <f>"Расходы, связанные с выплатой вознаграждения по долгосрочным займам, полученным от международных финансовых организаций"</f>
        <v>Расходы, связанные с выплатой вознаграждения по долгосрочным займам, полученным от международных финансовых организаций</v>
      </c>
      <c r="F251" s="1" t="str">
        <f>""</f>
        <v/>
      </c>
      <c r="G251" s="1" t="str">
        <f>""</f>
        <v/>
      </c>
      <c r="H251" s="1" t="str">
        <f>""</f>
        <v/>
      </c>
      <c r="I251" s="4">
        <v>1571967066.6700001</v>
      </c>
    </row>
    <row r="252" spans="1:9" x14ac:dyDescent="0.25">
      <c r="A252" s="1">
        <v>247</v>
      </c>
      <c r="B252" s="2">
        <v>46142</v>
      </c>
      <c r="C252" s="1">
        <v>20</v>
      </c>
      <c r="D252" s="1" t="str">
        <f>"5069"</f>
        <v>5069</v>
      </c>
      <c r="E252" s="3" t="str">
        <f>"Расходы по амортизации дисконта по полученным займам"</f>
        <v>Расходы по амортизации дисконта по полученным займам</v>
      </c>
      <c r="F252" s="1" t="str">
        <f>""</f>
        <v/>
      </c>
      <c r="G252" s="1" t="str">
        <f>""</f>
        <v/>
      </c>
      <c r="H252" s="1" t="str">
        <f>""</f>
        <v/>
      </c>
      <c r="I252" s="4">
        <v>4949362122.7700005</v>
      </c>
    </row>
    <row r="253" spans="1:9" x14ac:dyDescent="0.25">
      <c r="A253" s="1">
        <v>248</v>
      </c>
      <c r="B253" s="2">
        <v>46142</v>
      </c>
      <c r="C253" s="1">
        <v>20</v>
      </c>
      <c r="D253" s="1" t="str">
        <f>"5141"</f>
        <v>5141</v>
      </c>
      <c r="E253" s="3" t="str">
        <f>"Расходы по амортизации премии по вкладам, размещенным в других банках"</f>
        <v>Расходы по амортизации премии по вкладам, размещенным в других банках</v>
      </c>
      <c r="F253" s="1" t="str">
        <f>""</f>
        <v/>
      </c>
      <c r="G253" s="1" t="str">
        <f>""</f>
        <v/>
      </c>
      <c r="H253" s="1" t="str">
        <f>""</f>
        <v/>
      </c>
      <c r="I253" s="4">
        <v>38993818.439999998</v>
      </c>
    </row>
    <row r="254" spans="1:9" x14ac:dyDescent="0.25">
      <c r="A254" s="1">
        <v>249</v>
      </c>
      <c r="B254" s="2">
        <v>46142</v>
      </c>
      <c r="C254" s="1">
        <v>20</v>
      </c>
      <c r="D254" s="1" t="str">
        <f>"5203"</f>
        <v>5203</v>
      </c>
      <c r="E254" s="3" t="str">
        <f>"Расходы, связанные с выплатой вознаграждения по текущим счетам клиентов"</f>
        <v>Расходы, связанные с выплатой вознаграждения по текущим счетам клиентов</v>
      </c>
      <c r="F254" s="1" t="str">
        <f>""</f>
        <v/>
      </c>
      <c r="G254" s="1" t="str">
        <f>""</f>
        <v/>
      </c>
      <c r="H254" s="1" t="str">
        <f>""</f>
        <v/>
      </c>
      <c r="I254" s="4">
        <v>10939730580.889999</v>
      </c>
    </row>
    <row r="255" spans="1:9" x14ac:dyDescent="0.25">
      <c r="A255" s="1">
        <v>250</v>
      </c>
      <c r="B255" s="2">
        <v>46142</v>
      </c>
      <c r="C255" s="1">
        <v>20</v>
      </c>
      <c r="D255" s="1" t="str">
        <f>"5215"</f>
        <v>5215</v>
      </c>
      <c r="E255" s="3" t="str">
        <f>"Расходы, связанные с выплатой вознаграждения по краткосрочным вкладам клиентов"</f>
        <v>Расходы, связанные с выплатой вознаграждения по краткосрочным вкладам клиентов</v>
      </c>
      <c r="F255" s="1" t="str">
        <f>""</f>
        <v/>
      </c>
      <c r="G255" s="1" t="str">
        <f>""</f>
        <v/>
      </c>
      <c r="H255" s="1" t="str">
        <f>""</f>
        <v/>
      </c>
      <c r="I255" s="4">
        <v>403059076.33999997</v>
      </c>
    </row>
    <row r="256" spans="1:9" x14ac:dyDescent="0.25">
      <c r="A256" s="1">
        <v>251</v>
      </c>
      <c r="B256" s="2">
        <v>46142</v>
      </c>
      <c r="C256" s="1">
        <v>20</v>
      </c>
      <c r="D256" s="1" t="str">
        <f>"5217"</f>
        <v>5217</v>
      </c>
      <c r="E256" s="3" t="str">
        <f>"Расходы, связанные с выплатой вознаграждения по долгосрочным вкладам клиентов"</f>
        <v>Расходы, связанные с выплатой вознаграждения по долгосрочным вкладам клиентов</v>
      </c>
      <c r="F256" s="1" t="str">
        <f>""</f>
        <v/>
      </c>
      <c r="G256" s="1" t="str">
        <f>""</f>
        <v/>
      </c>
      <c r="H256" s="1" t="str">
        <f>""</f>
        <v/>
      </c>
      <c r="I256" s="4">
        <v>13268781988.379999</v>
      </c>
    </row>
    <row r="257" spans="1:9" x14ac:dyDescent="0.25">
      <c r="A257" s="1">
        <v>252</v>
      </c>
      <c r="B257" s="2">
        <v>46142</v>
      </c>
      <c r="C257" s="1">
        <v>20</v>
      </c>
      <c r="D257" s="1" t="str">
        <f>"5223"</f>
        <v>5223</v>
      </c>
      <c r="E257" s="3" t="str">
        <f>"Расходы, связанные с выплатой вознаграждения по вкладу, являющемуся обеспечением обязательств клиентов"</f>
        <v>Расходы, связанные с выплатой вознаграждения по вкладу, являющемуся обеспечением обязательств клиентов</v>
      </c>
      <c r="F257" s="1" t="str">
        <f>""</f>
        <v/>
      </c>
      <c r="G257" s="1" t="str">
        <f>""</f>
        <v/>
      </c>
      <c r="H257" s="1" t="str">
        <f>""</f>
        <v/>
      </c>
      <c r="I257" s="4">
        <v>7506595762.6999998</v>
      </c>
    </row>
    <row r="258" spans="1:9" x14ac:dyDescent="0.25">
      <c r="A258" s="1">
        <v>253</v>
      </c>
      <c r="B258" s="2">
        <v>46142</v>
      </c>
      <c r="C258" s="1">
        <v>20</v>
      </c>
      <c r="D258" s="1" t="str">
        <f>"5227"</f>
        <v>5227</v>
      </c>
      <c r="E258" s="3" t="str">
        <f>"Процентные расходы по обязательствам по аренде"</f>
        <v>Процентные расходы по обязательствам по аренде</v>
      </c>
      <c r="F258" s="1" t="str">
        <f>""</f>
        <v/>
      </c>
      <c r="G258" s="1" t="str">
        <f>""</f>
        <v/>
      </c>
      <c r="H258" s="1" t="str">
        <f>""</f>
        <v/>
      </c>
      <c r="I258" s="4">
        <v>82844815.120000005</v>
      </c>
    </row>
    <row r="259" spans="1:9" ht="30" x14ac:dyDescent="0.25">
      <c r="A259" s="1">
        <v>254</v>
      </c>
      <c r="B259" s="2">
        <v>46142</v>
      </c>
      <c r="C259" s="1">
        <v>20</v>
      </c>
      <c r="D259" s="1" t="str">
        <f>"5240"</f>
        <v>5240</v>
      </c>
      <c r="E259" s="3" t="str">
        <f>"Расходы в виде корректировки процентных доходов, признаваемых методом эффективной ставки процента, по займам, предоставленным клиентам"</f>
        <v>Расходы в виде корректировки процентных доходов, признаваемых методом эффективной ставки процента, по займам, предоставленным клиентам</v>
      </c>
      <c r="F259" s="1" t="str">
        <f>""</f>
        <v/>
      </c>
      <c r="G259" s="1" t="str">
        <f>""</f>
        <v/>
      </c>
      <c r="H259" s="1" t="str">
        <f>""</f>
        <v/>
      </c>
      <c r="I259" s="4">
        <v>152830052.97</v>
      </c>
    </row>
    <row r="260" spans="1:9" ht="30" x14ac:dyDescent="0.25">
      <c r="A260" s="1">
        <v>255</v>
      </c>
      <c r="B260" s="2">
        <v>46142</v>
      </c>
      <c r="C260" s="1">
        <v>20</v>
      </c>
      <c r="D260" s="1" t="str">
        <f>"5241"</f>
        <v>5241</v>
      </c>
      <c r="E260" s="3" t="str">
        <f>"Расходы в виде корректировки валовой балансовой стоимости в связи с модификацией займов, предоставленных клиентам, и (или) в виде корректировки займов, предоставленных по нерыночной ставке процента"</f>
        <v>Расходы в виде корректировки валовой балансовой стоимости в связи с модификацией займов, предоставленных клиентам, и (или) в виде корректировки займов, предоставленных по нерыночной ставке процента</v>
      </c>
      <c r="F260" s="1" t="str">
        <f>""</f>
        <v/>
      </c>
      <c r="G260" s="1" t="str">
        <f>""</f>
        <v/>
      </c>
      <c r="H260" s="1" t="str">
        <f>""</f>
        <v/>
      </c>
      <c r="I260" s="4">
        <v>12788625937.17</v>
      </c>
    </row>
    <row r="261" spans="1:9" x14ac:dyDescent="0.25">
      <c r="A261" s="1">
        <v>256</v>
      </c>
      <c r="B261" s="2">
        <v>46142</v>
      </c>
      <c r="C261" s="1">
        <v>20</v>
      </c>
      <c r="D261" s="1" t="str">
        <f>"5301"</f>
        <v>5301</v>
      </c>
      <c r="E261" s="3" t="str">
        <f>"Расходы, связанные с выплатой вознаграждения по выпущенным в обращение облигациям"</f>
        <v>Расходы, связанные с выплатой вознаграждения по выпущенным в обращение облигациям</v>
      </c>
      <c r="F261" s="1" t="str">
        <f>""</f>
        <v/>
      </c>
      <c r="G261" s="1" t="str">
        <f>""</f>
        <v/>
      </c>
      <c r="H261" s="1" t="str">
        <f>""</f>
        <v/>
      </c>
      <c r="I261" s="4">
        <v>34053619868.330002</v>
      </c>
    </row>
    <row r="262" spans="1:9" ht="30" x14ac:dyDescent="0.25">
      <c r="A262" s="1">
        <v>257</v>
      </c>
      <c r="B262" s="2">
        <v>46142</v>
      </c>
      <c r="C262" s="1">
        <v>20</v>
      </c>
      <c r="D262" s="1" t="str">
        <f>"5306"</f>
        <v>5306</v>
      </c>
      <c r="E262" s="3" t="str">
        <f>"Расходы по амортизации премии по ценным бумагам, учитываемым по справедливой стоимости через прочий совокупный доход"</f>
        <v>Расходы по амортизации премии по ценным бумагам, учитываемым по справедливой стоимости через прочий совокупный доход</v>
      </c>
      <c r="F262" s="1" t="str">
        <f>""</f>
        <v/>
      </c>
      <c r="G262" s="1" t="str">
        <f>""</f>
        <v/>
      </c>
      <c r="H262" s="1" t="str">
        <f>""</f>
        <v/>
      </c>
      <c r="I262" s="4">
        <v>2274.25</v>
      </c>
    </row>
    <row r="263" spans="1:9" x14ac:dyDescent="0.25">
      <c r="A263" s="1">
        <v>258</v>
      </c>
      <c r="B263" s="2">
        <v>46142</v>
      </c>
      <c r="C263" s="1">
        <v>20</v>
      </c>
      <c r="D263" s="1" t="str">
        <f>"5307"</f>
        <v>5307</v>
      </c>
      <c r="E263" s="3" t="str">
        <f>"Расходы по амортизации дисконта по выпущенным в обращение ценным бумагам"</f>
        <v>Расходы по амортизации дисконта по выпущенным в обращение ценным бумагам</v>
      </c>
      <c r="F263" s="1" t="str">
        <f>""</f>
        <v/>
      </c>
      <c r="G263" s="1" t="str">
        <f>""</f>
        <v/>
      </c>
      <c r="H263" s="1" t="str">
        <f>""</f>
        <v/>
      </c>
      <c r="I263" s="4">
        <v>1341113633.8299999</v>
      </c>
    </row>
    <row r="264" spans="1:9" x14ac:dyDescent="0.25">
      <c r="A264" s="1">
        <v>259</v>
      </c>
      <c r="B264" s="2">
        <v>46142</v>
      </c>
      <c r="C264" s="1">
        <v>20</v>
      </c>
      <c r="D264" s="1" t="str">
        <f>"5308"</f>
        <v>5308</v>
      </c>
      <c r="E264" s="3" t="str">
        <f>"Расходы по амортизации премии по ценным бумагам, учитываемым по амортизированной стоимости"</f>
        <v>Расходы по амортизации премии по ценным бумагам, учитываемым по амортизированной стоимости</v>
      </c>
      <c r="F264" s="1" t="str">
        <f>""</f>
        <v/>
      </c>
      <c r="G264" s="1" t="str">
        <f>""</f>
        <v/>
      </c>
      <c r="H264" s="1" t="str">
        <f>""</f>
        <v/>
      </c>
      <c r="I264" s="4">
        <v>20962842.629999999</v>
      </c>
    </row>
    <row r="265" spans="1:9" x14ac:dyDescent="0.25">
      <c r="A265" s="1">
        <v>260</v>
      </c>
      <c r="B265" s="2">
        <v>46142</v>
      </c>
      <c r="C265" s="1">
        <v>20</v>
      </c>
      <c r="D265" s="1" t="str">
        <f>"5451"</f>
        <v>5451</v>
      </c>
      <c r="E265" s="3" t="str">
        <f>"Расходы на формирование резервов (провизий) по вкладам, размещенным в других банках"</f>
        <v>Расходы на формирование резервов (провизий) по вкладам, размещенным в других банках</v>
      </c>
      <c r="F265" s="1" t="str">
        <f>""</f>
        <v/>
      </c>
      <c r="G265" s="1" t="str">
        <f>""</f>
        <v/>
      </c>
      <c r="H265" s="1" t="str">
        <f>""</f>
        <v/>
      </c>
      <c r="I265" s="4">
        <v>59067104.57</v>
      </c>
    </row>
    <row r="266" spans="1:9" x14ac:dyDescent="0.25">
      <c r="A266" s="1">
        <v>261</v>
      </c>
      <c r="B266" s="2">
        <v>46142</v>
      </c>
      <c r="C266" s="1">
        <v>20</v>
      </c>
      <c r="D266" s="1" t="str">
        <f>"5455"</f>
        <v>5455</v>
      </c>
      <c r="E266" s="3" t="str">
        <f>"Расходы на формирование резервов (провизий) по займам и финансовому лизингу, предоставленным клиентам"</f>
        <v>Расходы на формирование резервов (провизий) по займам и финансовому лизингу, предоставленным клиентам</v>
      </c>
      <c r="F266" s="1" t="str">
        <f>""</f>
        <v/>
      </c>
      <c r="G266" s="1" t="str">
        <f>""</f>
        <v/>
      </c>
      <c r="H266" s="1" t="str">
        <f>""</f>
        <v/>
      </c>
      <c r="I266" s="4">
        <v>12787452295.620001</v>
      </c>
    </row>
    <row r="267" spans="1:9" ht="30" x14ac:dyDescent="0.25">
      <c r="A267" s="1">
        <v>262</v>
      </c>
      <c r="B267" s="2">
        <v>46142</v>
      </c>
      <c r="C267" s="1">
        <v>20</v>
      </c>
      <c r="D267" s="1" t="str">
        <f>"5456"</f>
        <v>5456</v>
      </c>
      <c r="E267" s="3" t="str">
        <f>"Расходы на формирование резервов (провизий) по корреспондентским счетам в других банках и текущим счетам ипотечных организаций"</f>
        <v>Расходы на формирование резервов (провизий) по корреспондентским счетам в других банках и текущим счетам ипотечных организаций</v>
      </c>
      <c r="F267" s="1" t="str">
        <f>""</f>
        <v/>
      </c>
      <c r="G267" s="1" t="str">
        <f>""</f>
        <v/>
      </c>
      <c r="H267" s="1" t="str">
        <f>""</f>
        <v/>
      </c>
      <c r="I267" s="4">
        <v>14163294.83</v>
      </c>
    </row>
    <row r="268" spans="1:9" x14ac:dyDescent="0.25">
      <c r="A268" s="1">
        <v>263</v>
      </c>
      <c r="B268" s="2">
        <v>46142</v>
      </c>
      <c r="C268" s="1">
        <v>20</v>
      </c>
      <c r="D268" s="1" t="str">
        <f>"5457"</f>
        <v>5457</v>
      </c>
      <c r="E268" s="3" t="str">
        <f>"Расходы на формирование резервов  (провизий) по начисленным и просроченным комиссионным доходам"</f>
        <v>Расходы на формирование резервов  (провизий) по начисленным и просроченным комиссионным доходам</v>
      </c>
      <c r="F268" s="1" t="str">
        <f>""</f>
        <v/>
      </c>
      <c r="G268" s="1" t="str">
        <f>""</f>
        <v/>
      </c>
      <c r="H268" s="1" t="str">
        <f>""</f>
        <v/>
      </c>
      <c r="I268" s="4">
        <v>115003369.61</v>
      </c>
    </row>
    <row r="269" spans="1:9" ht="30" x14ac:dyDescent="0.25">
      <c r="A269" s="1">
        <v>264</v>
      </c>
      <c r="B269" s="2">
        <v>46142</v>
      </c>
      <c r="C269" s="1">
        <v>20</v>
      </c>
      <c r="D269" s="1" t="str">
        <f>"5459"</f>
        <v>5459</v>
      </c>
      <c r="E269" s="3" t="str">
        <f>"Расходы на формирование резервов (провизий) по дебиторской задолженности, связанной с неосновной деятельностью"</f>
        <v>Расходы на формирование резервов (провизий) по дебиторской задолженности, связанной с неосновной деятельностью</v>
      </c>
      <c r="F269" s="1" t="str">
        <f>""</f>
        <v/>
      </c>
      <c r="G269" s="1" t="str">
        <f>""</f>
        <v/>
      </c>
      <c r="H269" s="1" t="str">
        <f>""</f>
        <v/>
      </c>
      <c r="I269" s="4">
        <v>2172117983.1300001</v>
      </c>
    </row>
    <row r="270" spans="1:9" x14ac:dyDescent="0.25">
      <c r="A270" s="1">
        <v>265</v>
      </c>
      <c r="B270" s="2">
        <v>46142</v>
      </c>
      <c r="C270" s="1">
        <v>20</v>
      </c>
      <c r="D270" s="1" t="str">
        <f>"5464"</f>
        <v>5464</v>
      </c>
      <c r="E270" s="3" t="str">
        <f>"Расходы на формирование резервов (провизий) по ценным бумагам"</f>
        <v>Расходы на формирование резервов (провизий) по ценным бумагам</v>
      </c>
      <c r="F270" s="1" t="str">
        <f>""</f>
        <v/>
      </c>
      <c r="G270" s="1" t="str">
        <f>""</f>
        <v/>
      </c>
      <c r="H270" s="1" t="str">
        <f>""</f>
        <v/>
      </c>
      <c r="I270" s="4">
        <v>129087519.98999999</v>
      </c>
    </row>
    <row r="271" spans="1:9" x14ac:dyDescent="0.25">
      <c r="A271" s="1">
        <v>266</v>
      </c>
      <c r="B271" s="2">
        <v>46142</v>
      </c>
      <c r="C271" s="1">
        <v>20</v>
      </c>
      <c r="D271" s="1" t="str">
        <f>"5530"</f>
        <v>5530</v>
      </c>
      <c r="E271" s="3" t="str">
        <f>"Расходы по купле-продаже иностранной валюты"</f>
        <v>Расходы по купле-продаже иностранной валюты</v>
      </c>
      <c r="F271" s="1" t="str">
        <f>""</f>
        <v/>
      </c>
      <c r="G271" s="1" t="str">
        <f>""</f>
        <v/>
      </c>
      <c r="H271" s="1" t="str">
        <f>""</f>
        <v/>
      </c>
      <c r="I271" s="4">
        <v>3623546.8799999999</v>
      </c>
    </row>
    <row r="272" spans="1:9" x14ac:dyDescent="0.25">
      <c r="A272" s="1">
        <v>267</v>
      </c>
      <c r="B272" s="2">
        <v>46142</v>
      </c>
      <c r="C272" s="1">
        <v>20</v>
      </c>
      <c r="D272" s="1" t="str">
        <f>"5601"</f>
        <v>5601</v>
      </c>
      <c r="E272" s="3" t="str">
        <f>"Комиссионные расходы по полученным услугам по переводным операциям"</f>
        <v>Комиссионные расходы по полученным услугам по переводным операциям</v>
      </c>
      <c r="F272" s="1" t="str">
        <f>""</f>
        <v/>
      </c>
      <c r="G272" s="1" t="str">
        <f>""</f>
        <v/>
      </c>
      <c r="H272" s="1" t="str">
        <f>""</f>
        <v/>
      </c>
      <c r="I272" s="4">
        <v>991340618.17999995</v>
      </c>
    </row>
    <row r="273" spans="1:9" x14ac:dyDescent="0.25">
      <c r="A273" s="1">
        <v>268</v>
      </c>
      <c r="B273" s="2">
        <v>46142</v>
      </c>
      <c r="C273" s="1">
        <v>20</v>
      </c>
      <c r="D273" s="1" t="str">
        <f>"5602"</f>
        <v>5602</v>
      </c>
      <c r="E273" s="3" t="str">
        <f>"Комиссионные расходы по полученным агентским услугам"</f>
        <v>Комиссионные расходы по полученным агентским услугам</v>
      </c>
      <c r="F273" s="1" t="str">
        <f>""</f>
        <v/>
      </c>
      <c r="G273" s="1" t="str">
        <f>""</f>
        <v/>
      </c>
      <c r="H273" s="1" t="str">
        <f>""</f>
        <v/>
      </c>
      <c r="I273" s="4">
        <v>2465198019</v>
      </c>
    </row>
    <row r="274" spans="1:9" x14ac:dyDescent="0.25">
      <c r="A274" s="1">
        <v>269</v>
      </c>
      <c r="B274" s="2">
        <v>46142</v>
      </c>
      <c r="C274" s="1">
        <v>20</v>
      </c>
      <c r="D274" s="1" t="str">
        <f>"5603"</f>
        <v>5603</v>
      </c>
      <c r="E274" s="3" t="str">
        <f>"Комиссионные расходы по полученным услугам по купле-продаже ценных бумаг"</f>
        <v>Комиссионные расходы по полученным услугам по купле-продаже ценных бумаг</v>
      </c>
      <c r="F274" s="1" t="str">
        <f>""</f>
        <v/>
      </c>
      <c r="G274" s="1" t="str">
        <f>""</f>
        <v/>
      </c>
      <c r="H274" s="1" t="str">
        <f>""</f>
        <v/>
      </c>
      <c r="I274" s="4">
        <v>822580.08</v>
      </c>
    </row>
    <row r="275" spans="1:9" x14ac:dyDescent="0.25">
      <c r="A275" s="1">
        <v>270</v>
      </c>
      <c r="B275" s="2">
        <v>46142</v>
      </c>
      <c r="C275" s="1">
        <v>20</v>
      </c>
      <c r="D275" s="1" t="str">
        <f>"5608"</f>
        <v>5608</v>
      </c>
      <c r="E275" s="3" t="str">
        <f>"Прочие комиссионные расходы"</f>
        <v>Прочие комиссионные расходы</v>
      </c>
      <c r="F275" s="1" t="str">
        <f>""</f>
        <v/>
      </c>
      <c r="G275" s="1" t="str">
        <f>""</f>
        <v/>
      </c>
      <c r="H275" s="1" t="str">
        <f>""</f>
        <v/>
      </c>
      <c r="I275" s="4">
        <v>17718330.489999998</v>
      </c>
    </row>
    <row r="276" spans="1:9" x14ac:dyDescent="0.25">
      <c r="A276" s="1">
        <v>271</v>
      </c>
      <c r="B276" s="2">
        <v>46142</v>
      </c>
      <c r="C276" s="1">
        <v>20</v>
      </c>
      <c r="D276" s="1" t="str">
        <f>"5703"</f>
        <v>5703</v>
      </c>
      <c r="E276" s="3" t="str">
        <f>"Расходы от переоценки иностранной валюты"</f>
        <v>Расходы от переоценки иностранной валюты</v>
      </c>
      <c r="F276" s="1" t="str">
        <f>""</f>
        <v/>
      </c>
      <c r="G276" s="1" t="str">
        <f>""</f>
        <v/>
      </c>
      <c r="H276" s="1" t="str">
        <f>""</f>
        <v/>
      </c>
      <c r="I276" s="4">
        <v>3567633243.7800002</v>
      </c>
    </row>
    <row r="277" spans="1:9" x14ac:dyDescent="0.25">
      <c r="A277" s="1">
        <v>272</v>
      </c>
      <c r="B277" s="2">
        <v>46142</v>
      </c>
      <c r="C277" s="1">
        <v>20</v>
      </c>
      <c r="D277" s="1" t="str">
        <f>"5721"</f>
        <v>5721</v>
      </c>
      <c r="E277" s="3" t="str">
        <f>"Расходы по оплате труда"</f>
        <v>Расходы по оплате труда</v>
      </c>
      <c r="F277" s="1" t="str">
        <f>""</f>
        <v/>
      </c>
      <c r="G277" s="1" t="str">
        <f>""</f>
        <v/>
      </c>
      <c r="H277" s="1" t="str">
        <f>""</f>
        <v/>
      </c>
      <c r="I277" s="4">
        <v>6819101776.9899998</v>
      </c>
    </row>
    <row r="278" spans="1:9" ht="30" x14ac:dyDescent="0.25">
      <c r="A278" s="1">
        <v>273</v>
      </c>
      <c r="B278" s="2">
        <v>46142</v>
      </c>
      <c r="C278" s="1">
        <v>20</v>
      </c>
      <c r="D278" s="1" t="str">
        <f>"5722"</f>
        <v>5722</v>
      </c>
      <c r="E278" s="3" t="str">
        <f>"Социальные отчисления, отчисления по обязательному социальному медицинскому страхованию и обязательные пенсионные взносы работодателя"</f>
        <v>Социальные отчисления, отчисления по обязательному социальному медицинскому страхованию и обязательные пенсионные взносы работодателя</v>
      </c>
      <c r="F278" s="1" t="str">
        <f>""</f>
        <v/>
      </c>
      <c r="G278" s="1" t="str">
        <f>""</f>
        <v/>
      </c>
      <c r="H278" s="1" t="str">
        <f>""</f>
        <v/>
      </c>
      <c r="I278" s="4">
        <v>593940582</v>
      </c>
    </row>
    <row r="279" spans="1:9" x14ac:dyDescent="0.25">
      <c r="A279" s="1">
        <v>274</v>
      </c>
      <c r="B279" s="2">
        <v>46142</v>
      </c>
      <c r="C279" s="1">
        <v>20</v>
      </c>
      <c r="D279" s="1" t="str">
        <f>"5729"</f>
        <v>5729</v>
      </c>
      <c r="E279" s="3" t="str">
        <f>"Прочие выплаты"</f>
        <v>Прочие выплаты</v>
      </c>
      <c r="F279" s="1" t="str">
        <f>""</f>
        <v/>
      </c>
      <c r="G279" s="1" t="str">
        <f>""</f>
        <v/>
      </c>
      <c r="H279" s="1" t="str">
        <f>""</f>
        <v/>
      </c>
      <c r="I279" s="4">
        <v>1069737120</v>
      </c>
    </row>
    <row r="280" spans="1:9" x14ac:dyDescent="0.25">
      <c r="A280" s="1">
        <v>275</v>
      </c>
      <c r="B280" s="2">
        <v>46142</v>
      </c>
      <c r="C280" s="1">
        <v>20</v>
      </c>
      <c r="D280" s="1" t="str">
        <f>"5741"</f>
        <v>5741</v>
      </c>
      <c r="E280" s="3" t="str">
        <f>"Транспортные расходы"</f>
        <v>Транспортные расходы</v>
      </c>
      <c r="F280" s="1" t="str">
        <f>""</f>
        <v/>
      </c>
      <c r="G280" s="1" t="str">
        <f>""</f>
        <v/>
      </c>
      <c r="H280" s="1" t="str">
        <f>""</f>
        <v/>
      </c>
      <c r="I280" s="4">
        <v>2373832.69</v>
      </c>
    </row>
    <row r="281" spans="1:9" x14ac:dyDescent="0.25">
      <c r="A281" s="1">
        <v>276</v>
      </c>
      <c r="B281" s="2">
        <v>46142</v>
      </c>
      <c r="C281" s="1">
        <v>20</v>
      </c>
      <c r="D281" s="1" t="str">
        <f>"5742"</f>
        <v>5742</v>
      </c>
      <c r="E281" s="3" t="str">
        <f>"Административные расходы"</f>
        <v>Административные расходы</v>
      </c>
      <c r="F281" s="1" t="str">
        <f>""</f>
        <v/>
      </c>
      <c r="G281" s="1" t="str">
        <f>""</f>
        <v/>
      </c>
      <c r="H281" s="1" t="str">
        <f>""</f>
        <v/>
      </c>
      <c r="I281" s="4">
        <v>1654790293.23</v>
      </c>
    </row>
    <row r="282" spans="1:9" x14ac:dyDescent="0.25">
      <c r="A282" s="1">
        <v>277</v>
      </c>
      <c r="B282" s="2">
        <v>46142</v>
      </c>
      <c r="C282" s="1">
        <v>20</v>
      </c>
      <c r="D282" s="1" t="str">
        <f>"5743"</f>
        <v>5743</v>
      </c>
      <c r="E282" s="3" t="str">
        <f>"Расходы на инкассацию"</f>
        <v>Расходы на инкассацию</v>
      </c>
      <c r="F282" s="1" t="str">
        <f>""</f>
        <v/>
      </c>
      <c r="G282" s="1" t="str">
        <f>""</f>
        <v/>
      </c>
      <c r="H282" s="1" t="str">
        <f>""</f>
        <v/>
      </c>
      <c r="I282" s="4">
        <v>40979439.149999999</v>
      </c>
    </row>
    <row r="283" spans="1:9" x14ac:dyDescent="0.25">
      <c r="A283" s="1">
        <v>278</v>
      </c>
      <c r="B283" s="2">
        <v>46142</v>
      </c>
      <c r="C283" s="1">
        <v>20</v>
      </c>
      <c r="D283" s="1" t="str">
        <f>"5744"</f>
        <v>5744</v>
      </c>
      <c r="E283" s="3" t="str">
        <f>"Расходы на ремонт"</f>
        <v>Расходы на ремонт</v>
      </c>
      <c r="F283" s="1" t="str">
        <f>""</f>
        <v/>
      </c>
      <c r="G283" s="1" t="str">
        <f>""</f>
        <v/>
      </c>
      <c r="H283" s="1" t="str">
        <f>""</f>
        <v/>
      </c>
      <c r="I283" s="4">
        <v>1755689.62</v>
      </c>
    </row>
    <row r="284" spans="1:9" x14ac:dyDescent="0.25">
      <c r="A284" s="1">
        <v>279</v>
      </c>
      <c r="B284" s="2">
        <v>46142</v>
      </c>
      <c r="C284" s="1">
        <v>20</v>
      </c>
      <c r="D284" s="1" t="str">
        <f>"5745"</f>
        <v>5745</v>
      </c>
      <c r="E284" s="3" t="str">
        <f>"Расходы на рекламу"</f>
        <v>Расходы на рекламу</v>
      </c>
      <c r="F284" s="1" t="str">
        <f>""</f>
        <v/>
      </c>
      <c r="G284" s="1" t="str">
        <f>""</f>
        <v/>
      </c>
      <c r="H284" s="1" t="str">
        <f>""</f>
        <v/>
      </c>
      <c r="I284" s="4">
        <v>7280000</v>
      </c>
    </row>
    <row r="285" spans="1:9" x14ac:dyDescent="0.25">
      <c r="A285" s="1">
        <v>280</v>
      </c>
      <c r="B285" s="2">
        <v>46142</v>
      </c>
      <c r="C285" s="1">
        <v>20</v>
      </c>
      <c r="D285" s="1" t="str">
        <f>"5746"</f>
        <v>5746</v>
      </c>
      <c r="E285" s="3" t="str">
        <f>"Расходы на охрану и сигнализацию"</f>
        <v>Расходы на охрану и сигнализацию</v>
      </c>
      <c r="F285" s="1" t="str">
        <f>""</f>
        <v/>
      </c>
      <c r="G285" s="1" t="str">
        <f>""</f>
        <v/>
      </c>
      <c r="H285" s="1" t="str">
        <f>""</f>
        <v/>
      </c>
      <c r="I285" s="4">
        <v>208431113.33000001</v>
      </c>
    </row>
    <row r="286" spans="1:9" x14ac:dyDescent="0.25">
      <c r="A286" s="1">
        <v>281</v>
      </c>
      <c r="B286" s="2">
        <v>46142</v>
      </c>
      <c r="C286" s="1">
        <v>20</v>
      </c>
      <c r="D286" s="1" t="str">
        <f>"5747"</f>
        <v>5747</v>
      </c>
      <c r="E286" s="3" t="str">
        <f>"Представительские расходы"</f>
        <v>Представительские расходы</v>
      </c>
      <c r="F286" s="1" t="str">
        <f>""</f>
        <v/>
      </c>
      <c r="G286" s="1" t="str">
        <f>""</f>
        <v/>
      </c>
      <c r="H286" s="1" t="str">
        <f>""</f>
        <v/>
      </c>
      <c r="I286" s="4">
        <v>294100</v>
      </c>
    </row>
    <row r="287" spans="1:9" x14ac:dyDescent="0.25">
      <c r="A287" s="1">
        <v>282</v>
      </c>
      <c r="B287" s="2">
        <v>46142</v>
      </c>
      <c r="C287" s="1">
        <v>20</v>
      </c>
      <c r="D287" s="1" t="str">
        <f>"5748"</f>
        <v>5748</v>
      </c>
      <c r="E287" s="3" t="str">
        <f>"Прочие общехозяйственные расходы"</f>
        <v>Прочие общехозяйственные расходы</v>
      </c>
      <c r="F287" s="1" t="str">
        <f>""</f>
        <v/>
      </c>
      <c r="G287" s="1" t="str">
        <f>""</f>
        <v/>
      </c>
      <c r="H287" s="1" t="str">
        <f>""</f>
        <v/>
      </c>
      <c r="I287" s="4">
        <v>103190666.44</v>
      </c>
    </row>
    <row r="288" spans="1:9" x14ac:dyDescent="0.25">
      <c r="A288" s="1">
        <v>283</v>
      </c>
      <c r="B288" s="2">
        <v>46142</v>
      </c>
      <c r="C288" s="1">
        <v>20</v>
      </c>
      <c r="D288" s="1" t="str">
        <f>"5749"</f>
        <v>5749</v>
      </c>
      <c r="E288" s="3" t="str">
        <f>"Расходы на служебные командировки"</f>
        <v>Расходы на служебные командировки</v>
      </c>
      <c r="F288" s="1" t="str">
        <f>""</f>
        <v/>
      </c>
      <c r="G288" s="1" t="str">
        <f>""</f>
        <v/>
      </c>
      <c r="H288" s="1" t="str">
        <f>""</f>
        <v/>
      </c>
      <c r="I288" s="4">
        <v>79505841.400000006</v>
      </c>
    </row>
    <row r="289" spans="1:9" x14ac:dyDescent="0.25">
      <c r="A289" s="1">
        <v>284</v>
      </c>
      <c r="B289" s="2">
        <v>46142</v>
      </c>
      <c r="C289" s="1">
        <v>20</v>
      </c>
      <c r="D289" s="1" t="str">
        <f>"5750"</f>
        <v>5750</v>
      </c>
      <c r="E289" s="3" t="str">
        <f>"Расходы по аудиту и консультационным услугам"</f>
        <v>Расходы по аудиту и консультационным услугам</v>
      </c>
      <c r="F289" s="1" t="str">
        <f>""</f>
        <v/>
      </c>
      <c r="G289" s="1" t="str">
        <f>""</f>
        <v/>
      </c>
      <c r="H289" s="1" t="str">
        <f>""</f>
        <v/>
      </c>
      <c r="I289" s="4">
        <v>42000000</v>
      </c>
    </row>
    <row r="290" spans="1:9" x14ac:dyDescent="0.25">
      <c r="A290" s="1">
        <v>285</v>
      </c>
      <c r="B290" s="2">
        <v>46142</v>
      </c>
      <c r="C290" s="1">
        <v>20</v>
      </c>
      <c r="D290" s="1" t="str">
        <f>"5752"</f>
        <v>5752</v>
      </c>
      <c r="E290" s="3" t="str">
        <f>"Расходы по страхованию"</f>
        <v>Расходы по страхованию</v>
      </c>
      <c r="F290" s="1" t="str">
        <f>""</f>
        <v/>
      </c>
      <c r="G290" s="1" t="str">
        <f>""</f>
        <v/>
      </c>
      <c r="H290" s="1" t="str">
        <f>""</f>
        <v/>
      </c>
      <c r="I290" s="4">
        <v>135909106.22</v>
      </c>
    </row>
    <row r="291" spans="1:9" x14ac:dyDescent="0.25">
      <c r="A291" s="1">
        <v>286</v>
      </c>
      <c r="B291" s="2">
        <v>46142</v>
      </c>
      <c r="C291" s="1">
        <v>20</v>
      </c>
      <c r="D291" s="1" t="str">
        <f>"5753"</f>
        <v>5753</v>
      </c>
      <c r="E291" s="3" t="str">
        <f>"Расходы по услугам связи"</f>
        <v>Расходы по услугам связи</v>
      </c>
      <c r="F291" s="1" t="str">
        <f>""</f>
        <v/>
      </c>
      <c r="G291" s="1" t="str">
        <f>""</f>
        <v/>
      </c>
      <c r="H291" s="1" t="str">
        <f>""</f>
        <v/>
      </c>
      <c r="I291" s="4">
        <v>517280565.02999997</v>
      </c>
    </row>
    <row r="292" spans="1:9" ht="45" x14ac:dyDescent="0.25">
      <c r="A292" s="1">
        <v>287</v>
      </c>
      <c r="B292" s="2">
        <v>46142</v>
      </c>
      <c r="C292" s="1">
        <v>20</v>
      </c>
      <c r="D292" s="1" t="str">
        <f>"5754"</f>
        <v>5754</v>
      </c>
      <c r="E292" s="3" t="str">
        <f>"Расходы в виде платежей, сборов, взносов в специальные фонды, в том числе в акционерное общество «Казахстанский фонд гарантирования депозитов», в гарантийный фонд Акционерное общество «Фонд развития предпринимательства «Даму»"</f>
        <v>Расходы в виде платежей, сборов, взносов в специальные фонды, в том числе в акционерное общество «Казахстанский фонд гарантирования депозитов», в гарантийный фонд Акционерное общество «Фонд развития предпринимательства «Даму»</v>
      </c>
      <c r="F292" s="1" t="str">
        <f>""</f>
        <v/>
      </c>
      <c r="G292" s="1" t="str">
        <f>""</f>
        <v/>
      </c>
      <c r="H292" s="1" t="str">
        <f>""</f>
        <v/>
      </c>
      <c r="I292" s="4">
        <v>3476198020.6700001</v>
      </c>
    </row>
    <row r="293" spans="1:9" x14ac:dyDescent="0.25">
      <c r="A293" s="1">
        <v>288</v>
      </c>
      <c r="B293" s="2">
        <v>46142</v>
      </c>
      <c r="C293" s="1">
        <v>20</v>
      </c>
      <c r="D293" s="1" t="str">
        <f>"5761"</f>
        <v>5761</v>
      </c>
      <c r="E293" s="3" t="str">
        <f>"Налог на добавленную стоимость"</f>
        <v>Налог на добавленную стоимость</v>
      </c>
      <c r="F293" s="1" t="str">
        <f>""</f>
        <v/>
      </c>
      <c r="G293" s="1" t="str">
        <f>""</f>
        <v/>
      </c>
      <c r="H293" s="1" t="str">
        <f>""</f>
        <v/>
      </c>
      <c r="I293" s="4">
        <v>591443510.01999998</v>
      </c>
    </row>
    <row r="294" spans="1:9" x14ac:dyDescent="0.25">
      <c r="A294" s="1">
        <v>289</v>
      </c>
      <c r="B294" s="2">
        <v>46142</v>
      </c>
      <c r="C294" s="1">
        <v>20</v>
      </c>
      <c r="D294" s="1" t="str">
        <f>"5763"</f>
        <v>5763</v>
      </c>
      <c r="E294" s="3" t="str">
        <f>"Социальный налог"</f>
        <v>Социальный налог</v>
      </c>
      <c r="F294" s="1" t="str">
        <f>""</f>
        <v/>
      </c>
      <c r="G294" s="1" t="str">
        <f>""</f>
        <v/>
      </c>
      <c r="H294" s="1" t="str">
        <f>""</f>
        <v/>
      </c>
      <c r="I294" s="4">
        <v>390217671</v>
      </c>
    </row>
    <row r="295" spans="1:9" x14ac:dyDescent="0.25">
      <c r="A295" s="1">
        <v>290</v>
      </c>
      <c r="B295" s="2">
        <v>46142</v>
      </c>
      <c r="C295" s="1">
        <v>20</v>
      </c>
      <c r="D295" s="1" t="str">
        <f>"5764"</f>
        <v>5764</v>
      </c>
      <c r="E295" s="3" t="str">
        <f>"Земельный налог"</f>
        <v>Земельный налог</v>
      </c>
      <c r="F295" s="1" t="str">
        <f>""</f>
        <v/>
      </c>
      <c r="G295" s="1" t="str">
        <f>""</f>
        <v/>
      </c>
      <c r="H295" s="1" t="str">
        <f>""</f>
        <v/>
      </c>
      <c r="I295" s="4">
        <v>20334</v>
      </c>
    </row>
    <row r="296" spans="1:9" x14ac:dyDescent="0.25">
      <c r="A296" s="1">
        <v>291</v>
      </c>
      <c r="B296" s="2">
        <v>46142</v>
      </c>
      <c r="C296" s="1">
        <v>20</v>
      </c>
      <c r="D296" s="1" t="str">
        <f>"5765"</f>
        <v>5765</v>
      </c>
      <c r="E296" s="3" t="str">
        <f>"Налог на имущество юридических лиц"</f>
        <v>Налог на имущество юридических лиц</v>
      </c>
      <c r="F296" s="1" t="str">
        <f>""</f>
        <v/>
      </c>
      <c r="G296" s="1" t="str">
        <f>""</f>
        <v/>
      </c>
      <c r="H296" s="1" t="str">
        <f>""</f>
        <v/>
      </c>
      <c r="I296" s="4">
        <v>86098988</v>
      </c>
    </row>
    <row r="297" spans="1:9" x14ac:dyDescent="0.25">
      <c r="A297" s="1">
        <v>292</v>
      </c>
      <c r="B297" s="2">
        <v>46142</v>
      </c>
      <c r="C297" s="1">
        <v>20</v>
      </c>
      <c r="D297" s="1" t="str">
        <f>"5766"</f>
        <v>5766</v>
      </c>
      <c r="E297" s="3" t="str">
        <f>"Налог на транспортные средства"</f>
        <v>Налог на транспортные средства</v>
      </c>
      <c r="F297" s="1" t="str">
        <f>""</f>
        <v/>
      </c>
      <c r="G297" s="1" t="str">
        <f>""</f>
        <v/>
      </c>
      <c r="H297" s="1" t="str">
        <f>""</f>
        <v/>
      </c>
      <c r="I297" s="4">
        <v>192144</v>
      </c>
    </row>
    <row r="298" spans="1:9" x14ac:dyDescent="0.25">
      <c r="A298" s="1">
        <v>293</v>
      </c>
      <c r="B298" s="2">
        <v>46142</v>
      </c>
      <c r="C298" s="1">
        <v>20</v>
      </c>
      <c r="D298" s="1" t="str">
        <f>"5768"</f>
        <v>5768</v>
      </c>
      <c r="E298" s="3" t="str">
        <f>"Прочие налоги и обязательные платежи в бюджет"</f>
        <v>Прочие налоги и обязательные платежи в бюджет</v>
      </c>
      <c r="F298" s="1" t="str">
        <f>""</f>
        <v/>
      </c>
      <c r="G298" s="1" t="str">
        <f>""</f>
        <v/>
      </c>
      <c r="H298" s="1" t="str">
        <f>""</f>
        <v/>
      </c>
      <c r="I298" s="4">
        <v>15280483.369999999</v>
      </c>
    </row>
    <row r="299" spans="1:9" x14ac:dyDescent="0.25">
      <c r="A299" s="1">
        <v>294</v>
      </c>
      <c r="B299" s="2">
        <v>46142</v>
      </c>
      <c r="C299" s="1">
        <v>20</v>
      </c>
      <c r="D299" s="1" t="str">
        <f>"5781"</f>
        <v>5781</v>
      </c>
      <c r="E299" s="3" t="str">
        <f>"Расходы по амортизации зданий и сооружений"</f>
        <v>Расходы по амортизации зданий и сооружений</v>
      </c>
      <c r="F299" s="1" t="str">
        <f>""</f>
        <v/>
      </c>
      <c r="G299" s="1" t="str">
        <f>""</f>
        <v/>
      </c>
      <c r="H299" s="1" t="str">
        <f>""</f>
        <v/>
      </c>
      <c r="I299" s="4">
        <v>151615641.68000001</v>
      </c>
    </row>
    <row r="300" spans="1:9" x14ac:dyDescent="0.25">
      <c r="A300" s="1">
        <v>295</v>
      </c>
      <c r="B300" s="2">
        <v>46142</v>
      </c>
      <c r="C300" s="1">
        <v>20</v>
      </c>
      <c r="D300" s="1" t="str">
        <f>"5782"</f>
        <v>5782</v>
      </c>
      <c r="E300" s="3" t="str">
        <f>"Расходы по амортизации компьютерного оборудования"</f>
        <v>Расходы по амортизации компьютерного оборудования</v>
      </c>
      <c r="F300" s="1" t="str">
        <f>""</f>
        <v/>
      </c>
      <c r="G300" s="1" t="str">
        <f>""</f>
        <v/>
      </c>
      <c r="H300" s="1" t="str">
        <f>""</f>
        <v/>
      </c>
      <c r="I300" s="4">
        <v>453188304.64999998</v>
      </c>
    </row>
    <row r="301" spans="1:9" x14ac:dyDescent="0.25">
      <c r="A301" s="1">
        <v>296</v>
      </c>
      <c r="B301" s="2">
        <v>46142</v>
      </c>
      <c r="C301" s="1">
        <v>20</v>
      </c>
      <c r="D301" s="1" t="str">
        <f>"5783"</f>
        <v>5783</v>
      </c>
      <c r="E301" s="3" t="str">
        <f>"Расходы по амортизации прочих основных средств"</f>
        <v>Расходы по амортизации прочих основных средств</v>
      </c>
      <c r="F301" s="1" t="str">
        <f>""</f>
        <v/>
      </c>
      <c r="G301" s="1" t="str">
        <f>""</f>
        <v/>
      </c>
      <c r="H301" s="1" t="str">
        <f>""</f>
        <v/>
      </c>
      <c r="I301" s="4">
        <v>229373033.72999999</v>
      </c>
    </row>
    <row r="302" spans="1:9" x14ac:dyDescent="0.25">
      <c r="A302" s="1">
        <v>297</v>
      </c>
      <c r="B302" s="2">
        <v>46142</v>
      </c>
      <c r="C302" s="1">
        <v>20</v>
      </c>
      <c r="D302" s="1" t="str">
        <f>"5784"</f>
        <v>5784</v>
      </c>
      <c r="E302" s="3" t="str">
        <f>"Расходы по амортизации активов в форме права пользования"</f>
        <v>Расходы по амортизации активов в форме права пользования</v>
      </c>
      <c r="F302" s="1" t="str">
        <f>""</f>
        <v/>
      </c>
      <c r="G302" s="1" t="str">
        <f>""</f>
        <v/>
      </c>
      <c r="H302" s="1" t="str">
        <f>""</f>
        <v/>
      </c>
      <c r="I302" s="4">
        <v>235809316.31</v>
      </c>
    </row>
    <row r="303" spans="1:9" x14ac:dyDescent="0.25">
      <c r="A303" s="1">
        <v>298</v>
      </c>
      <c r="B303" s="2">
        <v>46142</v>
      </c>
      <c r="C303" s="1">
        <v>20</v>
      </c>
      <c r="D303" s="1" t="str">
        <f>"5786"</f>
        <v>5786</v>
      </c>
      <c r="E303" s="3" t="str">
        <f>"Расходы по амортизации капитальных затрат по активам в форме права пользования"</f>
        <v>Расходы по амортизации капитальных затрат по активам в форме права пользования</v>
      </c>
      <c r="F303" s="1" t="str">
        <f>""</f>
        <v/>
      </c>
      <c r="G303" s="1" t="str">
        <f>""</f>
        <v/>
      </c>
      <c r="H303" s="1" t="str">
        <f>""</f>
        <v/>
      </c>
      <c r="I303" s="4">
        <v>256204.06</v>
      </c>
    </row>
    <row r="304" spans="1:9" x14ac:dyDescent="0.25">
      <c r="A304" s="1">
        <v>299</v>
      </c>
      <c r="B304" s="2">
        <v>46142</v>
      </c>
      <c r="C304" s="1">
        <v>20</v>
      </c>
      <c r="D304" s="1" t="str">
        <f>"5787"</f>
        <v>5787</v>
      </c>
      <c r="E304" s="3" t="str">
        <f>"Расходы по амортизации транспортных средств"</f>
        <v>Расходы по амортизации транспортных средств</v>
      </c>
      <c r="F304" s="1" t="str">
        <f>""</f>
        <v/>
      </c>
      <c r="G304" s="1" t="str">
        <f>""</f>
        <v/>
      </c>
      <c r="H304" s="1" t="str">
        <f>""</f>
        <v/>
      </c>
      <c r="I304" s="4">
        <v>5953173.3600000003</v>
      </c>
    </row>
    <row r="305" spans="1:9" x14ac:dyDescent="0.25">
      <c r="A305" s="1">
        <v>300</v>
      </c>
      <c r="B305" s="2">
        <v>46142</v>
      </c>
      <c r="C305" s="1">
        <v>20</v>
      </c>
      <c r="D305" s="1" t="str">
        <f>"5788"</f>
        <v>5788</v>
      </c>
      <c r="E305" s="3" t="str">
        <f>"Расходы по амортизации нематериальных активов"</f>
        <v>Расходы по амортизации нематериальных активов</v>
      </c>
      <c r="F305" s="1" t="str">
        <f>""</f>
        <v/>
      </c>
      <c r="G305" s="1" t="str">
        <f>""</f>
        <v/>
      </c>
      <c r="H305" s="1" t="str">
        <f>""</f>
        <v/>
      </c>
      <c r="I305" s="4">
        <v>778569382.61000001</v>
      </c>
    </row>
    <row r="306" spans="1:9" x14ac:dyDescent="0.25">
      <c r="A306" s="1">
        <v>301</v>
      </c>
      <c r="B306" s="2">
        <v>46142</v>
      </c>
      <c r="C306" s="1">
        <v>20</v>
      </c>
      <c r="D306" s="1" t="str">
        <f>"5921"</f>
        <v>5921</v>
      </c>
      <c r="E306" s="3" t="str">
        <f>"Прочие расходы от банковской деятельности"</f>
        <v>Прочие расходы от банковской деятельности</v>
      </c>
      <c r="F306" s="1" t="str">
        <f>""</f>
        <v/>
      </c>
      <c r="G306" s="1" t="str">
        <f>""</f>
        <v/>
      </c>
      <c r="H306" s="1" t="str">
        <f>""</f>
        <v/>
      </c>
      <c r="I306" s="4">
        <v>716100462.88</v>
      </c>
    </row>
    <row r="307" spans="1:9" x14ac:dyDescent="0.25">
      <c r="A307" s="1">
        <v>302</v>
      </c>
      <c r="B307" s="2">
        <v>46142</v>
      </c>
      <c r="C307" s="1">
        <v>20</v>
      </c>
      <c r="D307" s="1" t="str">
        <f>"5922"</f>
        <v>5922</v>
      </c>
      <c r="E307" s="3" t="str">
        <f>"Прочие расходы от неосновной деятельности"</f>
        <v>Прочие расходы от неосновной деятельности</v>
      </c>
      <c r="F307" s="1" t="str">
        <f>""</f>
        <v/>
      </c>
      <c r="G307" s="1" t="str">
        <f>""</f>
        <v/>
      </c>
      <c r="H307" s="1" t="str">
        <f>""</f>
        <v/>
      </c>
      <c r="I307" s="4">
        <v>793970.95</v>
      </c>
    </row>
    <row r="308" spans="1:9" x14ac:dyDescent="0.25">
      <c r="A308" s="1">
        <v>303</v>
      </c>
      <c r="B308" s="2">
        <v>46142</v>
      </c>
      <c r="C308" s="1">
        <v>20</v>
      </c>
      <c r="D308" s="1" t="str">
        <f>"5923"</f>
        <v>5923</v>
      </c>
      <c r="E308" s="3" t="str">
        <f>"Расходы по аренде"</f>
        <v>Расходы по аренде</v>
      </c>
      <c r="F308" s="1" t="str">
        <f>""</f>
        <v/>
      </c>
      <c r="G308" s="1" t="str">
        <f>""</f>
        <v/>
      </c>
      <c r="H308" s="1" t="str">
        <f>""</f>
        <v/>
      </c>
      <c r="I308" s="4">
        <v>263106800.34</v>
      </c>
    </row>
    <row r="309" spans="1:9" x14ac:dyDescent="0.25">
      <c r="A309" s="1">
        <v>304</v>
      </c>
      <c r="B309" s="2">
        <v>46142</v>
      </c>
      <c r="C309" s="1">
        <v>20</v>
      </c>
      <c r="D309" s="1" t="str">
        <f>"5999"</f>
        <v>5999</v>
      </c>
      <c r="E309" s="3" t="str">
        <f>"Корпоративный подоходный налог"</f>
        <v>Корпоративный подоходный налог</v>
      </c>
      <c r="F309" s="1" t="str">
        <f>""</f>
        <v/>
      </c>
      <c r="G309" s="1" t="str">
        <f>""</f>
        <v/>
      </c>
      <c r="H309" s="1" t="str">
        <f>""</f>
        <v/>
      </c>
      <c r="I309" s="4">
        <v>14567163926.82</v>
      </c>
    </row>
    <row r="310" spans="1:9" x14ac:dyDescent="0.25">
      <c r="A310" s="1">
        <v>305</v>
      </c>
      <c r="B310" s="2">
        <v>46142</v>
      </c>
      <c r="C310" s="1">
        <v>20</v>
      </c>
      <c r="D310" s="1" t="str">
        <f>"6075"</f>
        <v>6075</v>
      </c>
      <c r="E310" s="3" t="str">
        <f>"Возможные требования по принятым гарантиям"</f>
        <v>Возможные требования по принятым гарантиям</v>
      </c>
      <c r="F310" s="1" t="str">
        <f>""</f>
        <v/>
      </c>
      <c r="G310" s="1" t="str">
        <f>""</f>
        <v/>
      </c>
      <c r="H310" s="1" t="str">
        <f>""</f>
        <v/>
      </c>
      <c r="I310" s="4">
        <v>444029040272.52002</v>
      </c>
    </row>
    <row r="311" spans="1:9" x14ac:dyDescent="0.25">
      <c r="A311" s="1">
        <v>306</v>
      </c>
      <c r="B311" s="2">
        <v>46142</v>
      </c>
      <c r="C311" s="1">
        <v>20</v>
      </c>
      <c r="D311" s="1" t="str">
        <f>"6125"</f>
        <v>6125</v>
      </c>
      <c r="E311" s="3" t="str">
        <f>"Условные требования по безотзывным займам, предоставляемым в будущем"</f>
        <v>Условные требования по безотзывным займам, предоставляемым в будущем</v>
      </c>
      <c r="F311" s="1" t="str">
        <f>""</f>
        <v/>
      </c>
      <c r="G311" s="1" t="str">
        <f>""</f>
        <v/>
      </c>
      <c r="H311" s="1" t="str">
        <f>""</f>
        <v/>
      </c>
      <c r="I311" s="4">
        <v>38712209191.459999</v>
      </c>
    </row>
    <row r="312" spans="1:9" x14ac:dyDescent="0.25">
      <c r="A312" s="1">
        <v>307</v>
      </c>
      <c r="B312" s="2">
        <v>46142</v>
      </c>
      <c r="C312" s="1">
        <v>20</v>
      </c>
      <c r="D312" s="1" t="str">
        <f>"6575"</f>
        <v>6575</v>
      </c>
      <c r="E312" s="3" t="str">
        <f>"Возможное уменьшение требований по принятым гарантиям"</f>
        <v>Возможное уменьшение требований по принятым гарантиям</v>
      </c>
      <c r="F312" s="1" t="str">
        <f>""</f>
        <v/>
      </c>
      <c r="G312" s="1" t="str">
        <f>""</f>
        <v/>
      </c>
      <c r="H312" s="1" t="str">
        <f>""</f>
        <v/>
      </c>
      <c r="I312" s="4">
        <v>444029040272.52002</v>
      </c>
    </row>
    <row r="313" spans="1:9" x14ac:dyDescent="0.25">
      <c r="A313" s="1">
        <v>308</v>
      </c>
      <c r="B313" s="2">
        <v>46142</v>
      </c>
      <c r="C313" s="1">
        <v>20</v>
      </c>
      <c r="D313" s="1" t="str">
        <f>"6625"</f>
        <v>6625</v>
      </c>
      <c r="E313" s="3" t="str">
        <f>"Условные обязательства по безотзывным займам, предоставляемым в будущем"</f>
        <v>Условные обязательства по безотзывным займам, предоставляемым в будущем</v>
      </c>
      <c r="F313" s="1" t="str">
        <f>""</f>
        <v/>
      </c>
      <c r="G313" s="1" t="str">
        <f>""</f>
        <v/>
      </c>
      <c r="H313" s="1" t="str">
        <f>""</f>
        <v/>
      </c>
      <c r="I313" s="4">
        <v>38712209191.459999</v>
      </c>
    </row>
    <row r="314" spans="1:9" x14ac:dyDescent="0.25">
      <c r="A314" s="1">
        <v>309</v>
      </c>
      <c r="B314" s="2">
        <v>46142</v>
      </c>
      <c r="C314" s="1">
        <v>20</v>
      </c>
      <c r="D314" s="1" t="str">
        <f>"7110"</f>
        <v>7110</v>
      </c>
      <c r="E314" s="3" t="str">
        <f>"Здания, машины, оборудование, транспортные и другие средства, переданные в аренду"</f>
        <v>Здания, машины, оборудование, транспортные и другие средства, переданные в аренду</v>
      </c>
      <c r="F314" s="1" t="str">
        <f>""</f>
        <v/>
      </c>
      <c r="G314" s="1" t="str">
        <f>""</f>
        <v/>
      </c>
      <c r="H314" s="1" t="str">
        <f>""</f>
        <v/>
      </c>
      <c r="I314" s="4">
        <v>3331237889.8200002</v>
      </c>
    </row>
    <row r="315" spans="1:9" x14ac:dyDescent="0.25">
      <c r="A315" s="1">
        <v>310</v>
      </c>
      <c r="B315" s="2">
        <v>46142</v>
      </c>
      <c r="C315" s="1">
        <v>20</v>
      </c>
      <c r="D315" s="1" t="str">
        <f>"7115"</f>
        <v>7115</v>
      </c>
      <c r="E315" s="3" t="str">
        <f>"Основные средства, реализуемые с рассрочкой платежа"</f>
        <v>Основные средства, реализуемые с рассрочкой платежа</v>
      </c>
      <c r="F315" s="1" t="str">
        <f>""</f>
        <v/>
      </c>
      <c r="G315" s="1" t="str">
        <f>""</f>
        <v/>
      </c>
      <c r="H315" s="1" t="str">
        <f>""</f>
        <v/>
      </c>
      <c r="I315" s="4">
        <v>450000000</v>
      </c>
    </row>
    <row r="316" spans="1:9" x14ac:dyDescent="0.25">
      <c r="A316" s="1">
        <v>311</v>
      </c>
      <c r="B316" s="2">
        <v>46142</v>
      </c>
      <c r="C316" s="1">
        <v>20</v>
      </c>
      <c r="D316" s="1" t="str">
        <f>"7220"</f>
        <v>7220</v>
      </c>
      <c r="E316" s="3" t="str">
        <f>"Арендованные активы"</f>
        <v>Арендованные активы</v>
      </c>
      <c r="F316" s="1" t="str">
        <f>""</f>
        <v/>
      </c>
      <c r="G316" s="1" t="str">
        <f>""</f>
        <v/>
      </c>
      <c r="H316" s="1" t="str">
        <f>""</f>
        <v/>
      </c>
      <c r="I316" s="4">
        <v>742333047.67999995</v>
      </c>
    </row>
    <row r="317" spans="1:9" x14ac:dyDescent="0.25">
      <c r="A317" s="1">
        <v>312</v>
      </c>
      <c r="B317" s="2">
        <v>46142</v>
      </c>
      <c r="C317" s="1">
        <v>20</v>
      </c>
      <c r="D317" s="1" t="str">
        <f>"7250"</f>
        <v>7250</v>
      </c>
      <c r="E317" s="3" t="str">
        <f>"Имущество, принятое в обеспечение (залог) обязательств клиента"</f>
        <v>Имущество, принятое в обеспечение (залог) обязательств клиента</v>
      </c>
      <c r="F317" s="1" t="str">
        <f>""</f>
        <v/>
      </c>
      <c r="G317" s="1" t="str">
        <f>""</f>
        <v/>
      </c>
      <c r="H317" s="1" t="str">
        <f>""</f>
        <v/>
      </c>
      <c r="I317" s="4">
        <v>8570264166656.7305</v>
      </c>
    </row>
    <row r="318" spans="1:9" x14ac:dyDescent="0.25">
      <c r="A318" s="1">
        <v>313</v>
      </c>
      <c r="B318" s="2">
        <v>46142</v>
      </c>
      <c r="C318" s="1">
        <v>20</v>
      </c>
      <c r="D318" s="1" t="str">
        <f>"7303"</f>
        <v>7303</v>
      </c>
      <c r="E318" s="3" t="str">
        <f>"Платежные документы, не оплаченные в срок"</f>
        <v>Платежные документы, не оплаченные в срок</v>
      </c>
      <c r="F318" s="1" t="str">
        <f>""</f>
        <v/>
      </c>
      <c r="G318" s="1" t="str">
        <f>""</f>
        <v/>
      </c>
      <c r="H318" s="1" t="str">
        <f>""</f>
        <v/>
      </c>
      <c r="I318" s="4">
        <v>1029411165999.79</v>
      </c>
    </row>
    <row r="319" spans="1:9" x14ac:dyDescent="0.25">
      <c r="A319" s="1">
        <v>314</v>
      </c>
      <c r="B319" s="2">
        <v>46142</v>
      </c>
      <c r="C319" s="1">
        <v>20</v>
      </c>
      <c r="D319" s="1" t="str">
        <f>"7339"</f>
        <v>7339</v>
      </c>
      <c r="E319" s="3" t="str">
        <f>"Разные ценности и документы"</f>
        <v>Разные ценности и документы</v>
      </c>
      <c r="F319" s="1" t="str">
        <f>""</f>
        <v/>
      </c>
      <c r="G319" s="1" t="str">
        <f>""</f>
        <v/>
      </c>
      <c r="H319" s="1" t="str">
        <f>""</f>
        <v/>
      </c>
      <c r="I319" s="4">
        <v>376547</v>
      </c>
    </row>
    <row r="320" spans="1:9" x14ac:dyDescent="0.25">
      <c r="A320" s="1">
        <v>315</v>
      </c>
      <c r="B320" s="2">
        <v>46142</v>
      </c>
      <c r="C320" s="1">
        <v>20</v>
      </c>
      <c r="D320" s="1" t="str">
        <f>"7342"</f>
        <v>7342</v>
      </c>
      <c r="E320" s="3" t="str">
        <f>"Разные ценности и документы, отосланные и выданные под отчет"</f>
        <v>Разные ценности и документы, отосланные и выданные под отчет</v>
      </c>
      <c r="F320" s="1" t="str">
        <f>""</f>
        <v/>
      </c>
      <c r="G320" s="1" t="str">
        <f>""</f>
        <v/>
      </c>
      <c r="H320" s="1" t="str">
        <f>""</f>
        <v/>
      </c>
      <c r="I320" s="4">
        <v>58040</v>
      </c>
    </row>
    <row r="321" spans="1:9" x14ac:dyDescent="0.25">
      <c r="A321" s="1">
        <v>316</v>
      </c>
      <c r="B321" s="2">
        <v>46142</v>
      </c>
      <c r="C321" s="1">
        <v>20</v>
      </c>
      <c r="D321" s="1" t="str">
        <f>"7535"</f>
        <v>7535</v>
      </c>
      <c r="E321" s="3" t="str">
        <f>"Займы, права требования по которым приняты в доверительное управление"</f>
        <v>Займы, права требования по которым приняты в доверительное управление</v>
      </c>
      <c r="F321" s="1" t="str">
        <f>""</f>
        <v/>
      </c>
      <c r="G321" s="1" t="str">
        <f>""</f>
        <v/>
      </c>
      <c r="H321" s="1" t="str">
        <f>""</f>
        <v/>
      </c>
      <c r="I321" s="4">
        <v>117508071355.89999</v>
      </c>
    </row>
    <row r="322" spans="1:9" x14ac:dyDescent="0.25">
      <c r="A322" s="1">
        <v>317</v>
      </c>
      <c r="B322" s="2">
        <v>46142</v>
      </c>
      <c r="C322" s="1">
        <v>20</v>
      </c>
      <c r="D322" s="1" t="str">
        <f>"7536"</f>
        <v>7536</v>
      </c>
      <c r="E322" s="3" t="str">
        <f>"Просроченные займы, права требования по которым приняты в доверительное управление"</f>
        <v>Просроченные займы, права требования по которым приняты в доверительное управление</v>
      </c>
      <c r="F322" s="1" t="str">
        <f>""</f>
        <v/>
      </c>
      <c r="G322" s="1" t="str">
        <f>""</f>
        <v/>
      </c>
      <c r="H322" s="1" t="str">
        <f>""</f>
        <v/>
      </c>
      <c r="I322" s="4">
        <v>5587148508.5900002</v>
      </c>
    </row>
    <row r="323" spans="1:9" x14ac:dyDescent="0.25">
      <c r="A323" s="1">
        <v>318</v>
      </c>
      <c r="B323" s="2">
        <v>46142</v>
      </c>
      <c r="C323" s="1">
        <v>20</v>
      </c>
      <c r="D323" s="1" t="str">
        <f>"7542"</f>
        <v>7542</v>
      </c>
      <c r="E323" s="3" t="str">
        <f>"Начисленное вознаграждение по займам, права требования по которым приняты в доверительное управление"</f>
        <v>Начисленное вознаграждение по займам, права требования по которым приняты в доверительное управление</v>
      </c>
      <c r="F323" s="1" t="str">
        <f>""</f>
        <v/>
      </c>
      <c r="G323" s="1" t="str">
        <f>""</f>
        <v/>
      </c>
      <c r="H323" s="1" t="str">
        <f>""</f>
        <v/>
      </c>
      <c r="I323" s="4">
        <v>143028.38</v>
      </c>
    </row>
    <row r="324" spans="1:9" x14ac:dyDescent="0.25">
      <c r="A324" s="1">
        <v>319</v>
      </c>
      <c r="B324" s="2">
        <v>46142</v>
      </c>
      <c r="C324" s="1">
        <v>20</v>
      </c>
      <c r="D324" s="1" t="str">
        <f>"7544"</f>
        <v>7544</v>
      </c>
      <c r="E324" s="3" t="str">
        <f>"Просроченное вознаграждение по займам, права требования по которым приняты в доверительное управление"</f>
        <v>Просроченное вознаграждение по займам, права требования по которым приняты в доверительное управление</v>
      </c>
      <c r="F324" s="1" t="str">
        <f>""</f>
        <v/>
      </c>
      <c r="G324" s="1" t="str">
        <f>""</f>
        <v/>
      </c>
      <c r="H324" s="1" t="str">
        <f>""</f>
        <v/>
      </c>
      <c r="I324" s="4">
        <v>1851402.71</v>
      </c>
    </row>
    <row r="326" spans="1:9" x14ac:dyDescent="0.25">
      <c r="A326" t="s">
        <v>12</v>
      </c>
      <c r="E326" t="s">
        <v>13</v>
      </c>
    </row>
    <row r="327" spans="1:9" x14ac:dyDescent="0.25">
      <c r="A327" t="s">
        <v>14</v>
      </c>
      <c r="E327" t="s">
        <v>15</v>
      </c>
    </row>
    <row r="328" spans="1:9" x14ac:dyDescent="0.25">
      <c r="A328" t="s">
        <v>16</v>
      </c>
      <c r="E328" t="s">
        <v>17</v>
      </c>
    </row>
    <row r="329" spans="1:9" x14ac:dyDescent="0.25">
      <c r="A329" t="s">
        <v>18</v>
      </c>
      <c r="E329" t="s">
        <v>19</v>
      </c>
    </row>
    <row r="331" spans="1:9" x14ac:dyDescent="0.25">
      <c r="A331" t="s">
        <v>20</v>
      </c>
    </row>
    <row r="333" spans="1:9" x14ac:dyDescent="0.25">
      <c r="A333" t="s">
        <v>21</v>
      </c>
    </row>
    <row r="335" spans="1:9" x14ac:dyDescent="0.25">
      <c r="A335" t="s">
        <v>22</v>
      </c>
    </row>
  </sheetData>
  <sortState xmlns:xlrd2="http://schemas.microsoft.com/office/spreadsheetml/2017/richdata2" ref="A6:I324">
    <sortCondition ref="D6:D32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VREP_700_ND_RESPONDENTundefined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Қосаева Мәдина Әлікенқызы</dc:creator>
  <cp:lastModifiedBy>Қосаева Мәдина Әлікенқызы</cp:lastModifiedBy>
  <dcterms:created xsi:type="dcterms:W3CDTF">2026-05-05T13:15:10Z</dcterms:created>
  <dcterms:modified xsi:type="dcterms:W3CDTF">2026-05-05T13:32:26Z</dcterms:modified>
</cp:coreProperties>
</file>