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BO\03_УО\СЗ пред.инфо\10-Октябрь\"/>
    </mc:Choice>
  </mc:AlternateContent>
  <xr:revisionPtr revIDLastSave="0" documentId="13_ncr:1_{0C4C4134-AD62-4A31-8240-4238199D8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VREP_700_ND_RESPONDENTundefined!$A$6:$G$800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800" i="1" l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E613" i="1"/>
  <c r="C613" i="1"/>
  <c r="B613" i="1"/>
  <c r="A613" i="1"/>
  <c r="E612" i="1"/>
  <c r="C612" i="1"/>
  <c r="B612" i="1"/>
  <c r="A612" i="1"/>
  <c r="E611" i="1"/>
  <c r="C611" i="1"/>
  <c r="B611" i="1"/>
  <c r="A611" i="1"/>
  <c r="E610" i="1"/>
  <c r="C610" i="1"/>
  <c r="B610" i="1"/>
  <c r="A610" i="1"/>
  <c r="E609" i="1"/>
  <c r="C609" i="1"/>
  <c r="B609" i="1"/>
  <c r="A609" i="1"/>
  <c r="E608" i="1"/>
  <c r="C608" i="1"/>
  <c r="B608" i="1"/>
  <c r="A608" i="1"/>
  <c r="E607" i="1"/>
  <c r="C607" i="1"/>
  <c r="B607" i="1"/>
  <c r="A607" i="1"/>
  <c r="E606" i="1"/>
  <c r="C606" i="1"/>
  <c r="B606" i="1"/>
  <c r="A606" i="1"/>
  <c r="B605" i="1"/>
  <c r="A605" i="1"/>
  <c r="B604" i="1"/>
  <c r="A604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C587" i="1"/>
  <c r="B587" i="1"/>
  <c r="A587" i="1"/>
  <c r="E586" i="1"/>
  <c r="C586" i="1"/>
  <c r="B586" i="1"/>
  <c r="A586" i="1"/>
  <c r="E585" i="1"/>
  <c r="C585" i="1"/>
  <c r="B585" i="1"/>
  <c r="A585" i="1"/>
  <c r="E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B543" i="1"/>
  <c r="A543" i="1"/>
  <c r="E542" i="1"/>
  <c r="D542" i="1"/>
  <c r="C542" i="1"/>
  <c r="B542" i="1"/>
  <c r="A542" i="1"/>
  <c r="B541" i="1"/>
  <c r="A541" i="1"/>
  <c r="E540" i="1"/>
  <c r="D540" i="1"/>
  <c r="C540" i="1"/>
  <c r="B540" i="1"/>
  <c r="A540" i="1"/>
  <c r="E539" i="1"/>
  <c r="C539" i="1"/>
  <c r="B539" i="1"/>
  <c r="A539" i="1"/>
  <c r="E538" i="1"/>
  <c r="C538" i="1"/>
  <c r="B538" i="1"/>
  <c r="A538" i="1"/>
  <c r="E537" i="1"/>
  <c r="C537" i="1"/>
  <c r="B537" i="1"/>
  <c r="A537" i="1"/>
  <c r="E536" i="1"/>
  <c r="C536" i="1"/>
  <c r="B536" i="1"/>
  <c r="A536" i="1"/>
  <c r="E535" i="1"/>
  <c r="C535" i="1"/>
  <c r="B535" i="1"/>
  <c r="A535" i="1"/>
  <c r="E534" i="1"/>
  <c r="C534" i="1"/>
  <c r="B534" i="1"/>
  <c r="A534" i="1"/>
  <c r="E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A448" i="1"/>
  <c r="E447" i="1"/>
  <c r="D447" i="1"/>
  <c r="C447" i="1"/>
  <c r="A447" i="1"/>
  <c r="E446" i="1"/>
  <c r="D446" i="1"/>
  <c r="C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C238" i="1"/>
  <c r="B238" i="1"/>
  <c r="A238" i="1"/>
  <c r="E237" i="1"/>
  <c r="C237" i="1"/>
  <c r="B237" i="1"/>
  <c r="A237" i="1"/>
  <c r="E236" i="1"/>
  <c r="C236" i="1"/>
  <c r="B236" i="1"/>
  <c r="A236" i="1"/>
  <c r="E235" i="1"/>
  <c r="C235" i="1"/>
  <c r="B235" i="1"/>
  <c r="A235" i="1"/>
  <c r="E234" i="1"/>
  <c r="C234" i="1"/>
  <c r="B234" i="1"/>
  <c r="A234" i="1"/>
  <c r="E233" i="1"/>
  <c r="C233" i="1"/>
  <c r="B233" i="1"/>
  <c r="A233" i="1"/>
  <c r="E232" i="1"/>
  <c r="C232" i="1"/>
  <c r="B232" i="1"/>
  <c r="A232" i="1"/>
  <c r="E231" i="1"/>
  <c r="C231" i="1"/>
  <c r="B231" i="1"/>
  <c r="A231" i="1"/>
  <c r="E230" i="1"/>
  <c r="C230" i="1"/>
  <c r="B230" i="1"/>
  <c r="A230" i="1"/>
  <c r="E229" i="1"/>
  <c r="C229" i="1"/>
  <c r="B229" i="1"/>
  <c r="A229" i="1"/>
  <c r="E228" i="1"/>
  <c r="C228" i="1"/>
  <c r="B228" i="1"/>
  <c r="A228" i="1"/>
  <c r="E227" i="1"/>
  <c r="C227" i="1"/>
  <c r="B227" i="1"/>
  <c r="A227" i="1"/>
  <c r="E226" i="1"/>
  <c r="C226" i="1"/>
  <c r="B226" i="1"/>
  <c r="A226" i="1"/>
  <c r="E225" i="1"/>
  <c r="C225" i="1"/>
  <c r="B225" i="1"/>
  <c r="A225" i="1"/>
  <c r="E224" i="1"/>
  <c r="C224" i="1"/>
  <c r="B224" i="1"/>
  <c r="A224" i="1"/>
  <c r="E223" i="1"/>
  <c r="C223" i="1"/>
  <c r="B223" i="1"/>
  <c r="A223" i="1"/>
  <c r="E222" i="1"/>
  <c r="C222" i="1"/>
  <c r="B222" i="1"/>
  <c r="A222" i="1"/>
  <c r="E221" i="1"/>
  <c r="C221" i="1"/>
  <c r="B221" i="1"/>
  <c r="A221" i="1"/>
  <c r="E220" i="1"/>
  <c r="C220" i="1"/>
  <c r="B220" i="1"/>
  <c r="A220" i="1"/>
  <c r="E219" i="1"/>
  <c r="C219" i="1"/>
  <c r="B219" i="1"/>
  <c r="A219" i="1"/>
  <c r="E218" i="1"/>
  <c r="C218" i="1"/>
  <c r="B218" i="1"/>
  <c r="A218" i="1"/>
  <c r="E217" i="1"/>
  <c r="C217" i="1"/>
  <c r="B217" i="1"/>
  <c r="A217" i="1"/>
  <c r="E216" i="1"/>
  <c r="C216" i="1"/>
  <c r="B216" i="1"/>
  <c r="A216" i="1"/>
  <c r="E215" i="1"/>
  <c r="C215" i="1"/>
  <c r="B215" i="1"/>
  <c r="A215" i="1"/>
  <c r="E214" i="1"/>
  <c r="C214" i="1"/>
  <c r="B214" i="1"/>
  <c r="A214" i="1"/>
  <c r="E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C157" i="1"/>
  <c r="B157" i="1"/>
  <c r="A157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<sst xmlns="http://schemas.openxmlformats.org/spreadsheetml/2006/main" count="20" uniqueCount="18">
  <si>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</si>
  <si>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</si>
  <si>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</si>
  <si>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</si>
  <si>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</si>
  <si>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</si>
  <si>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</si>
  <si>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регулированию финансовых услуг, открытых банками"</t>
  </si>
  <si>
    <t>Отчет об остатках на балансовых и внебалансовых счетах</t>
  </si>
  <si>
    <t>АО "Евразийский Банк"</t>
  </si>
  <si>
    <t>Главный бухгалтер</t>
  </si>
  <si>
    <t>Рахметова С.К.</t>
  </si>
  <si>
    <t>8(727)2599-599 вн. 3095</t>
  </si>
  <si>
    <t>Исполнитель</t>
  </si>
  <si>
    <t>Тыныбаева Г.Т.</t>
  </si>
  <si>
    <t>8(727)2599-599 вн. 3527</t>
  </si>
  <si>
    <t>по состоянию на 01.10.2025 (за 30.09.2025)</t>
  </si>
  <si>
    <t>(в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</si>
</sst>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9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1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0" fontId="1" fillId="0" borderId="10" xfId="47" applyBorder="1" applyAlignment="1">
      <alignment horizontal="center"/>
    </xf>
    <xf numFmtId="0" fontId="1" fillId="0" borderId="10" xfId="47" applyBorder="1"/>
    <xf numFmtId="164" fontId="1" fillId="0" borderId="10" xfId="42" applyBorder="1"/>
    <xf numFmtId="164" fontId="1" fillId="0" borderId="10" xfId="42" applyFont="1" applyBorder="1"/>
    <xf numFmtId="4" fontId="0" fillId="0" borderId="0" xfId="0" applyNumberFormat="1" applyAlignment="1">
      <alignment horizontal="right"/>
    </xf>
  </cellXfs>
  <cellStyles count="9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1 2" xfId="57" xr:uid="{AB9C2A5C-50D5-4479-A68B-07FA8544606D}"/>
    <cellStyle name="60% — акцент1 3" xfId="64" xr:uid="{618B99B6-250C-41E7-88FB-EB3781D907AE}"/>
    <cellStyle name="60% — акцент1 4" xfId="71" xr:uid="{CB87F5A4-5BE8-41A5-9BB2-F490238EE2CB}"/>
    <cellStyle name="60% — акцент1 5" xfId="78" xr:uid="{93C50C20-3E73-45AF-BD0C-F9837E4FB3C6}"/>
    <cellStyle name="60% — акцент1 6" xfId="85" xr:uid="{D4D00EDC-5C31-4725-9F99-1E7EB5CCAB69}"/>
    <cellStyle name="60% — акцент1 7" xfId="50" xr:uid="{B287BDD8-EB7A-4C94-973B-890598EA9EA0}"/>
    <cellStyle name="60% — акцент2" xfId="25" builtinId="36" customBuiltin="1"/>
    <cellStyle name="60% — акцент2 2" xfId="58" xr:uid="{CEAC1CDA-250D-4FB9-A8FA-335A94D32A0E}"/>
    <cellStyle name="60% — акцент2 3" xfId="65" xr:uid="{909F3F2F-2B65-4467-8362-B26ADFEB6173}"/>
    <cellStyle name="60% — акцент2 4" xfId="72" xr:uid="{4CCBE0A1-EC0C-4982-AB84-4B87DD4AA54A}"/>
    <cellStyle name="60% — акцент2 5" xfId="79" xr:uid="{829B00CE-7127-4909-9DD0-552E5BEEE5EB}"/>
    <cellStyle name="60% — акцент2 6" xfId="86" xr:uid="{84FE8B66-4FE0-498F-B664-4316CB87E55A}"/>
    <cellStyle name="60% — акцент2 7" xfId="51" xr:uid="{3C2E0E44-95EB-4867-8335-EFB6F96BCEEB}"/>
    <cellStyle name="60% — акцент3" xfId="29" builtinId="40" customBuiltin="1"/>
    <cellStyle name="60% — акцент3 2" xfId="59" xr:uid="{C7D7B383-E892-4052-9809-926F1278E127}"/>
    <cellStyle name="60% — акцент3 3" xfId="66" xr:uid="{63608B19-17FF-49E8-83FB-F6756A3A9DAF}"/>
    <cellStyle name="60% — акцент3 4" xfId="73" xr:uid="{90D89496-8CB5-4136-8529-79487D83F1FB}"/>
    <cellStyle name="60% — акцент3 5" xfId="80" xr:uid="{3EF10D92-C914-454E-B214-4B32DEAD040A}"/>
    <cellStyle name="60% — акцент3 6" xfId="87" xr:uid="{2FA3DF2A-0FE4-46D2-9DF6-4287A786024A}"/>
    <cellStyle name="60% — акцент3 7" xfId="52" xr:uid="{D7C91ED9-6799-466A-B5A3-6BA692404064}"/>
    <cellStyle name="60% — акцент4" xfId="33" builtinId="44" customBuiltin="1"/>
    <cellStyle name="60% — акцент4 2" xfId="60" xr:uid="{3E94C179-4270-4FD8-8E26-112905932E89}"/>
    <cellStyle name="60% — акцент4 3" xfId="67" xr:uid="{1C130C6F-869A-4D04-BD65-AD981643DE82}"/>
    <cellStyle name="60% — акцент4 4" xfId="74" xr:uid="{465B244B-1E51-4CF2-992E-10610AAD73A8}"/>
    <cellStyle name="60% — акцент4 5" xfId="81" xr:uid="{35171782-8B0F-4CFF-8A19-D2491DD11EE7}"/>
    <cellStyle name="60% — акцент4 6" xfId="88" xr:uid="{E99585C1-A9C0-4955-BC80-4DC99B87456E}"/>
    <cellStyle name="60% — акцент4 7" xfId="53" xr:uid="{8793015A-81B2-44CB-B920-EB14355253ED}"/>
    <cellStyle name="60% — акцент5" xfId="37" builtinId="48" customBuiltin="1"/>
    <cellStyle name="60% — акцент5 2" xfId="61" xr:uid="{C9D5A13C-38EC-45BF-B353-16F33EFE07F8}"/>
    <cellStyle name="60% — акцент5 3" xfId="68" xr:uid="{D9548959-DCB1-4361-B34E-EB4B73888EA1}"/>
    <cellStyle name="60% — акцент5 4" xfId="75" xr:uid="{EC0FF1BF-06B9-43B4-BC29-B805E8AB1C8C}"/>
    <cellStyle name="60% — акцент5 5" xfId="82" xr:uid="{09D756B5-AF32-49AF-9323-5647470FBE1A}"/>
    <cellStyle name="60% — акцент5 6" xfId="89" xr:uid="{06FEF147-E18B-48D5-9F30-3F3268A90176}"/>
    <cellStyle name="60% — акцент5 7" xfId="54" xr:uid="{29E9DFC2-BA13-471E-8FE2-C01211600F94}"/>
    <cellStyle name="60% — акцент6" xfId="41" builtinId="52" customBuiltin="1"/>
    <cellStyle name="60% — акцент6 2" xfId="62" xr:uid="{1924B39B-BEA0-4A47-8F03-50DA9B671394}"/>
    <cellStyle name="60% — акцент6 3" xfId="69" xr:uid="{BF088400-4547-442F-9C78-9758C23229D9}"/>
    <cellStyle name="60% — акцент6 4" xfId="76" xr:uid="{7E7A15FE-EA50-4210-9798-8E33E1AB345B}"/>
    <cellStyle name="60% — акцент6 5" xfId="83" xr:uid="{40106DD9-CB75-4223-BD43-13CCA361AA36}"/>
    <cellStyle name="60% — акцент6 6" xfId="90" xr:uid="{0F2E8ACC-B0C5-4ECA-AAD8-5A99C25A32F3}"/>
    <cellStyle name="60% — акцент6 7" xfId="55" xr:uid="{5F324AEB-CBAE-4D2D-8F3B-FBD10EDDEFAE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Нейтральный 2" xfId="56" xr:uid="{A9C00C6D-3792-448F-B0BA-7532F2431B88}"/>
    <cellStyle name="Нейтральный 3" xfId="63" xr:uid="{6A0AF5B5-A224-4BA4-8F17-9BDBD6439864}"/>
    <cellStyle name="Нейтральный 4" xfId="70" xr:uid="{C22677F7-8851-4715-AD8F-88A8E0892632}"/>
    <cellStyle name="Нейтральный 5" xfId="77" xr:uid="{99942964-3E70-41CB-8946-5C3491FDFCC4}"/>
    <cellStyle name="Нейтральный 6" xfId="84" xr:uid="{1B1B4219-159C-4A56-8703-8BCB204A3776}"/>
    <cellStyle name="Нейтральный 7" xfId="49" xr:uid="{AFA7A027-862C-4892-8F6C-7F3D1A8ECB85}"/>
    <cellStyle name="Обычный" xfId="0" builtinId="0"/>
    <cellStyle name="Обычный 2" xfId="44" xr:uid="{3904DD15-9ABA-4D8F-8A05-400C4C60838D}"/>
    <cellStyle name="Обычный 2 2" xfId="91" xr:uid="{1BDE3CC5-3842-426D-8500-64D0FE1EAC2B}"/>
    <cellStyle name="Обычный 3" xfId="46" xr:uid="{A3339E56-065F-4622-89A8-A6C5222B6479}"/>
    <cellStyle name="Обычный 3 2" xfId="92" xr:uid="{B0B7D476-44B0-46DF-B374-3290222EA2EC}"/>
    <cellStyle name="Обычный 4" xfId="47" xr:uid="{FCBF65B8-9C90-4084-9195-8CD1118A7EB5}"/>
    <cellStyle name="Обычный 5" xfId="48" xr:uid="{7265C219-979A-447B-8D75-C077125C5657}"/>
    <cellStyle name="Обычный 6" xfId="43" xr:uid="{6C25EEBD-94D5-4FFC-BBFA-C721CF2D22AE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Финансовый 2" xfId="45" xr:uid="{86DFAB56-9C61-46F5-96BB-F1C60FE03B50}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7"/>
  <sheetViews>
    <sheetView tabSelected="1" workbookViewId="0">
      <selection activeCell="F2" sqref="F2"/>
    </sheetView>
  </sheetViews>
  <sheetFormatPr defaultRowHeight="15" x14ac:dyDescent="0.25"/>
  <cols>
    <col min="2" max="2" width="66" customWidth="1"/>
    <col min="3" max="3" width="13.42578125" customWidth="1"/>
    <col min="4" max="4" width="12.42578125" customWidth="1"/>
    <col min="5" max="5" width="11.5703125" customWidth="1"/>
    <col min="6" max="6" width="24" style="1" customWidth="1"/>
    <col min="7" max="7" width="26.7109375" customWidth="1"/>
  </cols>
  <sheetData>
    <row r="1" spans="1:6" x14ac:dyDescent="0.25">
      <c r="B1" t="s">
        <v>8</v>
      </c>
    </row>
    <row r="2" spans="1:6" x14ac:dyDescent="0.25">
      <c r="B2" t="s">
        <v>16</v>
      </c>
    </row>
    <row r="3" spans="1:6" x14ac:dyDescent="0.25">
      <c r="B3" t="s">
        <v>9</v>
      </c>
    </row>
    <row r="5" spans="1:6" x14ac:dyDescent="0.25">
      <c r="F5" s="11" t="s">
        <v>17</v>
      </c>
    </row>
    <row r="6" spans="1:6" ht="4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</row>
    <row r="7" spans="1:6" x14ac:dyDescent="0.25">
      <c r="A7" s="7" t="str">
        <f>"1001"</f>
        <v>1001</v>
      </c>
      <c r="B7" s="8" t="str">
        <f>"Наличность в кассе"</f>
        <v>Наличность в кассе</v>
      </c>
      <c r="C7" s="7" t="str">
        <f>"2"</f>
        <v>2</v>
      </c>
      <c r="D7" s="7" t="str">
        <f t="shared" ref="D7:D13" si="0">"3"</f>
        <v>3</v>
      </c>
      <c r="E7" s="7" t="str">
        <f>"2"</f>
        <v>2</v>
      </c>
      <c r="F7" s="9">
        <v>30089630267.720001</v>
      </c>
    </row>
    <row r="8" spans="1:6" x14ac:dyDescent="0.25">
      <c r="A8" s="7" t="str">
        <f>"1001"</f>
        <v>1001</v>
      </c>
      <c r="B8" s="8" t="str">
        <f>"Наличность в кассе"</f>
        <v>Наличность в кассе</v>
      </c>
      <c r="C8" s="7" t="str">
        <f>"2"</f>
        <v>2</v>
      </c>
      <c r="D8" s="7" t="str">
        <f t="shared" si="0"/>
        <v>3</v>
      </c>
      <c r="E8" s="7" t="str">
        <f>"3"</f>
        <v>3</v>
      </c>
      <c r="F8" s="9">
        <v>2644336983.3400002</v>
      </c>
    </row>
    <row r="9" spans="1:6" x14ac:dyDescent="0.25">
      <c r="A9" s="7" t="str">
        <f>"1001"</f>
        <v>1001</v>
      </c>
      <c r="B9" s="8" t="str">
        <f>"Наличность в кассе"</f>
        <v>Наличность в кассе</v>
      </c>
      <c r="C9" s="7" t="str">
        <f>"1"</f>
        <v>1</v>
      </c>
      <c r="D9" s="7" t="str">
        <f t="shared" si="0"/>
        <v>3</v>
      </c>
      <c r="E9" s="7" t="str">
        <f>"1"</f>
        <v>1</v>
      </c>
      <c r="F9" s="9">
        <v>4892029932</v>
      </c>
    </row>
    <row r="10" spans="1:6" x14ac:dyDescent="0.25">
      <c r="A10" s="7" t="str">
        <f>"1002"</f>
        <v>1002</v>
      </c>
      <c r="B10" s="8" t="str">
        <f>"Банкноты и монеты в пути"</f>
        <v>Банкноты и монеты в пути</v>
      </c>
      <c r="C10" s="7" t="str">
        <f>"1"</f>
        <v>1</v>
      </c>
      <c r="D10" s="7" t="str">
        <f t="shared" si="0"/>
        <v>3</v>
      </c>
      <c r="E10" s="7" t="str">
        <f>"1"</f>
        <v>1</v>
      </c>
      <c r="F10" s="9">
        <v>5002685818.2600002</v>
      </c>
    </row>
    <row r="11" spans="1:6" x14ac:dyDescent="0.25">
      <c r="A11" s="7" t="str">
        <f>"1002"</f>
        <v>1002</v>
      </c>
      <c r="B11" s="8" t="str">
        <f>"Банкноты и монеты в пути"</f>
        <v>Банкноты и монеты в пути</v>
      </c>
      <c r="C11" s="7" t="str">
        <f>"2"</f>
        <v>2</v>
      </c>
      <c r="D11" s="7" t="str">
        <f t="shared" si="0"/>
        <v>3</v>
      </c>
      <c r="E11" s="7" t="str">
        <f>"2"</f>
        <v>2</v>
      </c>
      <c r="F11" s="9">
        <v>3388214099.3099999</v>
      </c>
    </row>
    <row r="12" spans="1:6" x14ac:dyDescent="0.25">
      <c r="A12" s="7" t="str">
        <f>"1002"</f>
        <v>1002</v>
      </c>
      <c r="B12" s="8" t="str">
        <f>"Банкноты и монеты в пути"</f>
        <v>Банкноты и монеты в пути</v>
      </c>
      <c r="C12" s="7" t="str">
        <f>"2"</f>
        <v>2</v>
      </c>
      <c r="D12" s="7" t="str">
        <f t="shared" si="0"/>
        <v>3</v>
      </c>
      <c r="E12" s="7" t="str">
        <f>"3"</f>
        <v>3</v>
      </c>
      <c r="F12" s="9">
        <v>92014659.900000006</v>
      </c>
    </row>
    <row r="13" spans="1:6" x14ac:dyDescent="0.25">
      <c r="A13" s="7" t="str">
        <f>"1005"</f>
        <v>1005</v>
      </c>
      <c r="B13" s="8" t="str">
        <f>"Наличность в банкоматах и электронных терминалах"</f>
        <v>Наличность в банкоматах и электронных терминалах</v>
      </c>
      <c r="C13" s="7" t="str">
        <f>"1"</f>
        <v>1</v>
      </c>
      <c r="D13" s="7" t="str">
        <f t="shared" si="0"/>
        <v>3</v>
      </c>
      <c r="E13" s="7" t="str">
        <f>"1"</f>
        <v>1</v>
      </c>
      <c r="F13" s="9">
        <v>7499573325.6000004</v>
      </c>
    </row>
    <row r="14" spans="1:6" x14ac:dyDescent="0.25">
      <c r="A14" s="7" t="str">
        <f>"1011"</f>
        <v>1011</v>
      </c>
      <c r="B14" s="8" t="str">
        <f>"Аффинированные драгоценные металлы"</f>
        <v>Аффинированные драгоценные металлы</v>
      </c>
      <c r="C14" s="7">
        <v>0</v>
      </c>
      <c r="D14" s="7">
        <v>0</v>
      </c>
      <c r="E14" s="7">
        <v>0</v>
      </c>
      <c r="F14" s="9">
        <v>481146978.07999998</v>
      </c>
    </row>
    <row r="15" spans="1:6" x14ac:dyDescent="0.25">
      <c r="A15" s="7" t="str">
        <f>"1051"</f>
        <v>1051</v>
      </c>
      <c r="B15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5" s="7" t="str">
        <f>"1"</f>
        <v>1</v>
      </c>
      <c r="D15" s="7" t="str">
        <f>"3"</f>
        <v>3</v>
      </c>
      <c r="E15" s="7" t="str">
        <f>"1"</f>
        <v>1</v>
      </c>
      <c r="F15" s="9">
        <v>108334291884.25</v>
      </c>
    </row>
    <row r="16" spans="1:6" x14ac:dyDescent="0.25">
      <c r="A16" s="7" t="str">
        <f>"1051"</f>
        <v>1051</v>
      </c>
      <c r="B16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6" s="7" t="str">
        <f>"1"</f>
        <v>1</v>
      </c>
      <c r="D16" s="7" t="str">
        <f>"3"</f>
        <v>3</v>
      </c>
      <c r="E16" s="7" t="str">
        <f>"2"</f>
        <v>2</v>
      </c>
      <c r="F16" s="9">
        <v>1051019639.84</v>
      </c>
    </row>
    <row r="17" spans="1:6" x14ac:dyDescent="0.25">
      <c r="A17" s="7" t="str">
        <f>"1051"</f>
        <v>1051</v>
      </c>
      <c r="B17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7" s="7" t="str">
        <f>"1"</f>
        <v>1</v>
      </c>
      <c r="D17" s="7" t="str">
        <f>"3"</f>
        <v>3</v>
      </c>
      <c r="E17" s="7" t="str">
        <f>"3"</f>
        <v>3</v>
      </c>
      <c r="F17" s="9">
        <v>158828091.31999999</v>
      </c>
    </row>
    <row r="18" spans="1:6" x14ac:dyDescent="0.25">
      <c r="A18" s="7" t="str">
        <f t="shared" ref="A18:A27" si="1">"1052"</f>
        <v>1052</v>
      </c>
      <c r="B18" s="8" t="str">
        <f t="shared" ref="B18:B27" si="2">"Корреспондентские счета в других банках"</f>
        <v>Корреспондентские счета в других банках</v>
      </c>
      <c r="C18" s="7" t="str">
        <f>"1"</f>
        <v>1</v>
      </c>
      <c r="D18" s="7" t="str">
        <f>"4"</f>
        <v>4</v>
      </c>
      <c r="E18" s="7" t="str">
        <f>"3"</f>
        <v>3</v>
      </c>
      <c r="F18" s="9">
        <v>2858872.86</v>
      </c>
    </row>
    <row r="19" spans="1:6" x14ac:dyDescent="0.25">
      <c r="A19" s="7" t="str">
        <f t="shared" si="1"/>
        <v>1052</v>
      </c>
      <c r="B19" s="8" t="str">
        <f t="shared" si="2"/>
        <v>Корреспондентские счета в других банках</v>
      </c>
      <c r="C19" s="7" t="str">
        <f>"1"</f>
        <v>1</v>
      </c>
      <c r="D19" s="7" t="str">
        <f>"4"</f>
        <v>4</v>
      </c>
      <c r="E19" s="7" t="str">
        <f>"1"</f>
        <v>1</v>
      </c>
      <c r="F19" s="9">
        <v>1813259958.54</v>
      </c>
    </row>
    <row r="20" spans="1:6" x14ac:dyDescent="0.25">
      <c r="A20" s="7" t="str">
        <f t="shared" si="1"/>
        <v>1052</v>
      </c>
      <c r="B20" s="8" t="str">
        <f t="shared" si="2"/>
        <v>Корреспондентские счета в других банках</v>
      </c>
      <c r="C20" s="7" t="str">
        <f>"2"</f>
        <v>2</v>
      </c>
      <c r="D20" s="7" t="str">
        <f>"3"</f>
        <v>3</v>
      </c>
      <c r="E20" s="7" t="str">
        <f>"1"</f>
        <v>1</v>
      </c>
      <c r="F20" s="9">
        <v>4114.25</v>
      </c>
    </row>
    <row r="21" spans="1:6" x14ac:dyDescent="0.25">
      <c r="A21" s="7" t="str">
        <f t="shared" si="1"/>
        <v>1052</v>
      </c>
      <c r="B21" s="8" t="str">
        <f t="shared" si="2"/>
        <v>Корреспондентские счета в других банках</v>
      </c>
      <c r="C21" s="7" t="str">
        <f>"1"</f>
        <v>1</v>
      </c>
      <c r="D21" s="7" t="str">
        <f>"5"</f>
        <v>5</v>
      </c>
      <c r="E21" s="7" t="str">
        <f>"2"</f>
        <v>2</v>
      </c>
      <c r="F21" s="9">
        <v>2797768384.4499998</v>
      </c>
    </row>
    <row r="22" spans="1:6" x14ac:dyDescent="0.25">
      <c r="A22" s="7" t="str">
        <f t="shared" si="1"/>
        <v>1052</v>
      </c>
      <c r="B22" s="8" t="str">
        <f t="shared" si="2"/>
        <v>Корреспондентские счета в других банках</v>
      </c>
      <c r="C22" s="7" t="str">
        <f>"1"</f>
        <v>1</v>
      </c>
      <c r="D22" s="7" t="str">
        <f>"4"</f>
        <v>4</v>
      </c>
      <c r="E22" s="7" t="str">
        <f>"2"</f>
        <v>2</v>
      </c>
      <c r="F22" s="9">
        <v>24327605515.16</v>
      </c>
    </row>
    <row r="23" spans="1:6" x14ac:dyDescent="0.25">
      <c r="A23" s="7" t="str">
        <f t="shared" si="1"/>
        <v>1052</v>
      </c>
      <c r="B23" s="8" t="str">
        <f t="shared" si="2"/>
        <v>Корреспондентские счета в других банках</v>
      </c>
      <c r="C23" s="7" t="str">
        <f t="shared" ref="C23:C30" si="3">"2"</f>
        <v>2</v>
      </c>
      <c r="D23" s="7" t="str">
        <f>"4"</f>
        <v>4</v>
      </c>
      <c r="E23" s="7" t="str">
        <f>"3"</f>
        <v>3</v>
      </c>
      <c r="F23" s="9">
        <v>49324245003.760002</v>
      </c>
    </row>
    <row r="24" spans="1:6" x14ac:dyDescent="0.25">
      <c r="A24" s="7" t="str">
        <f t="shared" si="1"/>
        <v>1052</v>
      </c>
      <c r="B24" s="8" t="str">
        <f t="shared" si="2"/>
        <v>Корреспондентские счета в других банках</v>
      </c>
      <c r="C24" s="7" t="str">
        <f t="shared" si="3"/>
        <v>2</v>
      </c>
      <c r="D24" s="7" t="str">
        <f>"5"</f>
        <v>5</v>
      </c>
      <c r="E24" s="7" t="str">
        <f>"2"</f>
        <v>2</v>
      </c>
      <c r="F24" s="9">
        <v>351634458.05000001</v>
      </c>
    </row>
    <row r="25" spans="1:6" x14ac:dyDescent="0.25">
      <c r="A25" s="7" t="str">
        <f t="shared" si="1"/>
        <v>1052</v>
      </c>
      <c r="B25" s="8" t="str">
        <f t="shared" si="2"/>
        <v>Корреспондентские счета в других банках</v>
      </c>
      <c r="C25" s="7" t="str">
        <f t="shared" si="3"/>
        <v>2</v>
      </c>
      <c r="D25" s="7" t="str">
        <f>"4"</f>
        <v>4</v>
      </c>
      <c r="E25" s="7" t="str">
        <f>"2"</f>
        <v>2</v>
      </c>
      <c r="F25" s="9">
        <v>103912825315.32001</v>
      </c>
    </row>
    <row r="26" spans="1:6" x14ac:dyDescent="0.25">
      <c r="A26" s="7" t="str">
        <f t="shared" si="1"/>
        <v>1052</v>
      </c>
      <c r="B26" s="8" t="str">
        <f t="shared" si="2"/>
        <v>Корреспондентские счета в других банках</v>
      </c>
      <c r="C26" s="7" t="str">
        <f t="shared" si="3"/>
        <v>2</v>
      </c>
      <c r="D26" s="7" t="str">
        <f>"5"</f>
        <v>5</v>
      </c>
      <c r="E26" s="7" t="str">
        <f>"3"</f>
        <v>3</v>
      </c>
      <c r="F26" s="9">
        <v>90944084.209999993</v>
      </c>
    </row>
    <row r="27" spans="1:6" x14ac:dyDescent="0.25">
      <c r="A27" s="7" t="str">
        <f t="shared" si="1"/>
        <v>1052</v>
      </c>
      <c r="B27" s="8" t="str">
        <f t="shared" si="2"/>
        <v>Корреспондентские счета в других банках</v>
      </c>
      <c r="C27" s="7" t="str">
        <f t="shared" si="3"/>
        <v>2</v>
      </c>
      <c r="D27" s="7" t="str">
        <f>"3"</f>
        <v>3</v>
      </c>
      <c r="E27" s="7" t="str">
        <f>"3"</f>
        <v>3</v>
      </c>
      <c r="F27" s="9">
        <v>513589.1</v>
      </c>
    </row>
    <row r="28" spans="1:6" x14ac:dyDescent="0.25">
      <c r="A28" s="7" t="str">
        <f>"1054"</f>
        <v>1054</v>
      </c>
      <c r="B28" s="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8" s="7" t="str">
        <f t="shared" si="3"/>
        <v>2</v>
      </c>
      <c r="D28" s="7" t="str">
        <f>"5"</f>
        <v>5</v>
      </c>
      <c r="E28" s="7" t="str">
        <f>"3"</f>
        <v>3</v>
      </c>
      <c r="F28" s="9">
        <v>-43383.24</v>
      </c>
    </row>
    <row r="29" spans="1:6" x14ac:dyDescent="0.25">
      <c r="A29" s="7" t="str">
        <f>"1054"</f>
        <v>1054</v>
      </c>
      <c r="B29" s="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9" s="7" t="str">
        <f t="shared" si="3"/>
        <v>2</v>
      </c>
      <c r="D29" s="7" t="str">
        <f>"5"</f>
        <v>5</v>
      </c>
      <c r="E29" s="7" t="str">
        <f>"2"</f>
        <v>2</v>
      </c>
      <c r="F29" s="9">
        <v>-143117.88</v>
      </c>
    </row>
    <row r="30" spans="1:6" x14ac:dyDescent="0.25">
      <c r="A30" s="7" t="str">
        <f>"1054"</f>
        <v>1054</v>
      </c>
      <c r="B30" s="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0" s="7" t="str">
        <f t="shared" si="3"/>
        <v>2</v>
      </c>
      <c r="D30" s="7" t="str">
        <f>"4"</f>
        <v>4</v>
      </c>
      <c r="E30" s="7" t="str">
        <f>"3"</f>
        <v>3</v>
      </c>
      <c r="F30" s="9">
        <v>-195149185.34999999</v>
      </c>
    </row>
    <row r="31" spans="1:6" x14ac:dyDescent="0.25">
      <c r="A31" s="7" t="str">
        <f>"1055"</f>
        <v>1055</v>
      </c>
      <c r="B31" s="8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C31" s="7" t="str">
        <f>"1"</f>
        <v>1</v>
      </c>
      <c r="D31" s="7" t="str">
        <f>"3"</f>
        <v>3</v>
      </c>
      <c r="E31" s="7" t="str">
        <f>"1"</f>
        <v>1</v>
      </c>
      <c r="F31" s="9">
        <v>5910926620.9799995</v>
      </c>
    </row>
    <row r="32" spans="1:6" x14ac:dyDescent="0.25">
      <c r="A32" s="7" t="str">
        <f>"1103"</f>
        <v>1103</v>
      </c>
      <c r="B32" s="8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32" s="7" t="str">
        <f>"1"</f>
        <v>1</v>
      </c>
      <c r="D32" s="7" t="str">
        <f>"3"</f>
        <v>3</v>
      </c>
      <c r="E32" s="7" t="str">
        <f>"2"</f>
        <v>2</v>
      </c>
      <c r="F32" s="9">
        <v>76868400000</v>
      </c>
    </row>
    <row r="33" spans="1:6" x14ac:dyDescent="0.25">
      <c r="A33" s="7" t="str">
        <f>"1201"</f>
        <v>1201</v>
      </c>
      <c r="B33" s="8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C33" s="7" t="str">
        <f>"1"</f>
        <v>1</v>
      </c>
      <c r="D33" s="7" t="str">
        <f>"7"</f>
        <v>7</v>
      </c>
      <c r="E33" s="7" t="str">
        <f>"1"</f>
        <v>1</v>
      </c>
      <c r="F33" s="9">
        <v>1006291487.3</v>
      </c>
    </row>
    <row r="34" spans="1:6" x14ac:dyDescent="0.25">
      <c r="A34" s="7" t="str">
        <f>"1208"</f>
        <v>1208</v>
      </c>
      <c r="B34" s="8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C34" s="7" t="str">
        <f>"1"</f>
        <v>1</v>
      </c>
      <c r="D34" s="7" t="str">
        <f>"7"</f>
        <v>7</v>
      </c>
      <c r="E34" s="7" t="str">
        <f>"1"</f>
        <v>1</v>
      </c>
      <c r="F34" s="9">
        <v>597153832.66999996</v>
      </c>
    </row>
    <row r="35" spans="1:6" x14ac:dyDescent="0.25">
      <c r="A35" s="7" t="str">
        <f>"1209"</f>
        <v>1209</v>
      </c>
      <c r="B35" s="8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C35" s="7" t="str">
        <f>"1"</f>
        <v>1</v>
      </c>
      <c r="D35" s="7" t="str">
        <f>"7"</f>
        <v>7</v>
      </c>
      <c r="E35" s="7" t="str">
        <f>"1"</f>
        <v>1</v>
      </c>
      <c r="F35" s="9">
        <v>-770354340.63</v>
      </c>
    </row>
    <row r="36" spans="1:6" x14ac:dyDescent="0.25">
      <c r="A36" s="7" t="str">
        <f>"1251"</f>
        <v>1251</v>
      </c>
      <c r="B36" s="8" t="str">
        <f>"Вклады, размещенные в других банках (на одну ночь)"</f>
        <v>Вклады, размещенные в других банках (на одну ночь)</v>
      </c>
      <c r="C36" s="7" t="str">
        <f>"2"</f>
        <v>2</v>
      </c>
      <c r="D36" s="7" t="str">
        <f>"4"</f>
        <v>4</v>
      </c>
      <c r="E36" s="7" t="str">
        <f>"2"</f>
        <v>2</v>
      </c>
      <c r="F36" s="9">
        <v>6639480000</v>
      </c>
    </row>
    <row r="37" spans="1:6" x14ac:dyDescent="0.25">
      <c r="A37" s="7" t="str">
        <f>"1253"</f>
        <v>1253</v>
      </c>
      <c r="B37" s="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C37" s="7" t="str">
        <f>"2"</f>
        <v>2</v>
      </c>
      <c r="D37" s="7" t="str">
        <f>"4"</f>
        <v>4</v>
      </c>
      <c r="E37" s="7" t="str">
        <f>"2"</f>
        <v>2</v>
      </c>
      <c r="F37" s="9">
        <v>19217100000</v>
      </c>
    </row>
    <row r="38" spans="1:6" x14ac:dyDescent="0.25">
      <c r="A38" s="7" t="str">
        <f>"1259"</f>
        <v>1259</v>
      </c>
      <c r="B38" s="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8" s="7" t="str">
        <f>"2"</f>
        <v>2</v>
      </c>
      <c r="D38" s="7" t="str">
        <f>"5"</f>
        <v>5</v>
      </c>
      <c r="E38" s="7" t="str">
        <f>"2"</f>
        <v>2</v>
      </c>
      <c r="F38" s="9">
        <v>-2888516.81</v>
      </c>
    </row>
    <row r="39" spans="1:6" x14ac:dyDescent="0.25">
      <c r="A39" s="7" t="str">
        <f>"1267"</f>
        <v>1267</v>
      </c>
      <c r="B39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9" s="7" t="str">
        <f>"1"</f>
        <v>1</v>
      </c>
      <c r="D39" s="7" t="str">
        <f>"7"</f>
        <v>7</v>
      </c>
      <c r="E39" s="7" t="str">
        <f>"1"</f>
        <v>1</v>
      </c>
      <c r="F39" s="9">
        <v>20000000</v>
      </c>
    </row>
    <row r="40" spans="1:6" x14ac:dyDescent="0.25">
      <c r="A40" s="7" t="str">
        <f>"1267"</f>
        <v>1267</v>
      </c>
      <c r="B40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0" s="7" t="str">
        <f>"1"</f>
        <v>1</v>
      </c>
      <c r="D40" s="7" t="str">
        <f>"5"</f>
        <v>5</v>
      </c>
      <c r="E40" s="7" t="str">
        <f>"1"</f>
        <v>1</v>
      </c>
      <c r="F40" s="9">
        <v>60000000</v>
      </c>
    </row>
    <row r="41" spans="1:6" x14ac:dyDescent="0.25">
      <c r="A41" s="7" t="str">
        <f>"1267"</f>
        <v>1267</v>
      </c>
      <c r="B41" s="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1" s="7" t="str">
        <f>"2"</f>
        <v>2</v>
      </c>
      <c r="D41" s="7" t="str">
        <f>"5"</f>
        <v>5</v>
      </c>
      <c r="E41" s="7" t="str">
        <f>"2"</f>
        <v>2</v>
      </c>
      <c r="F41" s="9">
        <v>19815258394.720001</v>
      </c>
    </row>
    <row r="42" spans="1:6" x14ac:dyDescent="0.25">
      <c r="A42" s="7" t="str">
        <f>"1403"</f>
        <v>1403</v>
      </c>
      <c r="B42" s="8" t="str">
        <f>"Счета по кредитным карточкам клиентов"</f>
        <v>Счета по кредитным карточкам клиентов</v>
      </c>
      <c r="C42" s="7" t="str">
        <f>"2"</f>
        <v>2</v>
      </c>
      <c r="D42" s="7" t="str">
        <f>"9"</f>
        <v>9</v>
      </c>
      <c r="E42" s="7" t="str">
        <f>"1"</f>
        <v>1</v>
      </c>
      <c r="F42" s="9">
        <v>1161887.02</v>
      </c>
    </row>
    <row r="43" spans="1:6" x14ac:dyDescent="0.25">
      <c r="A43" s="7" t="str">
        <f>"1403"</f>
        <v>1403</v>
      </c>
      <c r="B43" s="8" t="str">
        <f>"Счета по кредитным карточкам клиентов"</f>
        <v>Счета по кредитным карточкам клиентов</v>
      </c>
      <c r="C43" s="7" t="str">
        <f t="shared" ref="C43:C51" si="4">"1"</f>
        <v>1</v>
      </c>
      <c r="D43" s="7" t="str">
        <f>"9"</f>
        <v>9</v>
      </c>
      <c r="E43" s="7" t="str">
        <f>"1"</f>
        <v>1</v>
      </c>
      <c r="F43" s="9">
        <v>2038683472.98</v>
      </c>
    </row>
    <row r="44" spans="1:6" x14ac:dyDescent="0.25">
      <c r="A44" s="7" t="str">
        <f>"1411"</f>
        <v>1411</v>
      </c>
      <c r="B44" s="8" t="str">
        <f>"Краткосрочные займы, предоставленные клиентам"</f>
        <v>Краткосрочные займы, предоставленные клиентам</v>
      </c>
      <c r="C44" s="7" t="str">
        <f t="shared" si="4"/>
        <v>1</v>
      </c>
      <c r="D44" s="7" t="str">
        <f>"7"</f>
        <v>7</v>
      </c>
      <c r="E44" s="7" t="str">
        <f>"1"</f>
        <v>1</v>
      </c>
      <c r="F44" s="9">
        <v>2679144015.8099999</v>
      </c>
    </row>
    <row r="45" spans="1:6" x14ac:dyDescent="0.25">
      <c r="A45" s="7" t="str">
        <f>"1411"</f>
        <v>1411</v>
      </c>
      <c r="B45" s="8" t="str">
        <f>"Краткосрочные займы, предоставленные клиентам"</f>
        <v>Краткосрочные займы, предоставленные клиентам</v>
      </c>
      <c r="C45" s="7" t="str">
        <f t="shared" si="4"/>
        <v>1</v>
      </c>
      <c r="D45" s="7" t="str">
        <f>"9"</f>
        <v>9</v>
      </c>
      <c r="E45" s="7" t="str">
        <f>"1"</f>
        <v>1</v>
      </c>
      <c r="F45" s="9">
        <v>712601849.00999999</v>
      </c>
    </row>
    <row r="46" spans="1:6" x14ac:dyDescent="0.25">
      <c r="A46" s="7" t="str">
        <f t="shared" ref="A46:A53" si="5">"1417"</f>
        <v>1417</v>
      </c>
      <c r="B46" s="8" t="str">
        <f t="shared" ref="B46:B53" si="6">"Долгосрочные займы, предоставленные клиентам"</f>
        <v>Долгосрочные займы, предоставленные клиентам</v>
      </c>
      <c r="C46" s="7" t="str">
        <f t="shared" si="4"/>
        <v>1</v>
      </c>
      <c r="D46" s="7" t="str">
        <f>"6"</f>
        <v>6</v>
      </c>
      <c r="E46" s="7" t="str">
        <f>"1"</f>
        <v>1</v>
      </c>
      <c r="F46" s="10">
        <v>3750000000</v>
      </c>
    </row>
    <row r="47" spans="1:6" x14ac:dyDescent="0.25">
      <c r="A47" s="7" t="str">
        <f t="shared" si="5"/>
        <v>1417</v>
      </c>
      <c r="B47" s="8" t="str">
        <f t="shared" si="6"/>
        <v>Долгосрочные займы, предоставленные клиентам</v>
      </c>
      <c r="C47" s="7" t="str">
        <f t="shared" si="4"/>
        <v>1</v>
      </c>
      <c r="D47" s="7" t="str">
        <f>"5"</f>
        <v>5</v>
      </c>
      <c r="E47" s="7" t="str">
        <f>"2"</f>
        <v>2</v>
      </c>
      <c r="F47" s="10">
        <v>24875638258.860001</v>
      </c>
    </row>
    <row r="48" spans="1:6" x14ac:dyDescent="0.25">
      <c r="A48" s="7" t="str">
        <f t="shared" si="5"/>
        <v>1417</v>
      </c>
      <c r="B48" s="8" t="str">
        <f t="shared" si="6"/>
        <v>Долгосрочные займы, предоставленные клиентам</v>
      </c>
      <c r="C48" s="7" t="str">
        <f t="shared" si="4"/>
        <v>1</v>
      </c>
      <c r="D48" s="7" t="str">
        <f>"5"</f>
        <v>5</v>
      </c>
      <c r="E48" s="7" t="str">
        <f>"1"</f>
        <v>1</v>
      </c>
      <c r="F48" s="10">
        <v>52413806140.93</v>
      </c>
    </row>
    <row r="49" spans="1:6" x14ac:dyDescent="0.25">
      <c r="A49" s="7" t="str">
        <f t="shared" si="5"/>
        <v>1417</v>
      </c>
      <c r="B49" s="8" t="str">
        <f t="shared" si="6"/>
        <v>Долгосрочные займы, предоставленные клиентам</v>
      </c>
      <c r="C49" s="7" t="str">
        <f t="shared" si="4"/>
        <v>1</v>
      </c>
      <c r="D49" s="7" t="str">
        <f>"7"</f>
        <v>7</v>
      </c>
      <c r="E49" s="7" t="str">
        <f>"1"</f>
        <v>1</v>
      </c>
      <c r="F49" s="10">
        <v>363726105128.53003</v>
      </c>
    </row>
    <row r="50" spans="1:6" x14ac:dyDescent="0.25">
      <c r="A50" s="7" t="str">
        <f t="shared" si="5"/>
        <v>1417</v>
      </c>
      <c r="B50" s="8" t="str">
        <f t="shared" si="6"/>
        <v>Долгосрочные займы, предоставленные клиентам</v>
      </c>
      <c r="C50" s="7" t="str">
        <f t="shared" si="4"/>
        <v>1</v>
      </c>
      <c r="D50" s="7" t="str">
        <f>"7"</f>
        <v>7</v>
      </c>
      <c r="E50" s="7" t="str">
        <f>"2"</f>
        <v>2</v>
      </c>
      <c r="F50" s="10">
        <v>83938682846.270004</v>
      </c>
    </row>
    <row r="51" spans="1:6" x14ac:dyDescent="0.25">
      <c r="A51" s="7" t="str">
        <f t="shared" si="5"/>
        <v>1417</v>
      </c>
      <c r="B51" s="8" t="str">
        <f t="shared" si="6"/>
        <v>Долгосрочные займы, предоставленные клиентам</v>
      </c>
      <c r="C51" s="7" t="str">
        <f t="shared" si="4"/>
        <v>1</v>
      </c>
      <c r="D51" s="7" t="str">
        <f>"9"</f>
        <v>9</v>
      </c>
      <c r="E51" s="7" t="str">
        <f>"1"</f>
        <v>1</v>
      </c>
      <c r="F51" s="10">
        <v>1044954277545.64</v>
      </c>
    </row>
    <row r="52" spans="1:6" x14ac:dyDescent="0.25">
      <c r="A52" s="7" t="str">
        <f t="shared" si="5"/>
        <v>1417</v>
      </c>
      <c r="B52" s="8" t="str">
        <f t="shared" si="6"/>
        <v>Долгосрочные займы, предоставленные клиентам</v>
      </c>
      <c r="C52" s="7" t="str">
        <f>"2"</f>
        <v>2</v>
      </c>
      <c r="D52" s="7" t="str">
        <f>"7"</f>
        <v>7</v>
      </c>
      <c r="E52" s="7" t="str">
        <f>"1"</f>
        <v>1</v>
      </c>
      <c r="F52" s="10">
        <v>1434482758.6400001</v>
      </c>
    </row>
    <row r="53" spans="1:6" x14ac:dyDescent="0.25">
      <c r="A53" s="7" t="str">
        <f t="shared" si="5"/>
        <v>1417</v>
      </c>
      <c r="B53" s="8" t="str">
        <f t="shared" si="6"/>
        <v>Долгосрочные займы, предоставленные клиентам</v>
      </c>
      <c r="C53" s="7" t="str">
        <f>"2"</f>
        <v>2</v>
      </c>
      <c r="D53" s="7" t="str">
        <f>"9"</f>
        <v>9</v>
      </c>
      <c r="E53" s="7" t="str">
        <f>"1"</f>
        <v>1</v>
      </c>
      <c r="F53" s="10">
        <v>7710628.3499999996</v>
      </c>
    </row>
    <row r="54" spans="1:6" x14ac:dyDescent="0.25">
      <c r="A54" s="7" t="str">
        <f>"1424"</f>
        <v>1424</v>
      </c>
      <c r="B54" s="8" t="str">
        <f>"Просроченная задолженность клиентов по займам"</f>
        <v>Просроченная задолженность клиентов по займам</v>
      </c>
      <c r="C54" s="7" t="str">
        <f>"1"</f>
        <v>1</v>
      </c>
      <c r="D54" s="7" t="str">
        <f>"9"</f>
        <v>9</v>
      </c>
      <c r="E54" s="7" t="str">
        <f>"1"</f>
        <v>1</v>
      </c>
      <c r="F54" s="9">
        <v>92281389708.490005</v>
      </c>
    </row>
    <row r="55" spans="1:6" x14ac:dyDescent="0.25">
      <c r="A55" s="7" t="str">
        <f>"1424"</f>
        <v>1424</v>
      </c>
      <c r="B55" s="8" t="str">
        <f>"Просроченная задолженность клиентов по займам"</f>
        <v>Просроченная задолженность клиентов по займам</v>
      </c>
      <c r="C55" s="7" t="str">
        <f>"1"</f>
        <v>1</v>
      </c>
      <c r="D55" s="7" t="str">
        <f>"7"</f>
        <v>7</v>
      </c>
      <c r="E55" s="7" t="str">
        <f>"1"</f>
        <v>1</v>
      </c>
      <c r="F55" s="9">
        <v>955404988.95000005</v>
      </c>
    </row>
    <row r="56" spans="1:6" x14ac:dyDescent="0.25">
      <c r="A56" s="7" t="str">
        <f>"1424"</f>
        <v>1424</v>
      </c>
      <c r="B56" s="8" t="str">
        <f>"Просроченная задолженность клиентов по займам"</f>
        <v>Просроченная задолженность клиентов по займам</v>
      </c>
      <c r="C56" s="7" t="str">
        <f>"1"</f>
        <v>1</v>
      </c>
      <c r="D56" s="7" t="str">
        <f>"7"</f>
        <v>7</v>
      </c>
      <c r="E56" s="7" t="str">
        <f>"2"</f>
        <v>2</v>
      </c>
      <c r="F56" s="9">
        <v>9389303594.0499992</v>
      </c>
    </row>
    <row r="57" spans="1:6" x14ac:dyDescent="0.25">
      <c r="A57" s="7" t="str">
        <f>"1424"</f>
        <v>1424</v>
      </c>
      <c r="B57" s="8" t="str">
        <f>"Просроченная задолженность клиентов по займам"</f>
        <v>Просроченная задолженность клиентов по займам</v>
      </c>
      <c r="C57" s="7" t="str">
        <f>"1"</f>
        <v>1</v>
      </c>
      <c r="D57" s="7" t="str">
        <f>"9"</f>
        <v>9</v>
      </c>
      <c r="E57" s="7" t="str">
        <f>"2"</f>
        <v>2</v>
      </c>
      <c r="F57" s="9">
        <v>74137721.469999999</v>
      </c>
    </row>
    <row r="58" spans="1:6" x14ac:dyDescent="0.25">
      <c r="A58" s="7" t="str">
        <f>"1424"</f>
        <v>1424</v>
      </c>
      <c r="B58" s="8" t="str">
        <f>"Просроченная задолженность клиентов по займам"</f>
        <v>Просроченная задолженность клиентов по займам</v>
      </c>
      <c r="C58" s="7" t="str">
        <f>"2"</f>
        <v>2</v>
      </c>
      <c r="D58" s="7" t="str">
        <f>"9"</f>
        <v>9</v>
      </c>
      <c r="E58" s="7" t="str">
        <f>"1"</f>
        <v>1</v>
      </c>
      <c r="F58" s="9">
        <v>5894013.4000000004</v>
      </c>
    </row>
    <row r="59" spans="1:6" x14ac:dyDescent="0.25">
      <c r="A59" s="7" t="str">
        <f t="shared" ref="A59:A66" si="7">"1428"</f>
        <v>1428</v>
      </c>
      <c r="B59" s="8" t="str">
        <f t="shared" ref="B59:B66" si="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59" s="7" t="str">
        <f>"1"</f>
        <v>1</v>
      </c>
      <c r="D59" s="7" t="str">
        <f>"7"</f>
        <v>7</v>
      </c>
      <c r="E59" s="7" t="str">
        <f>"1"</f>
        <v>1</v>
      </c>
      <c r="F59" s="9">
        <v>-10418705431.540001</v>
      </c>
    </row>
    <row r="60" spans="1:6" x14ac:dyDescent="0.25">
      <c r="A60" s="7" t="str">
        <f t="shared" si="7"/>
        <v>1428</v>
      </c>
      <c r="B60" s="8" t="str">
        <f t="shared" si="8"/>
        <v>Резервы (провизии) по займам и финансовому лизингу, предоставленным клиентам</v>
      </c>
      <c r="C60" s="7" t="str">
        <f>"1"</f>
        <v>1</v>
      </c>
      <c r="D60" s="7" t="str">
        <f>"5"</f>
        <v>5</v>
      </c>
      <c r="E60" s="7" t="str">
        <f>"1"</f>
        <v>1</v>
      </c>
      <c r="F60" s="9">
        <v>-141566633.72</v>
      </c>
    </row>
    <row r="61" spans="1:6" x14ac:dyDescent="0.25">
      <c r="A61" s="7" t="str">
        <f t="shared" si="7"/>
        <v>1428</v>
      </c>
      <c r="B61" s="8" t="str">
        <f t="shared" si="8"/>
        <v>Резервы (провизии) по займам и финансовому лизингу, предоставленным клиентам</v>
      </c>
      <c r="C61" s="7" t="str">
        <f>"1"</f>
        <v>1</v>
      </c>
      <c r="D61" s="7" t="str">
        <f>"5"</f>
        <v>5</v>
      </c>
      <c r="E61" s="7" t="str">
        <f>"2"</f>
        <v>2</v>
      </c>
      <c r="F61" s="9">
        <v>-94941945.290000007</v>
      </c>
    </row>
    <row r="62" spans="1:6" x14ac:dyDescent="0.25">
      <c r="A62" s="7" t="str">
        <f t="shared" si="7"/>
        <v>1428</v>
      </c>
      <c r="B62" s="8" t="str">
        <f t="shared" si="8"/>
        <v>Резервы (провизии) по займам и финансовому лизингу, предоставленным клиентам</v>
      </c>
      <c r="C62" s="7" t="str">
        <f>"1"</f>
        <v>1</v>
      </c>
      <c r="D62" s="7" t="str">
        <f>"9"</f>
        <v>9</v>
      </c>
      <c r="E62" s="7" t="str">
        <f>"1"</f>
        <v>1</v>
      </c>
      <c r="F62" s="9">
        <v>-186524626328.06</v>
      </c>
    </row>
    <row r="63" spans="1:6" x14ac:dyDescent="0.25">
      <c r="A63" s="7" t="str">
        <f t="shared" si="7"/>
        <v>1428</v>
      </c>
      <c r="B63" s="8" t="str">
        <f t="shared" si="8"/>
        <v>Резервы (провизии) по займам и финансовому лизингу, предоставленным клиентам</v>
      </c>
      <c r="C63" s="7" t="str">
        <f>"1"</f>
        <v>1</v>
      </c>
      <c r="D63" s="7" t="str">
        <f>"7"</f>
        <v>7</v>
      </c>
      <c r="E63" s="7" t="str">
        <f>"2"</f>
        <v>2</v>
      </c>
      <c r="F63" s="9">
        <v>-20526231466.799999</v>
      </c>
    </row>
    <row r="64" spans="1:6" x14ac:dyDescent="0.25">
      <c r="A64" s="7" t="str">
        <f t="shared" si="7"/>
        <v>1428</v>
      </c>
      <c r="B64" s="8" t="str">
        <f t="shared" si="8"/>
        <v>Резервы (провизии) по займам и финансовому лизингу, предоставленным клиентам</v>
      </c>
      <c r="C64" s="7" t="str">
        <f>"2"</f>
        <v>2</v>
      </c>
      <c r="D64" s="7" t="str">
        <f>"9"</f>
        <v>9</v>
      </c>
      <c r="E64" s="7" t="str">
        <f>"1"</f>
        <v>1</v>
      </c>
      <c r="F64" s="9">
        <v>-3603963.55</v>
      </c>
    </row>
    <row r="65" spans="1:6" x14ac:dyDescent="0.25">
      <c r="A65" s="7" t="str">
        <f t="shared" si="7"/>
        <v>1428</v>
      </c>
      <c r="B65" s="8" t="str">
        <f t="shared" si="8"/>
        <v>Резервы (провизии) по займам и финансовому лизингу, предоставленным клиентам</v>
      </c>
      <c r="C65" s="7" t="str">
        <f>"1"</f>
        <v>1</v>
      </c>
      <c r="D65" s="7" t="str">
        <f>"9"</f>
        <v>9</v>
      </c>
      <c r="E65" s="7" t="str">
        <f>"2"</f>
        <v>2</v>
      </c>
      <c r="F65" s="9">
        <v>-98069213.349999994</v>
      </c>
    </row>
    <row r="66" spans="1:6" x14ac:dyDescent="0.25">
      <c r="A66" s="7" t="str">
        <f t="shared" si="7"/>
        <v>1428</v>
      </c>
      <c r="B66" s="8" t="str">
        <f t="shared" si="8"/>
        <v>Резервы (провизии) по займам и финансовому лизингу, предоставленным клиентам</v>
      </c>
      <c r="C66" s="7" t="str">
        <f>"2"</f>
        <v>2</v>
      </c>
      <c r="D66" s="7" t="str">
        <f>"9"</f>
        <v>9</v>
      </c>
      <c r="E66" s="7" t="str">
        <f>"2"</f>
        <v>2</v>
      </c>
      <c r="F66" s="9">
        <v>-49952.15</v>
      </c>
    </row>
    <row r="67" spans="1:6" x14ac:dyDescent="0.25">
      <c r="A67" s="7" t="str">
        <f>"1431"</f>
        <v>1431</v>
      </c>
      <c r="B67" s="8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C67" s="7" t="str">
        <f t="shared" ref="C67:C72" si="9">"1"</f>
        <v>1</v>
      </c>
      <c r="D67" s="7" t="str">
        <f>"7"</f>
        <v>7</v>
      </c>
      <c r="E67" s="7" t="str">
        <f>"1"</f>
        <v>1</v>
      </c>
      <c r="F67" s="9">
        <v>-14190243.01</v>
      </c>
    </row>
    <row r="68" spans="1:6" x14ac:dyDescent="0.25">
      <c r="A68" s="7" t="str">
        <f t="shared" ref="A68:A75" si="10">"1434"</f>
        <v>1434</v>
      </c>
      <c r="B68" s="8" t="str">
        <f t="shared" ref="B68:B75" si="11">"Дисконт по займам, предоставленным клиентам"</f>
        <v>Дисконт по займам, предоставленным клиентам</v>
      </c>
      <c r="C68" s="7" t="str">
        <f t="shared" si="9"/>
        <v>1</v>
      </c>
      <c r="D68" s="7" t="str">
        <f>"5"</f>
        <v>5</v>
      </c>
      <c r="E68" s="7" t="str">
        <f>"1"</f>
        <v>1</v>
      </c>
      <c r="F68" s="9">
        <v>-31924066.870000001</v>
      </c>
    </row>
    <row r="69" spans="1:6" x14ac:dyDescent="0.25">
      <c r="A69" s="7" t="str">
        <f t="shared" si="10"/>
        <v>1434</v>
      </c>
      <c r="B69" s="8" t="str">
        <f t="shared" si="11"/>
        <v>Дисконт по займам, предоставленным клиентам</v>
      </c>
      <c r="C69" s="7" t="str">
        <f t="shared" si="9"/>
        <v>1</v>
      </c>
      <c r="D69" s="7" t="str">
        <f>"5"</f>
        <v>5</v>
      </c>
      <c r="E69" s="7" t="str">
        <f>"2"</f>
        <v>2</v>
      </c>
      <c r="F69" s="9">
        <v>-228855038.31</v>
      </c>
    </row>
    <row r="70" spans="1:6" x14ac:dyDescent="0.25">
      <c r="A70" s="7" t="str">
        <f t="shared" si="10"/>
        <v>1434</v>
      </c>
      <c r="B70" s="8" t="str">
        <f t="shared" si="11"/>
        <v>Дисконт по займам, предоставленным клиентам</v>
      </c>
      <c r="C70" s="7" t="str">
        <f t="shared" si="9"/>
        <v>1</v>
      </c>
      <c r="D70" s="7" t="str">
        <f>"9"</f>
        <v>9</v>
      </c>
      <c r="E70" s="7" t="str">
        <f>"2"</f>
        <v>2</v>
      </c>
      <c r="F70" s="9">
        <v>-9296705.8800000008</v>
      </c>
    </row>
    <row r="71" spans="1:6" x14ac:dyDescent="0.25">
      <c r="A71" s="7" t="str">
        <f t="shared" si="10"/>
        <v>1434</v>
      </c>
      <c r="B71" s="8" t="str">
        <f t="shared" si="11"/>
        <v>Дисконт по займам, предоставленным клиентам</v>
      </c>
      <c r="C71" s="7" t="str">
        <f t="shared" si="9"/>
        <v>1</v>
      </c>
      <c r="D71" s="7" t="str">
        <f>"7"</f>
        <v>7</v>
      </c>
      <c r="E71" s="7" t="str">
        <f>"2"</f>
        <v>2</v>
      </c>
      <c r="F71" s="9">
        <v>-2691567110.6100001</v>
      </c>
    </row>
    <row r="72" spans="1:6" x14ac:dyDescent="0.25">
      <c r="A72" s="7" t="str">
        <f t="shared" si="10"/>
        <v>1434</v>
      </c>
      <c r="B72" s="8" t="str">
        <f t="shared" si="11"/>
        <v>Дисконт по займам, предоставленным клиентам</v>
      </c>
      <c r="C72" s="7" t="str">
        <f t="shared" si="9"/>
        <v>1</v>
      </c>
      <c r="D72" s="7" t="str">
        <f>"7"</f>
        <v>7</v>
      </c>
      <c r="E72" s="7" t="str">
        <f>"1"</f>
        <v>1</v>
      </c>
      <c r="F72" s="9">
        <v>-8789664209.7199993</v>
      </c>
    </row>
    <row r="73" spans="1:6" x14ac:dyDescent="0.25">
      <c r="A73" s="7" t="str">
        <f t="shared" si="10"/>
        <v>1434</v>
      </c>
      <c r="B73" s="8" t="str">
        <f t="shared" si="11"/>
        <v>Дисконт по займам, предоставленным клиентам</v>
      </c>
      <c r="C73" s="7" t="str">
        <f>"2"</f>
        <v>2</v>
      </c>
      <c r="D73" s="7" t="str">
        <f>"9"</f>
        <v>9</v>
      </c>
      <c r="E73" s="7" t="str">
        <f>"1"</f>
        <v>1</v>
      </c>
      <c r="F73" s="9">
        <v>-18387.650000000001</v>
      </c>
    </row>
    <row r="74" spans="1:6" x14ac:dyDescent="0.25">
      <c r="A74" s="7" t="str">
        <f t="shared" si="10"/>
        <v>1434</v>
      </c>
      <c r="B74" s="8" t="str">
        <f t="shared" si="11"/>
        <v>Дисконт по займам, предоставленным клиентам</v>
      </c>
      <c r="C74" s="7" t="str">
        <f>"1"</f>
        <v>1</v>
      </c>
      <c r="D74" s="7" t="str">
        <f>"9"</f>
        <v>9</v>
      </c>
      <c r="E74" s="7" t="str">
        <f>"1"</f>
        <v>1</v>
      </c>
      <c r="F74" s="9">
        <v>-40387321359.860001</v>
      </c>
    </row>
    <row r="75" spans="1:6" x14ac:dyDescent="0.25">
      <c r="A75" s="7" t="str">
        <f t="shared" si="10"/>
        <v>1434</v>
      </c>
      <c r="B75" s="8" t="str">
        <f t="shared" si="11"/>
        <v>Дисконт по займам, предоставленным клиентам</v>
      </c>
      <c r="C75" s="7" t="str">
        <f>"2"</f>
        <v>2</v>
      </c>
      <c r="D75" s="7" t="str">
        <f>"7"</f>
        <v>7</v>
      </c>
      <c r="E75" s="7" t="str">
        <f>"1"</f>
        <v>1</v>
      </c>
      <c r="F75" s="9">
        <v>-77847830.530000001</v>
      </c>
    </row>
    <row r="76" spans="1:6" x14ac:dyDescent="0.25">
      <c r="A76" s="7" t="str">
        <f t="shared" ref="A76:A81" si="12">"1435"</f>
        <v>1435</v>
      </c>
      <c r="B76" s="8" t="str">
        <f t="shared" ref="B76:B81" si="13">"Премия по займам, предоставленным клиентам"</f>
        <v>Премия по займам, предоставленным клиентам</v>
      </c>
      <c r="C76" s="7" t="str">
        <f>"1"</f>
        <v>1</v>
      </c>
      <c r="D76" s="7" t="str">
        <f>"9"</f>
        <v>9</v>
      </c>
      <c r="E76" s="7" t="str">
        <f>"2"</f>
        <v>2</v>
      </c>
      <c r="F76" s="9">
        <v>108713.88</v>
      </c>
    </row>
    <row r="77" spans="1:6" x14ac:dyDescent="0.25">
      <c r="A77" s="7" t="str">
        <f t="shared" si="12"/>
        <v>1435</v>
      </c>
      <c r="B77" s="8" t="str">
        <f t="shared" si="13"/>
        <v>Премия по займам, предоставленным клиентам</v>
      </c>
      <c r="C77" s="7" t="str">
        <f>"1"</f>
        <v>1</v>
      </c>
      <c r="D77" s="7" t="str">
        <f>"9"</f>
        <v>9</v>
      </c>
      <c r="E77" s="7" t="str">
        <f>"1"</f>
        <v>1</v>
      </c>
      <c r="F77" s="9">
        <v>7583858389.3500004</v>
      </c>
    </row>
    <row r="78" spans="1:6" x14ac:dyDescent="0.25">
      <c r="A78" s="7" t="str">
        <f t="shared" si="12"/>
        <v>1435</v>
      </c>
      <c r="B78" s="8" t="str">
        <f t="shared" si="13"/>
        <v>Премия по займам, предоставленным клиентам</v>
      </c>
      <c r="C78" s="7" t="str">
        <f>"2"</f>
        <v>2</v>
      </c>
      <c r="D78" s="7" t="str">
        <f>"9"</f>
        <v>9</v>
      </c>
      <c r="E78" s="7" t="str">
        <f>"1"</f>
        <v>1</v>
      </c>
      <c r="F78" s="9">
        <v>534.62</v>
      </c>
    </row>
    <row r="79" spans="1:6" x14ac:dyDescent="0.25">
      <c r="A79" s="7" t="str">
        <f t="shared" si="12"/>
        <v>1435</v>
      </c>
      <c r="B79" s="8" t="str">
        <f t="shared" si="13"/>
        <v>Премия по займам, предоставленным клиентам</v>
      </c>
      <c r="C79" s="7" t="str">
        <f t="shared" ref="C79:C85" si="14">"1"</f>
        <v>1</v>
      </c>
      <c r="D79" s="7" t="str">
        <f>"7"</f>
        <v>7</v>
      </c>
      <c r="E79" s="7" t="str">
        <f>"1"</f>
        <v>1</v>
      </c>
      <c r="F79" s="9">
        <v>66566756.939999998</v>
      </c>
    </row>
    <row r="80" spans="1:6" x14ac:dyDescent="0.25">
      <c r="A80" s="7" t="str">
        <f t="shared" si="12"/>
        <v>1435</v>
      </c>
      <c r="B80" s="8" t="str">
        <f t="shared" si="13"/>
        <v>Премия по займам, предоставленным клиентам</v>
      </c>
      <c r="C80" s="7" t="str">
        <f t="shared" si="14"/>
        <v>1</v>
      </c>
      <c r="D80" s="7" t="str">
        <f>"5"</f>
        <v>5</v>
      </c>
      <c r="E80" s="7" t="str">
        <f>"1"</f>
        <v>1</v>
      </c>
      <c r="F80" s="9">
        <v>2070050.8</v>
      </c>
    </row>
    <row r="81" spans="1:6" x14ac:dyDescent="0.25">
      <c r="A81" s="7" t="str">
        <f t="shared" si="12"/>
        <v>1435</v>
      </c>
      <c r="B81" s="8" t="str">
        <f t="shared" si="13"/>
        <v>Премия по займам, предоставленным клиентам</v>
      </c>
      <c r="C81" s="7" t="str">
        <f t="shared" si="14"/>
        <v>1</v>
      </c>
      <c r="D81" s="7" t="str">
        <f>"7"</f>
        <v>7</v>
      </c>
      <c r="E81" s="7" t="str">
        <f>"2"</f>
        <v>2</v>
      </c>
      <c r="F81" s="9">
        <v>722601.39</v>
      </c>
    </row>
    <row r="82" spans="1:6" x14ac:dyDescent="0.25">
      <c r="A82" s="7" t="str">
        <f t="shared" ref="A82:A92" si="15">"1452"</f>
        <v>1452</v>
      </c>
      <c r="B82" s="8" t="str">
        <f t="shared" ref="B82:B92" si="1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C82" s="7" t="str">
        <f t="shared" si="14"/>
        <v>1</v>
      </c>
      <c r="D82" s="7" t="str">
        <f>"4"</f>
        <v>4</v>
      </c>
      <c r="E82" s="7" t="str">
        <f>"1"</f>
        <v>1</v>
      </c>
      <c r="F82" s="9">
        <v>10000000000</v>
      </c>
    </row>
    <row r="83" spans="1:6" x14ac:dyDescent="0.25">
      <c r="A83" s="7" t="str">
        <f t="shared" si="15"/>
        <v>1452</v>
      </c>
      <c r="B83" s="8" t="str">
        <f t="shared" si="16"/>
        <v>Ценные бумаги, учитываемые по справедливой стоимости через прочий совокупный доход</v>
      </c>
      <c r="C83" s="7" t="str">
        <f t="shared" si="14"/>
        <v>1</v>
      </c>
      <c r="D83" s="7" t="str">
        <f>"4"</f>
        <v>4</v>
      </c>
      <c r="E83" s="7" t="str">
        <f>"2"</f>
        <v>2</v>
      </c>
      <c r="F83" s="9">
        <v>1098120000</v>
      </c>
    </row>
    <row r="84" spans="1:6" x14ac:dyDescent="0.25">
      <c r="A84" s="7" t="str">
        <f t="shared" si="15"/>
        <v>1452</v>
      </c>
      <c r="B84" s="8" t="str">
        <f t="shared" si="16"/>
        <v>Ценные бумаги, учитываемые по справедливой стоимости через прочий совокупный доход</v>
      </c>
      <c r="C84" s="7" t="str">
        <f t="shared" si="14"/>
        <v>1</v>
      </c>
      <c r="D84" s="7" t="str">
        <f>"1"</f>
        <v>1</v>
      </c>
      <c r="E84" s="7" t="str">
        <f>"1"</f>
        <v>1</v>
      </c>
      <c r="F84" s="9">
        <v>288325152000</v>
      </c>
    </row>
    <row r="85" spans="1:6" x14ac:dyDescent="0.25">
      <c r="A85" s="7" t="str">
        <f t="shared" si="15"/>
        <v>1452</v>
      </c>
      <c r="B85" s="8" t="str">
        <f t="shared" si="16"/>
        <v>Ценные бумаги, учитываемые по справедливой стоимости через прочий совокупный доход</v>
      </c>
      <c r="C85" s="7" t="str">
        <f t="shared" si="14"/>
        <v>1</v>
      </c>
      <c r="D85" s="7" t="str">
        <f>"6"</f>
        <v>6</v>
      </c>
      <c r="E85" s="7" t="str">
        <f>"1"</f>
        <v>1</v>
      </c>
      <c r="F85" s="9">
        <v>6000000000</v>
      </c>
    </row>
    <row r="86" spans="1:6" x14ac:dyDescent="0.25">
      <c r="A86" s="7" t="str">
        <f t="shared" si="15"/>
        <v>1452</v>
      </c>
      <c r="B86" s="8" t="str">
        <f t="shared" si="16"/>
        <v>Ценные бумаги, учитываемые по справедливой стоимости через прочий совокупный доход</v>
      </c>
      <c r="C86" s="7" t="str">
        <f>"2"</f>
        <v>2</v>
      </c>
      <c r="D86" s="7" t="str">
        <f>"3"</f>
        <v>3</v>
      </c>
      <c r="E86" s="7" t="str">
        <f>"2"</f>
        <v>2</v>
      </c>
      <c r="F86" s="9">
        <v>28852276500</v>
      </c>
    </row>
    <row r="87" spans="1:6" x14ac:dyDescent="0.25">
      <c r="A87" s="7" t="str">
        <f t="shared" si="15"/>
        <v>1452</v>
      </c>
      <c r="B87" s="8" t="str">
        <f t="shared" si="16"/>
        <v>Ценные бумаги, учитываемые по справедливой стоимости через прочий совокупный доход</v>
      </c>
      <c r="C87" s="7" t="str">
        <f>"2"</f>
        <v>2</v>
      </c>
      <c r="D87" s="7" t="str">
        <f>"1"</f>
        <v>1</v>
      </c>
      <c r="E87" s="7" t="str">
        <f>"2"</f>
        <v>2</v>
      </c>
      <c r="F87" s="9">
        <v>247559940000</v>
      </c>
    </row>
    <row r="88" spans="1:6" x14ac:dyDescent="0.25">
      <c r="A88" s="7" t="str">
        <f t="shared" si="15"/>
        <v>1452</v>
      </c>
      <c r="B88" s="8" t="str">
        <f t="shared" si="16"/>
        <v>Ценные бумаги, учитываемые по справедливой стоимости через прочий совокупный доход</v>
      </c>
      <c r="C88" s="7" t="str">
        <f>"1"</f>
        <v>1</v>
      </c>
      <c r="D88" s="7" t="str">
        <f>"1"</f>
        <v>1</v>
      </c>
      <c r="E88" s="7" t="str">
        <f>"2"</f>
        <v>2</v>
      </c>
      <c r="F88" s="9">
        <v>120351178180</v>
      </c>
    </row>
    <row r="89" spans="1:6" x14ac:dyDescent="0.25">
      <c r="A89" s="7" t="str">
        <f t="shared" si="15"/>
        <v>1452</v>
      </c>
      <c r="B89" s="8" t="str">
        <f t="shared" si="16"/>
        <v>Ценные бумаги, учитываемые по справедливой стоимости через прочий совокупный доход</v>
      </c>
      <c r="C89" s="7" t="str">
        <f>"2"</f>
        <v>2</v>
      </c>
      <c r="D89" s="7" t="str">
        <f>"4"</f>
        <v>4</v>
      </c>
      <c r="E89" s="7" t="str">
        <f>"1"</f>
        <v>1</v>
      </c>
      <c r="F89" s="9">
        <v>5000000000</v>
      </c>
    </row>
    <row r="90" spans="1:6" x14ac:dyDescent="0.25">
      <c r="A90" s="7" t="str">
        <f t="shared" si="15"/>
        <v>1452</v>
      </c>
      <c r="B90" s="8" t="str">
        <f t="shared" si="16"/>
        <v>Ценные бумаги, учитываемые по справедливой стоимости через прочий совокупный доход</v>
      </c>
      <c r="C90" s="7" t="str">
        <f>"2"</f>
        <v>2</v>
      </c>
      <c r="D90" s="7" t="str">
        <f>"5"</f>
        <v>5</v>
      </c>
      <c r="E90" s="7" t="str">
        <f>"2"</f>
        <v>2</v>
      </c>
      <c r="F90" s="9">
        <v>6851719740</v>
      </c>
    </row>
    <row r="91" spans="1:6" x14ac:dyDescent="0.25">
      <c r="A91" s="7" t="str">
        <f t="shared" si="15"/>
        <v>1452</v>
      </c>
      <c r="B91" s="8" t="str">
        <f t="shared" si="16"/>
        <v>Ценные бумаги, учитываемые по справедливой стоимости через прочий совокупный доход</v>
      </c>
      <c r="C91" s="7" t="str">
        <f>"1"</f>
        <v>1</v>
      </c>
      <c r="D91" s="7" t="str">
        <f>"6"</f>
        <v>6</v>
      </c>
      <c r="E91" s="7" t="str">
        <f>"2"</f>
        <v>2</v>
      </c>
      <c r="F91" s="9">
        <v>24866927400</v>
      </c>
    </row>
    <row r="92" spans="1:6" x14ac:dyDescent="0.25">
      <c r="A92" s="7" t="str">
        <f t="shared" si="15"/>
        <v>1452</v>
      </c>
      <c r="B92" s="8" t="str">
        <f t="shared" si="16"/>
        <v>Ценные бумаги, учитываемые по справедливой стоимости через прочий совокупный доход</v>
      </c>
      <c r="C92" s="7" t="str">
        <f>"1"</f>
        <v>1</v>
      </c>
      <c r="D92" s="7" t="str">
        <f>"5"</f>
        <v>5</v>
      </c>
      <c r="E92" s="7" t="str">
        <f>"1"</f>
        <v>1</v>
      </c>
      <c r="F92" s="9">
        <v>7700000000</v>
      </c>
    </row>
    <row r="93" spans="1:6" x14ac:dyDescent="0.25">
      <c r="A93" s="7" t="str">
        <f t="shared" ref="A93:A100" si="17">"1453"</f>
        <v>1453</v>
      </c>
      <c r="B93" s="8" t="str">
        <f t="shared" ref="B93:B100" si="18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C93" s="7" t="str">
        <f>"1"</f>
        <v>1</v>
      </c>
      <c r="D93" s="7" t="str">
        <f>"1"</f>
        <v>1</v>
      </c>
      <c r="E93" s="7" t="str">
        <f>"1"</f>
        <v>1</v>
      </c>
      <c r="F93" s="9">
        <v>-38472694345.190002</v>
      </c>
    </row>
    <row r="94" spans="1:6" x14ac:dyDescent="0.25">
      <c r="A94" s="7" t="str">
        <f t="shared" si="17"/>
        <v>1453</v>
      </c>
      <c r="B94" s="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94" s="7" t="str">
        <f>"2"</f>
        <v>2</v>
      </c>
      <c r="D94" s="7" t="str">
        <f>"1"</f>
        <v>1</v>
      </c>
      <c r="E94" s="7" t="str">
        <f>"2"</f>
        <v>2</v>
      </c>
      <c r="F94" s="9">
        <v>-1579419784.5899999</v>
      </c>
    </row>
    <row r="95" spans="1:6" x14ac:dyDescent="0.25">
      <c r="A95" s="7" t="str">
        <f t="shared" si="17"/>
        <v>1453</v>
      </c>
      <c r="B95" s="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95" s="7" t="str">
        <f>"1"</f>
        <v>1</v>
      </c>
      <c r="D95" s="7" t="str">
        <f>"4"</f>
        <v>4</v>
      </c>
      <c r="E95" s="7" t="str">
        <f>"2"</f>
        <v>2</v>
      </c>
      <c r="F95" s="9">
        <v>-10120790.039999999</v>
      </c>
    </row>
    <row r="96" spans="1:6" x14ac:dyDescent="0.25">
      <c r="A96" s="7" t="str">
        <f t="shared" si="17"/>
        <v>1453</v>
      </c>
      <c r="B96" s="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96" s="7" t="str">
        <f>"1"</f>
        <v>1</v>
      </c>
      <c r="D96" s="7" t="str">
        <f>"1"</f>
        <v>1</v>
      </c>
      <c r="E96" s="7" t="str">
        <f>"2"</f>
        <v>2</v>
      </c>
      <c r="F96" s="9">
        <v>-906279984.54999995</v>
      </c>
    </row>
    <row r="97" spans="1:6" x14ac:dyDescent="0.25">
      <c r="A97" s="7" t="str">
        <f t="shared" si="17"/>
        <v>1453</v>
      </c>
      <c r="B97" s="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97" s="7" t="str">
        <f>"1"</f>
        <v>1</v>
      </c>
      <c r="D97" s="7" t="str">
        <f>"6"</f>
        <v>6</v>
      </c>
      <c r="E97" s="7" t="str">
        <f>"2"</f>
        <v>2</v>
      </c>
      <c r="F97" s="9">
        <v>-163366466.84999999</v>
      </c>
    </row>
    <row r="98" spans="1:6" x14ac:dyDescent="0.25">
      <c r="A98" s="7" t="str">
        <f t="shared" si="17"/>
        <v>1453</v>
      </c>
      <c r="B98" s="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98" s="7" t="str">
        <f>"2"</f>
        <v>2</v>
      </c>
      <c r="D98" s="7" t="str">
        <f>"3"</f>
        <v>3</v>
      </c>
      <c r="E98" s="7" t="str">
        <f>"2"</f>
        <v>2</v>
      </c>
      <c r="F98" s="9">
        <v>-1496388.59</v>
      </c>
    </row>
    <row r="99" spans="1:6" x14ac:dyDescent="0.25">
      <c r="A99" s="7" t="str">
        <f t="shared" si="17"/>
        <v>1453</v>
      </c>
      <c r="B99" s="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99" s="7" t="str">
        <f>"1"</f>
        <v>1</v>
      </c>
      <c r="D99" s="7" t="str">
        <f>"5"</f>
        <v>5</v>
      </c>
      <c r="E99" s="7" t="str">
        <f>"1"</f>
        <v>1</v>
      </c>
      <c r="F99" s="9">
        <v>-643206238.09000003</v>
      </c>
    </row>
    <row r="100" spans="1:6" x14ac:dyDescent="0.25">
      <c r="A100" s="7" t="str">
        <f t="shared" si="17"/>
        <v>1453</v>
      </c>
      <c r="B100" s="8" t="str">
        <f t="shared" si="18"/>
        <v>Дисконт по приобретенным ценным бумагам, учитываемым по справедливой стоимости через прочий совокупный доход</v>
      </c>
      <c r="C100" s="7" t="str">
        <f>"2"</f>
        <v>2</v>
      </c>
      <c r="D100" s="7" t="str">
        <f>"4"</f>
        <v>4</v>
      </c>
      <c r="E100" s="7" t="str">
        <f>"1"</f>
        <v>1</v>
      </c>
      <c r="F100" s="9">
        <v>-10412759.08</v>
      </c>
    </row>
    <row r="101" spans="1:6" x14ac:dyDescent="0.25">
      <c r="A101" s="7" t="str">
        <f>"1454"</f>
        <v>1454</v>
      </c>
      <c r="B101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1" s="7" t="str">
        <f>"2"</f>
        <v>2</v>
      </c>
      <c r="D101" s="7" t="str">
        <f>"5"</f>
        <v>5</v>
      </c>
      <c r="E101" s="7" t="str">
        <f>"2"</f>
        <v>2</v>
      </c>
      <c r="F101" s="9">
        <v>44029686.93</v>
      </c>
    </row>
    <row r="102" spans="1:6" x14ac:dyDescent="0.25">
      <c r="A102" s="7" t="str">
        <f>"1454"</f>
        <v>1454</v>
      </c>
      <c r="B102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2" s="7" t="str">
        <f>"2"</f>
        <v>2</v>
      </c>
      <c r="D102" s="7" t="str">
        <f>"1"</f>
        <v>1</v>
      </c>
      <c r="E102" s="7" t="str">
        <f>"2"</f>
        <v>2</v>
      </c>
      <c r="F102" s="9">
        <v>1390376028.5999999</v>
      </c>
    </row>
    <row r="103" spans="1:6" x14ac:dyDescent="0.25">
      <c r="A103" s="7" t="str">
        <f>"1454"</f>
        <v>1454</v>
      </c>
      <c r="B103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3" s="7" t="str">
        <f>"1"</f>
        <v>1</v>
      </c>
      <c r="D103" s="7" t="str">
        <f>"1"</f>
        <v>1</v>
      </c>
      <c r="E103" s="7" t="str">
        <f>"2"</f>
        <v>2</v>
      </c>
      <c r="F103" s="9">
        <v>382994804.42000002</v>
      </c>
    </row>
    <row r="104" spans="1:6" x14ac:dyDescent="0.25">
      <c r="A104" s="7" t="str">
        <f>"1454"</f>
        <v>1454</v>
      </c>
      <c r="B104" s="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04" s="7" t="str">
        <f>"1"</f>
        <v>1</v>
      </c>
      <c r="D104" s="7" t="str">
        <f>"1"</f>
        <v>1</v>
      </c>
      <c r="E104" s="7" t="str">
        <f>"1"</f>
        <v>1</v>
      </c>
      <c r="F104" s="9">
        <v>209675611.44</v>
      </c>
    </row>
    <row r="105" spans="1:6" x14ac:dyDescent="0.25">
      <c r="A105" s="7" t="str">
        <f t="shared" ref="A105:A115" si="19">"1456"</f>
        <v>1456</v>
      </c>
      <c r="B105" s="8" t="str">
        <f t="shared" ref="B105:B115" si="20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5" s="7" t="str">
        <f>"1"</f>
        <v>1</v>
      </c>
      <c r="D105" s="7" t="str">
        <f>"1"</f>
        <v>1</v>
      </c>
      <c r="E105" s="7" t="str">
        <f>"2"</f>
        <v>2</v>
      </c>
      <c r="F105" s="9">
        <v>11159919134.5</v>
      </c>
    </row>
    <row r="106" spans="1:6" x14ac:dyDescent="0.25">
      <c r="A106" s="7" t="str">
        <f t="shared" si="19"/>
        <v>1456</v>
      </c>
      <c r="B106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6" s="7" t="str">
        <f>"1"</f>
        <v>1</v>
      </c>
      <c r="D106" s="7" t="str">
        <f>"1"</f>
        <v>1</v>
      </c>
      <c r="E106" s="7" t="str">
        <f>"1"</f>
        <v>1</v>
      </c>
      <c r="F106" s="9">
        <v>83971183712.669998</v>
      </c>
    </row>
    <row r="107" spans="1:6" x14ac:dyDescent="0.25">
      <c r="A107" s="7" t="str">
        <f t="shared" si="19"/>
        <v>1456</v>
      </c>
      <c r="B107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7" s="7" t="str">
        <f>"1"</f>
        <v>1</v>
      </c>
      <c r="D107" s="7" t="str">
        <f>"4"</f>
        <v>4</v>
      </c>
      <c r="E107" s="7" t="str">
        <f>"1"</f>
        <v>1</v>
      </c>
      <c r="F107" s="9">
        <v>1387541700</v>
      </c>
    </row>
    <row r="108" spans="1:6" x14ac:dyDescent="0.25">
      <c r="A108" s="7" t="str">
        <f t="shared" si="19"/>
        <v>1456</v>
      </c>
      <c r="B108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8" s="7" t="str">
        <f>"2"</f>
        <v>2</v>
      </c>
      <c r="D108" s="7" t="str">
        <f>"3"</f>
        <v>3</v>
      </c>
      <c r="E108" s="7" t="str">
        <f>"2"</f>
        <v>2</v>
      </c>
      <c r="F108" s="9">
        <v>15447310580.51</v>
      </c>
    </row>
    <row r="109" spans="1:6" x14ac:dyDescent="0.25">
      <c r="A109" s="7" t="str">
        <f t="shared" si="19"/>
        <v>1456</v>
      </c>
      <c r="B109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09" s="7" t="str">
        <f>"2"</f>
        <v>2</v>
      </c>
      <c r="D109" s="7" t="str">
        <f>"4"</f>
        <v>4</v>
      </c>
      <c r="E109" s="7" t="str">
        <f>"1"</f>
        <v>1</v>
      </c>
      <c r="F109" s="9">
        <v>17010159.34</v>
      </c>
    </row>
    <row r="110" spans="1:6" x14ac:dyDescent="0.25">
      <c r="A110" s="7" t="str">
        <f t="shared" si="19"/>
        <v>1456</v>
      </c>
      <c r="B110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0" s="7" t="str">
        <f>"1"</f>
        <v>1</v>
      </c>
      <c r="D110" s="7" t="str">
        <f>"6"</f>
        <v>6</v>
      </c>
      <c r="E110" s="7" t="str">
        <f>"1"</f>
        <v>1</v>
      </c>
      <c r="F110" s="9">
        <v>396566400</v>
      </c>
    </row>
    <row r="111" spans="1:6" x14ac:dyDescent="0.25">
      <c r="A111" s="7" t="str">
        <f t="shared" si="19"/>
        <v>1456</v>
      </c>
      <c r="B111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1" s="7" t="str">
        <f>"2"</f>
        <v>2</v>
      </c>
      <c r="D111" s="7" t="str">
        <f>"5"</f>
        <v>5</v>
      </c>
      <c r="E111" s="7" t="str">
        <f>"2"</f>
        <v>2</v>
      </c>
      <c r="F111" s="9">
        <v>12691450082.950001</v>
      </c>
    </row>
    <row r="112" spans="1:6" x14ac:dyDescent="0.25">
      <c r="A112" s="7" t="str">
        <f t="shared" si="19"/>
        <v>1456</v>
      </c>
      <c r="B112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2" s="7" t="str">
        <f>"2"</f>
        <v>2</v>
      </c>
      <c r="D112" s="7" t="str">
        <f>"1"</f>
        <v>1</v>
      </c>
      <c r="E112" s="7" t="str">
        <f>"2"</f>
        <v>2</v>
      </c>
      <c r="F112" s="9">
        <v>7705380934.9300003</v>
      </c>
    </row>
    <row r="113" spans="1:6" x14ac:dyDescent="0.25">
      <c r="A113" s="7" t="str">
        <f t="shared" si="19"/>
        <v>1456</v>
      </c>
      <c r="B113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3" s="7" t="str">
        <f t="shared" ref="C113:C120" si="21">"1"</f>
        <v>1</v>
      </c>
      <c r="D113" s="7" t="str">
        <f>"5"</f>
        <v>5</v>
      </c>
      <c r="E113" s="7" t="str">
        <f>"1"</f>
        <v>1</v>
      </c>
      <c r="F113" s="9">
        <v>648858841.24000001</v>
      </c>
    </row>
    <row r="114" spans="1:6" x14ac:dyDescent="0.25">
      <c r="A114" s="7" t="str">
        <f t="shared" si="19"/>
        <v>1456</v>
      </c>
      <c r="B114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4" s="7" t="str">
        <f t="shared" si="21"/>
        <v>1</v>
      </c>
      <c r="D114" s="7" t="str">
        <f>"6"</f>
        <v>6</v>
      </c>
      <c r="E114" s="7" t="str">
        <f>"2"</f>
        <v>2</v>
      </c>
      <c r="F114" s="9">
        <v>5403464606.2700005</v>
      </c>
    </row>
    <row r="115" spans="1:6" x14ac:dyDescent="0.25">
      <c r="A115" s="7" t="str">
        <f t="shared" si="19"/>
        <v>1456</v>
      </c>
      <c r="B115" s="8" t="str">
        <f t="shared" si="20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5" s="7" t="str">
        <f t="shared" si="21"/>
        <v>1</v>
      </c>
      <c r="D115" s="7" t="str">
        <f>"4"</f>
        <v>4</v>
      </c>
      <c r="E115" s="7" t="str">
        <f>"2"</f>
        <v>2</v>
      </c>
      <c r="F115" s="9">
        <v>69134587.920000002</v>
      </c>
    </row>
    <row r="116" spans="1:6" x14ac:dyDescent="0.25">
      <c r="A116" s="7" t="str">
        <f t="shared" ref="A116:A126" si="22">"1457"</f>
        <v>1457</v>
      </c>
      <c r="B116" s="8" t="str">
        <f t="shared" ref="B116:B126" si="23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6" s="7" t="str">
        <f t="shared" si="21"/>
        <v>1</v>
      </c>
      <c r="D116" s="7" t="str">
        <f>"1"</f>
        <v>1</v>
      </c>
      <c r="E116" s="7" t="str">
        <f>"1"</f>
        <v>1</v>
      </c>
      <c r="F116" s="9">
        <v>-107650556560.10001</v>
      </c>
    </row>
    <row r="117" spans="1:6" x14ac:dyDescent="0.25">
      <c r="A117" s="7" t="str">
        <f t="shared" si="22"/>
        <v>1457</v>
      </c>
      <c r="B117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7" s="7" t="str">
        <f t="shared" si="21"/>
        <v>1</v>
      </c>
      <c r="D117" s="7" t="str">
        <f>"1"</f>
        <v>1</v>
      </c>
      <c r="E117" s="7" t="str">
        <f>"2"</f>
        <v>2</v>
      </c>
      <c r="F117" s="9">
        <v>-9616383578.1399994</v>
      </c>
    </row>
    <row r="118" spans="1:6" x14ac:dyDescent="0.25">
      <c r="A118" s="7" t="str">
        <f t="shared" si="22"/>
        <v>1457</v>
      </c>
      <c r="B118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8" s="7" t="str">
        <f t="shared" si="21"/>
        <v>1</v>
      </c>
      <c r="D118" s="7" t="str">
        <f>"4"</f>
        <v>4</v>
      </c>
      <c r="E118" s="7" t="str">
        <f>"2"</f>
        <v>2</v>
      </c>
      <c r="F118" s="9">
        <v>-32274575.879999999</v>
      </c>
    </row>
    <row r="119" spans="1:6" x14ac:dyDescent="0.25">
      <c r="A119" s="7" t="str">
        <f t="shared" si="22"/>
        <v>1457</v>
      </c>
      <c r="B119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19" s="7" t="str">
        <f t="shared" si="21"/>
        <v>1</v>
      </c>
      <c r="D119" s="7" t="str">
        <f>"6"</f>
        <v>6</v>
      </c>
      <c r="E119" s="7" t="str">
        <f>"1"</f>
        <v>1</v>
      </c>
      <c r="F119" s="9">
        <v>-1043143800</v>
      </c>
    </row>
    <row r="120" spans="1:6" x14ac:dyDescent="0.25">
      <c r="A120" s="7" t="str">
        <f t="shared" si="22"/>
        <v>1457</v>
      </c>
      <c r="B120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0" s="7" t="str">
        <f t="shared" si="21"/>
        <v>1</v>
      </c>
      <c r="D120" s="7" t="str">
        <f>"4"</f>
        <v>4</v>
      </c>
      <c r="E120" s="7" t="str">
        <f>"1"</f>
        <v>1</v>
      </c>
      <c r="F120" s="9">
        <v>-1954579300</v>
      </c>
    </row>
    <row r="121" spans="1:6" x14ac:dyDescent="0.25">
      <c r="A121" s="7" t="str">
        <f t="shared" si="22"/>
        <v>1457</v>
      </c>
      <c r="B121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1" s="7" t="str">
        <f>"2"</f>
        <v>2</v>
      </c>
      <c r="D121" s="7" t="str">
        <f>"4"</f>
        <v>4</v>
      </c>
      <c r="E121" s="7" t="str">
        <f>"1"</f>
        <v>1</v>
      </c>
      <c r="F121" s="9">
        <v>-6597400.2400000002</v>
      </c>
    </row>
    <row r="122" spans="1:6" x14ac:dyDescent="0.25">
      <c r="A122" s="7" t="str">
        <f t="shared" si="22"/>
        <v>1457</v>
      </c>
      <c r="B122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2" s="7" t="str">
        <f>"2"</f>
        <v>2</v>
      </c>
      <c r="D122" s="7" t="str">
        <f>"3"</f>
        <v>3</v>
      </c>
      <c r="E122" s="7" t="str">
        <f>"2"</f>
        <v>2</v>
      </c>
      <c r="F122" s="9">
        <v>-14195587150.620001</v>
      </c>
    </row>
    <row r="123" spans="1:6" x14ac:dyDescent="0.25">
      <c r="A123" s="7" t="str">
        <f t="shared" si="22"/>
        <v>1457</v>
      </c>
      <c r="B123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3" s="7" t="str">
        <f>"2"</f>
        <v>2</v>
      </c>
      <c r="D123" s="7" t="str">
        <f>"1"</f>
        <v>1</v>
      </c>
      <c r="E123" s="7" t="str">
        <f>"2"</f>
        <v>2</v>
      </c>
      <c r="F123" s="9">
        <v>-6760555658.1300001</v>
      </c>
    </row>
    <row r="124" spans="1:6" x14ac:dyDescent="0.25">
      <c r="A124" s="7" t="str">
        <f t="shared" si="22"/>
        <v>1457</v>
      </c>
      <c r="B124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4" s="7" t="str">
        <f>"2"</f>
        <v>2</v>
      </c>
      <c r="D124" s="7" t="str">
        <f>"5"</f>
        <v>5</v>
      </c>
      <c r="E124" s="7" t="str">
        <f>"2"</f>
        <v>2</v>
      </c>
      <c r="F124" s="9">
        <v>-13246618062.49</v>
      </c>
    </row>
    <row r="125" spans="1:6" x14ac:dyDescent="0.25">
      <c r="A125" s="7" t="str">
        <f t="shared" si="22"/>
        <v>1457</v>
      </c>
      <c r="B125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5" s="7" t="str">
        <f>"1"</f>
        <v>1</v>
      </c>
      <c r="D125" s="7" t="str">
        <f>"6"</f>
        <v>6</v>
      </c>
      <c r="E125" s="7" t="str">
        <f>"2"</f>
        <v>2</v>
      </c>
      <c r="F125" s="9">
        <v>-5887980703.5200005</v>
      </c>
    </row>
    <row r="126" spans="1:6" x14ac:dyDescent="0.25">
      <c r="A126" s="7" t="str">
        <f t="shared" si="22"/>
        <v>1457</v>
      </c>
      <c r="B126" s="8" t="str">
        <f t="shared" si="2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6" s="7" t="str">
        <f>"1"</f>
        <v>1</v>
      </c>
      <c r="D126" s="7" t="str">
        <f>"5"</f>
        <v>5</v>
      </c>
      <c r="E126" s="7" t="str">
        <f>"1"</f>
        <v>1</v>
      </c>
      <c r="F126" s="9">
        <v>-714452597.65999997</v>
      </c>
    </row>
    <row r="127" spans="1:6" x14ac:dyDescent="0.25">
      <c r="A127" s="7" t="str">
        <f>"1459"</f>
        <v>1459</v>
      </c>
      <c r="B127" s="8" t="str">
        <f>"Просроченная задолженность по ценным бумагам, учитываемым по справедливой стоимости через прочий совокупный доход"</f>
        <v>Просроченная задолженность по ценным бумагам, учитываемым по справедливой стоимости через прочий совокупный доход</v>
      </c>
      <c r="C127" s="7" t="str">
        <f>"2"</f>
        <v>2</v>
      </c>
      <c r="D127" s="7" t="str">
        <f>"4"</f>
        <v>4</v>
      </c>
      <c r="E127" s="7" t="str">
        <f>"2"</f>
        <v>2</v>
      </c>
      <c r="F127" s="9">
        <v>1098120000</v>
      </c>
    </row>
    <row r="128" spans="1:6" x14ac:dyDescent="0.25">
      <c r="A128" s="7" t="str">
        <f>"1461"</f>
        <v>1461</v>
      </c>
      <c r="B128" s="8" t="str">
        <f>"Операции «обратное РЕПО» с ценными бумагами"</f>
        <v>Операции «обратное РЕПО» с ценными бумагами</v>
      </c>
      <c r="C128" s="7" t="str">
        <f>"1"</f>
        <v>1</v>
      </c>
      <c r="D128" s="7" t="str">
        <f>"5"</f>
        <v>5</v>
      </c>
      <c r="E128" s="7" t="str">
        <f>"1"</f>
        <v>1</v>
      </c>
      <c r="F128" s="9">
        <v>85020441063.899994</v>
      </c>
    </row>
    <row r="129" spans="1:6" x14ac:dyDescent="0.25">
      <c r="A129" s="7" t="str">
        <f>"1471"</f>
        <v>1471</v>
      </c>
      <c r="B129" s="8" t="str">
        <f>"Инвестиции в дочерние организации"</f>
        <v>Инвестиции в дочерние организации</v>
      </c>
      <c r="C129" s="7" t="str">
        <f>"1"</f>
        <v>1</v>
      </c>
      <c r="D129" s="7" t="str">
        <f>"7"</f>
        <v>7</v>
      </c>
      <c r="E129" s="7" t="str">
        <f>"1"</f>
        <v>1</v>
      </c>
      <c r="F129" s="9">
        <v>1536169622.47</v>
      </c>
    </row>
    <row r="130" spans="1:6" x14ac:dyDescent="0.25">
      <c r="A130" s="7" t="str">
        <f>"1474"</f>
        <v>1474</v>
      </c>
      <c r="B130" s="8" t="str">
        <f>"Обесценение инвестиций в дочерние организации"</f>
        <v>Обесценение инвестиций в дочерние организации</v>
      </c>
      <c r="C130" s="7" t="str">
        <f>"1"</f>
        <v>1</v>
      </c>
      <c r="D130" s="7" t="str">
        <f>"7"</f>
        <v>7</v>
      </c>
      <c r="E130" s="7" t="str">
        <f>"1"</f>
        <v>1</v>
      </c>
      <c r="F130" s="9">
        <v>-1536169622.47</v>
      </c>
    </row>
    <row r="131" spans="1:6" x14ac:dyDescent="0.25">
      <c r="A131" s="7" t="str">
        <f>"1481"</f>
        <v>1481</v>
      </c>
      <c r="B131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C131" s="7" t="str">
        <f>"1"</f>
        <v>1</v>
      </c>
      <c r="D131" s="7" t="str">
        <f>"4"</f>
        <v>4</v>
      </c>
      <c r="E131" s="7" t="str">
        <f t="shared" ref="E131:E144" si="24">"2"</f>
        <v>2</v>
      </c>
      <c r="F131" s="9">
        <v>1098120000</v>
      </c>
    </row>
    <row r="132" spans="1:6" x14ac:dyDescent="0.25">
      <c r="A132" s="7" t="str">
        <f>"1481"</f>
        <v>1481</v>
      </c>
      <c r="B132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C132" s="7" t="str">
        <f>"2"</f>
        <v>2</v>
      </c>
      <c r="D132" s="7" t="str">
        <f>"5"</f>
        <v>5</v>
      </c>
      <c r="E132" s="7" t="str">
        <f t="shared" si="24"/>
        <v>2</v>
      </c>
      <c r="F132" s="9">
        <v>549060000</v>
      </c>
    </row>
    <row r="133" spans="1:6" x14ac:dyDescent="0.25">
      <c r="A133" s="7" t="str">
        <f>"1481"</f>
        <v>1481</v>
      </c>
      <c r="B133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C133" s="7" t="str">
        <f>"1"</f>
        <v>1</v>
      </c>
      <c r="D133" s="7" t="str">
        <f>"6"</f>
        <v>6</v>
      </c>
      <c r="E133" s="7" t="str">
        <f t="shared" si="24"/>
        <v>2</v>
      </c>
      <c r="F133" s="9">
        <v>2745300000</v>
      </c>
    </row>
    <row r="134" spans="1:6" x14ac:dyDescent="0.25">
      <c r="A134" s="7" t="str">
        <f>"1481"</f>
        <v>1481</v>
      </c>
      <c r="B134" s="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C134" s="7" t="str">
        <f>"2"</f>
        <v>2</v>
      </c>
      <c r="D134" s="7" t="str">
        <f>"1"</f>
        <v>1</v>
      </c>
      <c r="E134" s="7" t="str">
        <f t="shared" si="24"/>
        <v>2</v>
      </c>
      <c r="F134" s="9">
        <v>10981200000</v>
      </c>
    </row>
    <row r="135" spans="1:6" x14ac:dyDescent="0.25">
      <c r="A135" s="7" t="str">
        <f>"1482"</f>
        <v>1482</v>
      </c>
      <c r="B135" s="8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5" s="7" t="str">
        <f>"2"</f>
        <v>2</v>
      </c>
      <c r="D135" s="7" t="str">
        <f>"1"</f>
        <v>1</v>
      </c>
      <c r="E135" s="7" t="str">
        <f t="shared" si="24"/>
        <v>2</v>
      </c>
      <c r="F135" s="9">
        <v>-2415073.35</v>
      </c>
    </row>
    <row r="136" spans="1:6" x14ac:dyDescent="0.25">
      <c r="A136" s="7" t="str">
        <f>"1483"</f>
        <v>1483</v>
      </c>
      <c r="B136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6" s="7" t="str">
        <f>"1"</f>
        <v>1</v>
      </c>
      <c r="D136" s="7" t="str">
        <f>"4"</f>
        <v>4</v>
      </c>
      <c r="E136" s="7" t="str">
        <f t="shared" si="24"/>
        <v>2</v>
      </c>
      <c r="F136" s="9">
        <v>19959994.649999999</v>
      </c>
    </row>
    <row r="137" spans="1:6" x14ac:dyDescent="0.25">
      <c r="A137" s="7" t="str">
        <f>"1483"</f>
        <v>1483</v>
      </c>
      <c r="B137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7" s="7" t="str">
        <f>"1"</f>
        <v>1</v>
      </c>
      <c r="D137" s="7" t="str">
        <f>"6"</f>
        <v>6</v>
      </c>
      <c r="E137" s="7" t="str">
        <f t="shared" si="24"/>
        <v>2</v>
      </c>
      <c r="F137" s="9">
        <v>25439882.489999998</v>
      </c>
    </row>
    <row r="138" spans="1:6" x14ac:dyDescent="0.25">
      <c r="A138" s="7" t="str">
        <f>"1483"</f>
        <v>1483</v>
      </c>
      <c r="B138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8" s="7" t="str">
        <f>"2"</f>
        <v>2</v>
      </c>
      <c r="D138" s="7" t="str">
        <f>"5"</f>
        <v>5</v>
      </c>
      <c r="E138" s="7" t="str">
        <f t="shared" si="24"/>
        <v>2</v>
      </c>
      <c r="F138" s="9">
        <v>3210480.1</v>
      </c>
    </row>
    <row r="139" spans="1:6" x14ac:dyDescent="0.25">
      <c r="A139" s="7" t="str">
        <f>"1483"</f>
        <v>1483</v>
      </c>
      <c r="B139" s="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39" s="7" t="str">
        <f>"2"</f>
        <v>2</v>
      </c>
      <c r="D139" s="7" t="str">
        <f>"1"</f>
        <v>1</v>
      </c>
      <c r="E139" s="7" t="str">
        <f t="shared" si="24"/>
        <v>2</v>
      </c>
      <c r="F139" s="9">
        <v>16724191.9</v>
      </c>
    </row>
    <row r="140" spans="1:6" x14ac:dyDescent="0.25">
      <c r="A140" s="7" t="str">
        <f>"1485"</f>
        <v>1485</v>
      </c>
      <c r="B140" s="8" t="str">
        <f>"Просроченная задолженность по ценным бумагам, учитываемым по амортизированной стоимости"</f>
        <v>Просроченная задолженность по ценным бумагам, учитываемым по амортизированной стоимости</v>
      </c>
      <c r="C140" s="7" t="str">
        <f>"2"</f>
        <v>2</v>
      </c>
      <c r="D140" s="7" t="str">
        <f>"4"</f>
        <v>4</v>
      </c>
      <c r="E140" s="7" t="str">
        <f t="shared" si="24"/>
        <v>2</v>
      </c>
      <c r="F140" s="9">
        <v>3826948200</v>
      </c>
    </row>
    <row r="141" spans="1:6" x14ac:dyDescent="0.25">
      <c r="A141" s="7" t="str">
        <f>"1486"</f>
        <v>1486</v>
      </c>
      <c r="B141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1" s="7" t="str">
        <f>"1"</f>
        <v>1</v>
      </c>
      <c r="D141" s="7" t="str">
        <f>"4"</f>
        <v>4</v>
      </c>
      <c r="E141" s="7" t="str">
        <f t="shared" si="24"/>
        <v>2</v>
      </c>
      <c r="F141" s="9">
        <v>-806613.06</v>
      </c>
    </row>
    <row r="142" spans="1:6" x14ac:dyDescent="0.25">
      <c r="A142" s="7" t="str">
        <f>"1486"</f>
        <v>1486</v>
      </c>
      <c r="B142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2" s="7" t="str">
        <f>"1"</f>
        <v>1</v>
      </c>
      <c r="D142" s="7" t="str">
        <f>"6"</f>
        <v>6</v>
      </c>
      <c r="E142" s="7" t="str">
        <f t="shared" si="24"/>
        <v>2</v>
      </c>
      <c r="F142" s="9">
        <v>-5266940.41</v>
      </c>
    </row>
    <row r="143" spans="1:6" x14ac:dyDescent="0.25">
      <c r="A143" s="7" t="str">
        <f>"1486"</f>
        <v>1486</v>
      </c>
      <c r="B143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3" s="7" t="str">
        <f>"2"</f>
        <v>2</v>
      </c>
      <c r="D143" s="7" t="str">
        <f>"5"</f>
        <v>5</v>
      </c>
      <c r="E143" s="7" t="str">
        <f t="shared" si="24"/>
        <v>2</v>
      </c>
      <c r="F143" s="9">
        <v>-643023388.59000003</v>
      </c>
    </row>
    <row r="144" spans="1:6" x14ac:dyDescent="0.25">
      <c r="A144" s="7" t="str">
        <f>"1486"</f>
        <v>1486</v>
      </c>
      <c r="B144" s="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44" s="7" t="str">
        <f>"2"</f>
        <v>2</v>
      </c>
      <c r="D144" s="7" t="str">
        <f>"4"</f>
        <v>4</v>
      </c>
      <c r="E144" s="7" t="str">
        <f t="shared" si="24"/>
        <v>2</v>
      </c>
      <c r="F144" s="9">
        <v>-4024181050.0300002</v>
      </c>
    </row>
    <row r="145" spans="1:6" x14ac:dyDescent="0.25">
      <c r="A145" s="7" t="str">
        <f>"1491"</f>
        <v>1491</v>
      </c>
      <c r="B145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145" s="7" t="str">
        <f>"1"</f>
        <v>1</v>
      </c>
      <c r="D145" s="7" t="str">
        <f>"9"</f>
        <v>9</v>
      </c>
      <c r="E145" s="7" t="str">
        <f>"1"</f>
        <v>1</v>
      </c>
      <c r="F145" s="9">
        <v>91416200</v>
      </c>
    </row>
    <row r="146" spans="1:6" x14ac:dyDescent="0.25">
      <c r="A146" s="7" t="str">
        <f>"1491"</f>
        <v>1491</v>
      </c>
      <c r="B146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146" s="7" t="str">
        <f>"2"</f>
        <v>2</v>
      </c>
      <c r="D146" s="7" t="str">
        <f>"9"</f>
        <v>9</v>
      </c>
      <c r="E146" s="7" t="str">
        <f>"3"</f>
        <v>3</v>
      </c>
      <c r="F146" s="9">
        <v>103784997.78</v>
      </c>
    </row>
    <row r="147" spans="1:6" x14ac:dyDescent="0.25">
      <c r="A147" s="7" t="str">
        <f>"1491"</f>
        <v>1491</v>
      </c>
      <c r="B147" s="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C147" s="7" t="str">
        <f>"1"</f>
        <v>1</v>
      </c>
      <c r="D147" s="7" t="str">
        <f>"7"</f>
        <v>7</v>
      </c>
      <c r="E147" s="7" t="str">
        <f>"1"</f>
        <v>1</v>
      </c>
      <c r="F147" s="9">
        <v>68500000</v>
      </c>
    </row>
    <row r="148" spans="1:6" x14ac:dyDescent="0.25">
      <c r="A148" s="7" t="str">
        <f>"1492"</f>
        <v>1492</v>
      </c>
      <c r="B148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148" s="7" t="str">
        <f>"1"</f>
        <v>1</v>
      </c>
      <c r="D148" s="7" t="str">
        <f>"9"</f>
        <v>9</v>
      </c>
      <c r="E148" s="7" t="str">
        <f>"1"</f>
        <v>1</v>
      </c>
      <c r="F148" s="9">
        <v>-23318488.149999999</v>
      </c>
    </row>
    <row r="149" spans="1:6" x14ac:dyDescent="0.25">
      <c r="A149" s="7" t="str">
        <f>"1492"</f>
        <v>1492</v>
      </c>
      <c r="B149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149" s="7" t="str">
        <f>"2"</f>
        <v>2</v>
      </c>
      <c r="D149" s="7" t="str">
        <f>"9"</f>
        <v>9</v>
      </c>
      <c r="E149" s="7" t="str">
        <f>"3"</f>
        <v>3</v>
      </c>
      <c r="F149" s="9">
        <v>-3380758.92</v>
      </c>
    </row>
    <row r="150" spans="1:6" x14ac:dyDescent="0.25">
      <c r="A150" s="7" t="str">
        <f>"1492"</f>
        <v>1492</v>
      </c>
      <c r="B150" s="8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C150" s="7" t="str">
        <f>"1"</f>
        <v>1</v>
      </c>
      <c r="D150" s="7" t="str">
        <f>"7"</f>
        <v>7</v>
      </c>
      <c r="E150" s="7" t="str">
        <f>"1"</f>
        <v>1</v>
      </c>
      <c r="F150" s="9">
        <v>-13425469.050000001</v>
      </c>
    </row>
    <row r="151" spans="1:6" x14ac:dyDescent="0.25">
      <c r="A151" s="7" t="str">
        <f>"1495"</f>
        <v>1495</v>
      </c>
      <c r="B151" s="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C151" s="7" t="str">
        <f>"1"</f>
        <v>1</v>
      </c>
      <c r="D151" s="7" t="str">
        <f>"7"</f>
        <v>7</v>
      </c>
      <c r="E151" s="7" t="str">
        <f>"1"</f>
        <v>1</v>
      </c>
      <c r="F151" s="9">
        <v>-1167324.52</v>
      </c>
    </row>
    <row r="152" spans="1:6" x14ac:dyDescent="0.25">
      <c r="A152" s="7" t="str">
        <f>"1495"</f>
        <v>1495</v>
      </c>
      <c r="B152" s="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C152" s="7" t="str">
        <f>"1"</f>
        <v>1</v>
      </c>
      <c r="D152" s="7" t="str">
        <f>"9"</f>
        <v>9</v>
      </c>
      <c r="E152" s="7" t="str">
        <f>"1"</f>
        <v>1</v>
      </c>
      <c r="F152" s="9">
        <v>-1443355.51</v>
      </c>
    </row>
    <row r="153" spans="1:6" x14ac:dyDescent="0.25">
      <c r="A153" s="7" t="str">
        <f>"1495"</f>
        <v>1495</v>
      </c>
      <c r="B153" s="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C153" s="7" t="str">
        <f>"2"</f>
        <v>2</v>
      </c>
      <c r="D153" s="7" t="str">
        <f>"9"</f>
        <v>9</v>
      </c>
      <c r="E153" s="7" t="str">
        <f>"3"</f>
        <v>3</v>
      </c>
      <c r="F153" s="9">
        <v>-2128103.9700000002</v>
      </c>
    </row>
    <row r="154" spans="1:6" x14ac:dyDescent="0.25">
      <c r="A154" s="7" t="str">
        <f>"1551"</f>
        <v>1551</v>
      </c>
      <c r="B154" s="8" t="str">
        <f>"Расчеты с другими банками"</f>
        <v>Расчеты с другими банками</v>
      </c>
      <c r="C154" s="7" t="str">
        <f>"1"</f>
        <v>1</v>
      </c>
      <c r="D154" s="7" t="str">
        <f>"4"</f>
        <v>4</v>
      </c>
      <c r="E154" s="7" t="str">
        <f>"1"</f>
        <v>1</v>
      </c>
      <c r="F154" s="9">
        <v>11076227.050000001</v>
      </c>
    </row>
    <row r="155" spans="1:6" x14ac:dyDescent="0.25">
      <c r="A155" s="7" t="str">
        <f>"1552"</f>
        <v>1552</v>
      </c>
      <c r="B155" s="8" t="str">
        <f>"Расчеты с клиентами"</f>
        <v>Расчеты с клиентами</v>
      </c>
      <c r="C155" s="7" t="str">
        <f>"1"</f>
        <v>1</v>
      </c>
      <c r="D155" s="7" t="str">
        <f>"6"</f>
        <v>6</v>
      </c>
      <c r="E155" s="7" t="str">
        <f>"1"</f>
        <v>1</v>
      </c>
      <c r="F155" s="9">
        <v>15266883.109999999</v>
      </c>
    </row>
    <row r="156" spans="1:6" x14ac:dyDescent="0.25">
      <c r="A156" s="7" t="str">
        <f>"1602"</f>
        <v>1602</v>
      </c>
      <c r="B156" s="8" t="str">
        <f>"Прочие запасы"</f>
        <v>Прочие запасы</v>
      </c>
      <c r="C156" s="7">
        <v>0</v>
      </c>
      <c r="D156" s="7">
        <v>0</v>
      </c>
      <c r="E156" s="7">
        <v>0</v>
      </c>
      <c r="F156" s="9">
        <v>273596254.69999999</v>
      </c>
    </row>
    <row r="157" spans="1:6" x14ac:dyDescent="0.25">
      <c r="A157" s="7" t="str">
        <f>"1604"</f>
        <v>1604</v>
      </c>
      <c r="B157" s="8" t="str">
        <f>"Коллекционные монеты, изготовленные из недрагоценных металлов, на складе"</f>
        <v>Коллекционные монеты, изготовленные из недрагоценных металлов, на складе</v>
      </c>
      <c r="C157" s="7" t="str">
        <f>"2"</f>
        <v>2</v>
      </c>
      <c r="D157" s="7">
        <v>0</v>
      </c>
      <c r="E157" s="7">
        <v>0</v>
      </c>
      <c r="F157" s="9">
        <v>101534.55</v>
      </c>
    </row>
    <row r="158" spans="1:6" x14ac:dyDescent="0.25">
      <c r="A158" s="7" t="str">
        <f>"1610"</f>
        <v>1610</v>
      </c>
      <c r="B158" s="8" t="str">
        <f>"Долгосрочные активы, предназначенные для продажи"</f>
        <v>Долгосрочные активы, предназначенные для продажи</v>
      </c>
      <c r="C158" s="7">
        <v>0</v>
      </c>
      <c r="D158" s="7">
        <v>0</v>
      </c>
      <c r="E158" s="7">
        <v>0</v>
      </c>
      <c r="F158" s="9">
        <v>7083459540.1400003</v>
      </c>
    </row>
    <row r="159" spans="1:6" x14ac:dyDescent="0.25">
      <c r="A159" s="7" t="str">
        <f>"1652"</f>
        <v>1652</v>
      </c>
      <c r="B159" s="8" t="str">
        <f>"Земля, здания и сооружения"</f>
        <v>Земля, здания и сооружения</v>
      </c>
      <c r="C159" s="7">
        <v>0</v>
      </c>
      <c r="D159" s="7">
        <v>0</v>
      </c>
      <c r="E159" s="7">
        <v>0</v>
      </c>
      <c r="F159" s="9">
        <v>12064239469.780001</v>
      </c>
    </row>
    <row r="160" spans="1:6" x14ac:dyDescent="0.25">
      <c r="A160" s="7" t="str">
        <f>"1653"</f>
        <v>1653</v>
      </c>
      <c r="B160" s="8" t="str">
        <f>"Компьютерное оборудование"</f>
        <v>Компьютерное оборудование</v>
      </c>
      <c r="C160" s="7">
        <v>0</v>
      </c>
      <c r="D160" s="7">
        <v>0</v>
      </c>
      <c r="E160" s="7">
        <v>0</v>
      </c>
      <c r="F160" s="9">
        <v>6844287096.71</v>
      </c>
    </row>
    <row r="161" spans="1:6" x14ac:dyDescent="0.25">
      <c r="A161" s="7" t="str">
        <f>"1654"</f>
        <v>1654</v>
      </c>
      <c r="B161" s="8" t="str">
        <f>"Прочие основные средства"</f>
        <v>Прочие основные средства</v>
      </c>
      <c r="C161" s="7">
        <v>0</v>
      </c>
      <c r="D161" s="7">
        <v>0</v>
      </c>
      <c r="E161" s="7">
        <v>0</v>
      </c>
      <c r="F161" s="9">
        <v>11682808811.07</v>
      </c>
    </row>
    <row r="162" spans="1:6" x14ac:dyDescent="0.25">
      <c r="A162" s="7" t="str">
        <f>"1655"</f>
        <v>1655</v>
      </c>
      <c r="B162" s="8" t="str">
        <f>"Активы в форме права пользования"</f>
        <v>Активы в форме права пользования</v>
      </c>
      <c r="C162" s="7">
        <v>0</v>
      </c>
      <c r="D162" s="7">
        <v>0</v>
      </c>
      <c r="E162" s="7">
        <v>0</v>
      </c>
      <c r="F162" s="9">
        <v>7528049223.04</v>
      </c>
    </row>
    <row r="163" spans="1:6" x14ac:dyDescent="0.25">
      <c r="A163" s="7" t="str">
        <f>"1657"</f>
        <v>1657</v>
      </c>
      <c r="B163" s="8" t="str">
        <f>"Капитальные затраты по активам в форме права пользования"</f>
        <v>Капитальные затраты по активам в форме права пользования</v>
      </c>
      <c r="C163" s="7">
        <v>0</v>
      </c>
      <c r="D163" s="7">
        <v>0</v>
      </c>
      <c r="E163" s="7">
        <v>0</v>
      </c>
      <c r="F163" s="9">
        <v>489182</v>
      </c>
    </row>
    <row r="164" spans="1:6" x14ac:dyDescent="0.25">
      <c r="A164" s="7" t="str">
        <f>"1658"</f>
        <v>1658</v>
      </c>
      <c r="B164" s="8" t="str">
        <f>"Транспортные средства"</f>
        <v>Транспортные средства</v>
      </c>
      <c r="C164" s="7">
        <v>0</v>
      </c>
      <c r="D164" s="7">
        <v>0</v>
      </c>
      <c r="E164" s="7">
        <v>0</v>
      </c>
      <c r="F164" s="9">
        <v>1337045887.79</v>
      </c>
    </row>
    <row r="165" spans="1:6" x14ac:dyDescent="0.25">
      <c r="A165" s="7" t="str">
        <f>"1659"</f>
        <v>1659</v>
      </c>
      <c r="B165" s="8" t="str">
        <f>"Нематериальные активы"</f>
        <v>Нематериальные активы</v>
      </c>
      <c r="C165" s="7">
        <v>0</v>
      </c>
      <c r="D165" s="7">
        <v>0</v>
      </c>
      <c r="E165" s="7">
        <v>0</v>
      </c>
      <c r="F165" s="9">
        <v>20833462359.389999</v>
      </c>
    </row>
    <row r="166" spans="1:6" x14ac:dyDescent="0.25">
      <c r="A166" s="7" t="str">
        <f>"1660"</f>
        <v>1660</v>
      </c>
      <c r="B166" s="8" t="str">
        <f>"Создаваемые (разрабатываемые) нематериальные активы"</f>
        <v>Создаваемые (разрабатываемые) нематериальные активы</v>
      </c>
      <c r="C166" s="7">
        <v>0</v>
      </c>
      <c r="D166" s="7">
        <v>0</v>
      </c>
      <c r="E166" s="7">
        <v>0</v>
      </c>
      <c r="F166" s="9">
        <v>5876190.4800000004</v>
      </c>
    </row>
    <row r="167" spans="1:6" x14ac:dyDescent="0.25">
      <c r="A167" s="7" t="str">
        <f>"1692"</f>
        <v>1692</v>
      </c>
      <c r="B167" s="8" t="str">
        <f>"Начисленная амортизация по зданиям и сооружениям"</f>
        <v>Начисленная амортизация по зданиям и сооружениям</v>
      </c>
      <c r="C167" s="7">
        <v>0</v>
      </c>
      <c r="D167" s="7">
        <v>0</v>
      </c>
      <c r="E167" s="7">
        <v>0</v>
      </c>
      <c r="F167" s="9">
        <v>-3124848272</v>
      </c>
    </row>
    <row r="168" spans="1:6" x14ac:dyDescent="0.25">
      <c r="A168" s="7" t="str">
        <f>"1693"</f>
        <v>1693</v>
      </c>
      <c r="B168" s="8" t="str">
        <f>"Начисленная амортизация по компьютерному оборудованию"</f>
        <v>Начисленная амортизация по компьютерному оборудованию</v>
      </c>
      <c r="C168" s="7">
        <v>0</v>
      </c>
      <c r="D168" s="7">
        <v>0</v>
      </c>
      <c r="E168" s="7">
        <v>0</v>
      </c>
      <c r="F168" s="9">
        <v>-3403894039.0500002</v>
      </c>
    </row>
    <row r="169" spans="1:6" x14ac:dyDescent="0.25">
      <c r="A169" s="7" t="str">
        <f>"1694"</f>
        <v>1694</v>
      </c>
      <c r="B169" s="8" t="str">
        <f>"Начисленная амортизация по прочим основным средствам"</f>
        <v>Начисленная амортизация по прочим основным средствам</v>
      </c>
      <c r="C169" s="7">
        <v>0</v>
      </c>
      <c r="D169" s="7">
        <v>0</v>
      </c>
      <c r="E169" s="7">
        <v>0</v>
      </c>
      <c r="F169" s="9">
        <v>-4292336502.8400002</v>
      </c>
    </row>
    <row r="170" spans="1:6" x14ac:dyDescent="0.25">
      <c r="A170" s="7" t="str">
        <f>"1695"</f>
        <v>1695</v>
      </c>
      <c r="B170" s="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170" s="7">
        <v>0</v>
      </c>
      <c r="D170" s="7">
        <v>0</v>
      </c>
      <c r="E170" s="7">
        <v>0</v>
      </c>
      <c r="F170" s="9">
        <v>-3270438139.5900002</v>
      </c>
    </row>
    <row r="171" spans="1:6" x14ac:dyDescent="0.25">
      <c r="A171" s="7" t="str">
        <f>"1697"</f>
        <v>1697</v>
      </c>
      <c r="B171" s="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171" s="7">
        <v>0</v>
      </c>
      <c r="D171" s="7">
        <v>0</v>
      </c>
      <c r="E171" s="7">
        <v>0</v>
      </c>
      <c r="F171" s="9">
        <v>-415803</v>
      </c>
    </row>
    <row r="172" spans="1:6" x14ac:dyDescent="0.25">
      <c r="A172" s="7" t="str">
        <f>"1698"</f>
        <v>1698</v>
      </c>
      <c r="B172" s="8" t="str">
        <f>"Начисленная амортизация по транспортным средствам"</f>
        <v>Начисленная амортизация по транспортным средствам</v>
      </c>
      <c r="C172" s="7">
        <v>0</v>
      </c>
      <c r="D172" s="7">
        <v>0</v>
      </c>
      <c r="E172" s="7">
        <v>0</v>
      </c>
      <c r="F172" s="9">
        <v>-400553249</v>
      </c>
    </row>
    <row r="173" spans="1:6" x14ac:dyDescent="0.25">
      <c r="A173" s="7" t="str">
        <f>"1699"</f>
        <v>1699</v>
      </c>
      <c r="B173" s="8" t="str">
        <f>"Начисленная амортизация по нематериальным активам"</f>
        <v>Начисленная амортизация по нематериальным активам</v>
      </c>
      <c r="C173" s="7">
        <v>0</v>
      </c>
      <c r="D173" s="7">
        <v>0</v>
      </c>
      <c r="E173" s="7">
        <v>0</v>
      </c>
      <c r="F173" s="9">
        <v>-12171879894.299999</v>
      </c>
    </row>
    <row r="174" spans="1:6" x14ac:dyDescent="0.25">
      <c r="A174" s="7" t="str">
        <f>"1710"</f>
        <v>1710</v>
      </c>
      <c r="B174" s="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4" s="7" t="str">
        <f>"1"</f>
        <v>1</v>
      </c>
      <c r="D174" s="7" t="str">
        <f>"3"</f>
        <v>3</v>
      </c>
      <c r="E174" s="7" t="str">
        <f>"2"</f>
        <v>2</v>
      </c>
      <c r="F174" s="9">
        <v>2016529708.0599999</v>
      </c>
    </row>
    <row r="175" spans="1:6" x14ac:dyDescent="0.25">
      <c r="A175" s="7" t="str">
        <f>"1725"</f>
        <v>1725</v>
      </c>
      <c r="B175" s="8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C175" s="7" t="str">
        <f>"2"</f>
        <v>2</v>
      </c>
      <c r="D175" s="7" t="str">
        <f>"4"</f>
        <v>4</v>
      </c>
      <c r="E175" s="7" t="str">
        <f>"2"</f>
        <v>2</v>
      </c>
      <c r="F175" s="9">
        <v>54956266.439999998</v>
      </c>
    </row>
    <row r="176" spans="1:6" x14ac:dyDescent="0.25">
      <c r="A176" s="7" t="str">
        <f t="shared" ref="A176:A185" si="25">"1740"</f>
        <v>1740</v>
      </c>
      <c r="B176" s="8" t="str">
        <f t="shared" ref="B176:B185" si="2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176" s="7" t="str">
        <f>"2"</f>
        <v>2</v>
      </c>
      <c r="D176" s="7" t="str">
        <f>"7"</f>
        <v>7</v>
      </c>
      <c r="E176" s="7" t="str">
        <f>"1"</f>
        <v>1</v>
      </c>
      <c r="F176" s="9">
        <v>84824153.25</v>
      </c>
    </row>
    <row r="177" spans="1:6" x14ac:dyDescent="0.25">
      <c r="A177" s="7" t="str">
        <f t="shared" si="25"/>
        <v>1740</v>
      </c>
      <c r="B177" s="8" t="str">
        <f t="shared" si="26"/>
        <v>Начисленные доходы по займам и финансовому лизингу, предоставленным клиентам</v>
      </c>
      <c r="C177" s="7" t="str">
        <f>"1"</f>
        <v>1</v>
      </c>
      <c r="D177" s="7" t="str">
        <f>"7"</f>
        <v>7</v>
      </c>
      <c r="E177" s="7" t="str">
        <f>"2"</f>
        <v>2</v>
      </c>
      <c r="F177" s="9">
        <v>933450465.52999997</v>
      </c>
    </row>
    <row r="178" spans="1:6" x14ac:dyDescent="0.25">
      <c r="A178" s="7" t="str">
        <f t="shared" si="25"/>
        <v>1740</v>
      </c>
      <c r="B178" s="8" t="str">
        <f t="shared" si="26"/>
        <v>Начисленные доходы по займам и финансовому лизингу, предоставленным клиентам</v>
      </c>
      <c r="C178" s="7" t="str">
        <f>"1"</f>
        <v>1</v>
      </c>
      <c r="D178" s="7" t="str">
        <f>"5"</f>
        <v>5</v>
      </c>
      <c r="E178" s="7" t="str">
        <f>"2"</f>
        <v>2</v>
      </c>
      <c r="F178" s="9">
        <v>26534197.510000002</v>
      </c>
    </row>
    <row r="179" spans="1:6" x14ac:dyDescent="0.25">
      <c r="A179" s="7" t="str">
        <f t="shared" si="25"/>
        <v>1740</v>
      </c>
      <c r="B179" s="8" t="str">
        <f t="shared" si="26"/>
        <v>Начисленные доходы по займам и финансовому лизингу, предоставленным клиентам</v>
      </c>
      <c r="C179" s="7" t="str">
        <f>"1"</f>
        <v>1</v>
      </c>
      <c r="D179" s="7" t="str">
        <f>"7"</f>
        <v>7</v>
      </c>
      <c r="E179" s="7" t="str">
        <f>"1"</f>
        <v>1</v>
      </c>
      <c r="F179" s="9">
        <v>7759670813.0900002</v>
      </c>
    </row>
    <row r="180" spans="1:6" x14ac:dyDescent="0.25">
      <c r="A180" s="7" t="str">
        <f t="shared" si="25"/>
        <v>1740</v>
      </c>
      <c r="B180" s="8" t="str">
        <f t="shared" si="26"/>
        <v>Начисленные доходы по займам и финансовому лизингу, предоставленным клиентам</v>
      </c>
      <c r="C180" s="7" t="str">
        <f>"2"</f>
        <v>2</v>
      </c>
      <c r="D180" s="7" t="str">
        <f>"9"</f>
        <v>9</v>
      </c>
      <c r="E180" s="7" t="str">
        <f>"1"</f>
        <v>1</v>
      </c>
      <c r="F180" s="9">
        <v>33095.07</v>
      </c>
    </row>
    <row r="181" spans="1:6" x14ac:dyDescent="0.25">
      <c r="A181" s="7" t="str">
        <f t="shared" si="25"/>
        <v>1740</v>
      </c>
      <c r="B181" s="8" t="str">
        <f t="shared" si="26"/>
        <v>Начисленные доходы по займам и финансовому лизингу, предоставленным клиентам</v>
      </c>
      <c r="C181" s="7" t="str">
        <f>"1"</f>
        <v>1</v>
      </c>
      <c r="D181" s="7" t="str">
        <f>"5"</f>
        <v>5</v>
      </c>
      <c r="E181" s="7" t="str">
        <f>"1"</f>
        <v>1</v>
      </c>
      <c r="F181" s="9">
        <v>258088445.06999999</v>
      </c>
    </row>
    <row r="182" spans="1:6" x14ac:dyDescent="0.25">
      <c r="A182" s="7" t="str">
        <f t="shared" si="25"/>
        <v>1740</v>
      </c>
      <c r="B182" s="8" t="str">
        <f t="shared" si="26"/>
        <v>Начисленные доходы по займам и финансовому лизингу, предоставленным клиентам</v>
      </c>
      <c r="C182" s="7" t="str">
        <f>"2"</f>
        <v>2</v>
      </c>
      <c r="D182" s="7" t="str">
        <f>"9"</f>
        <v>9</v>
      </c>
      <c r="E182" s="7" t="str">
        <f>"2"</f>
        <v>2</v>
      </c>
      <c r="F182" s="9">
        <v>1751.5</v>
      </c>
    </row>
    <row r="183" spans="1:6" x14ac:dyDescent="0.25">
      <c r="A183" s="7" t="str">
        <f t="shared" si="25"/>
        <v>1740</v>
      </c>
      <c r="B183" s="8" t="str">
        <f t="shared" si="26"/>
        <v>Начисленные доходы по займам и финансовому лизингу, предоставленным клиентам</v>
      </c>
      <c r="C183" s="7" t="str">
        <f t="shared" ref="C183:C189" si="27">"1"</f>
        <v>1</v>
      </c>
      <c r="D183" s="7" t="str">
        <f>"9"</f>
        <v>9</v>
      </c>
      <c r="E183" s="7" t="str">
        <f>"1"</f>
        <v>1</v>
      </c>
      <c r="F183" s="9">
        <v>24324775451.830002</v>
      </c>
    </row>
    <row r="184" spans="1:6" x14ac:dyDescent="0.25">
      <c r="A184" s="7" t="str">
        <f t="shared" si="25"/>
        <v>1740</v>
      </c>
      <c r="B184" s="8" t="str">
        <f t="shared" si="26"/>
        <v>Начисленные доходы по займам и финансовому лизингу, предоставленным клиентам</v>
      </c>
      <c r="C184" s="7" t="str">
        <f t="shared" si="27"/>
        <v>1</v>
      </c>
      <c r="D184" s="7" t="str">
        <f>"6"</f>
        <v>6</v>
      </c>
      <c r="E184" s="7" t="str">
        <f>"1"</f>
        <v>1</v>
      </c>
      <c r="F184" s="9">
        <v>781250</v>
      </c>
    </row>
    <row r="185" spans="1:6" x14ac:dyDescent="0.25">
      <c r="A185" s="7" t="str">
        <f t="shared" si="25"/>
        <v>1740</v>
      </c>
      <c r="B185" s="8" t="str">
        <f t="shared" si="26"/>
        <v>Начисленные доходы по займам и финансовому лизингу, предоставленным клиентам</v>
      </c>
      <c r="C185" s="7" t="str">
        <f t="shared" si="27"/>
        <v>1</v>
      </c>
      <c r="D185" s="7" t="str">
        <f>"9"</f>
        <v>9</v>
      </c>
      <c r="E185" s="7" t="str">
        <f>"2"</f>
        <v>2</v>
      </c>
      <c r="F185" s="9">
        <v>24782.35</v>
      </c>
    </row>
    <row r="186" spans="1:6" x14ac:dyDescent="0.25">
      <c r="A186" s="7" t="str">
        <f t="shared" ref="A186:A191" si="28">"1741"</f>
        <v>1741</v>
      </c>
      <c r="B186" s="8" t="str">
        <f t="shared" ref="B186:B191" si="29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86" s="7" t="str">
        <f t="shared" si="27"/>
        <v>1</v>
      </c>
      <c r="D186" s="7" t="str">
        <f>"7"</f>
        <v>7</v>
      </c>
      <c r="E186" s="7" t="str">
        <f>"1"</f>
        <v>1</v>
      </c>
      <c r="F186" s="9">
        <v>9608831739.9500008</v>
      </c>
    </row>
    <row r="187" spans="1:6" x14ac:dyDescent="0.25">
      <c r="A187" s="7" t="str">
        <f t="shared" si="28"/>
        <v>1741</v>
      </c>
      <c r="B187" s="8" t="str">
        <f t="shared" si="29"/>
        <v>Просроченное вознаграждение по займам и финансовому лизингу, предоставленным клиентам</v>
      </c>
      <c r="C187" s="7" t="str">
        <f t="shared" si="27"/>
        <v>1</v>
      </c>
      <c r="D187" s="7" t="str">
        <f>"9"</f>
        <v>9</v>
      </c>
      <c r="E187" s="7" t="str">
        <f>"1"</f>
        <v>1</v>
      </c>
      <c r="F187" s="9">
        <v>28016416691.689999</v>
      </c>
    </row>
    <row r="188" spans="1:6" x14ac:dyDescent="0.25">
      <c r="A188" s="7" t="str">
        <f t="shared" si="28"/>
        <v>1741</v>
      </c>
      <c r="B188" s="8" t="str">
        <f t="shared" si="29"/>
        <v>Просроченное вознаграждение по займам и финансовому лизингу, предоставленным клиентам</v>
      </c>
      <c r="C188" s="7" t="str">
        <f t="shared" si="27"/>
        <v>1</v>
      </c>
      <c r="D188" s="7" t="str">
        <f>"9"</f>
        <v>9</v>
      </c>
      <c r="E188" s="7" t="str">
        <f>"2"</f>
        <v>2</v>
      </c>
      <c r="F188" s="9">
        <v>60157923.289999999</v>
      </c>
    </row>
    <row r="189" spans="1:6" x14ac:dyDescent="0.25">
      <c r="A189" s="7" t="str">
        <f t="shared" si="28"/>
        <v>1741</v>
      </c>
      <c r="B189" s="8" t="str">
        <f t="shared" si="29"/>
        <v>Просроченное вознаграждение по займам и финансовому лизингу, предоставленным клиентам</v>
      </c>
      <c r="C189" s="7" t="str">
        <f t="shared" si="27"/>
        <v>1</v>
      </c>
      <c r="D189" s="7" t="str">
        <f>"7"</f>
        <v>7</v>
      </c>
      <c r="E189" s="7" t="str">
        <f>"2"</f>
        <v>2</v>
      </c>
      <c r="F189" s="9">
        <v>24171823309.450001</v>
      </c>
    </row>
    <row r="190" spans="1:6" x14ac:dyDescent="0.25">
      <c r="A190" s="7" t="str">
        <f t="shared" si="28"/>
        <v>1741</v>
      </c>
      <c r="B190" s="8" t="str">
        <f t="shared" si="29"/>
        <v>Просроченное вознаграждение по займам и финансовому лизингу, предоставленным клиентам</v>
      </c>
      <c r="C190" s="7" t="str">
        <f>"2"</f>
        <v>2</v>
      </c>
      <c r="D190" s="7" t="str">
        <f>"9"</f>
        <v>9</v>
      </c>
      <c r="E190" s="7" t="str">
        <f>"1"</f>
        <v>1</v>
      </c>
      <c r="F190" s="9">
        <v>1433362.74</v>
      </c>
    </row>
    <row r="191" spans="1:6" x14ac:dyDescent="0.25">
      <c r="A191" s="7" t="str">
        <f t="shared" si="28"/>
        <v>1741</v>
      </c>
      <c r="B191" s="8" t="str">
        <f t="shared" si="29"/>
        <v>Просроченное вознаграждение по займам и финансовому лизингу, предоставленным клиентам</v>
      </c>
      <c r="C191" s="7" t="str">
        <f>"2"</f>
        <v>2</v>
      </c>
      <c r="D191" s="7" t="str">
        <f>"9"</f>
        <v>9</v>
      </c>
      <c r="E191" s="7" t="str">
        <f t="shared" ref="E191:E196" si="30">"2"</f>
        <v>2</v>
      </c>
      <c r="F191" s="9">
        <v>156575.44</v>
      </c>
    </row>
    <row r="192" spans="1:6" x14ac:dyDescent="0.25">
      <c r="A192" s="7" t="str">
        <f>"1745"</f>
        <v>1745</v>
      </c>
      <c r="B192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2" s="7" t="str">
        <f>"1"</f>
        <v>1</v>
      </c>
      <c r="D192" s="7" t="str">
        <f>"6"</f>
        <v>6</v>
      </c>
      <c r="E192" s="7" t="str">
        <f t="shared" si="30"/>
        <v>2</v>
      </c>
      <c r="F192" s="9">
        <v>1334523.27</v>
      </c>
    </row>
    <row r="193" spans="1:6" x14ac:dyDescent="0.25">
      <c r="A193" s="7" t="str">
        <f>"1745"</f>
        <v>1745</v>
      </c>
      <c r="B193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3" s="7" t="str">
        <f>"2"</f>
        <v>2</v>
      </c>
      <c r="D193" s="7" t="str">
        <f>"1"</f>
        <v>1</v>
      </c>
      <c r="E193" s="7" t="str">
        <f t="shared" si="30"/>
        <v>2</v>
      </c>
      <c r="F193" s="9">
        <v>159932288.72</v>
      </c>
    </row>
    <row r="194" spans="1:6" x14ac:dyDescent="0.25">
      <c r="A194" s="7" t="str">
        <f>"1745"</f>
        <v>1745</v>
      </c>
      <c r="B194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4" s="7" t="str">
        <f>"1"</f>
        <v>1</v>
      </c>
      <c r="D194" s="7" t="str">
        <f>"4"</f>
        <v>4</v>
      </c>
      <c r="E194" s="7" t="str">
        <f t="shared" si="30"/>
        <v>2</v>
      </c>
      <c r="F194" s="9">
        <v>34224738.170000002</v>
      </c>
    </row>
    <row r="195" spans="1:6" x14ac:dyDescent="0.25">
      <c r="A195" s="7" t="str">
        <f>"1745"</f>
        <v>1745</v>
      </c>
      <c r="B195" s="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5" s="7" t="str">
        <f>"2"</f>
        <v>2</v>
      </c>
      <c r="D195" s="7" t="str">
        <f>"5"</f>
        <v>5</v>
      </c>
      <c r="E195" s="7" t="str">
        <f t="shared" si="30"/>
        <v>2</v>
      </c>
      <c r="F195" s="9">
        <v>13275051.890000001</v>
      </c>
    </row>
    <row r="196" spans="1:6" x14ac:dyDescent="0.25">
      <c r="A196" s="7" t="str">
        <f t="shared" ref="A196:A206" si="31">"1746"</f>
        <v>1746</v>
      </c>
      <c r="B196" s="8" t="str">
        <f t="shared" ref="B196:B206" si="32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C196" s="7" t="str">
        <f>"1"</f>
        <v>1</v>
      </c>
      <c r="D196" s="7" t="str">
        <f>"1"</f>
        <v>1</v>
      </c>
      <c r="E196" s="7" t="str">
        <f t="shared" si="30"/>
        <v>2</v>
      </c>
      <c r="F196" s="9">
        <v>2156417796.1700001</v>
      </c>
    </row>
    <row r="197" spans="1:6" x14ac:dyDescent="0.25">
      <c r="A197" s="7" t="str">
        <f t="shared" si="31"/>
        <v>1746</v>
      </c>
      <c r="B197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197" s="7" t="str">
        <f>"1"</f>
        <v>1</v>
      </c>
      <c r="D197" s="7" t="str">
        <f>"1"</f>
        <v>1</v>
      </c>
      <c r="E197" s="7" t="str">
        <f>"1"</f>
        <v>1</v>
      </c>
      <c r="F197" s="9">
        <v>14780118826.790001</v>
      </c>
    </row>
    <row r="198" spans="1:6" x14ac:dyDescent="0.25">
      <c r="A198" s="7" t="str">
        <f t="shared" si="31"/>
        <v>1746</v>
      </c>
      <c r="B198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198" s="7" t="str">
        <f>"1"</f>
        <v>1</v>
      </c>
      <c r="D198" s="7" t="str">
        <f>"4"</f>
        <v>4</v>
      </c>
      <c r="E198" s="7" t="str">
        <f>"1"</f>
        <v>1</v>
      </c>
      <c r="F198" s="9">
        <v>303841666.69</v>
      </c>
    </row>
    <row r="199" spans="1:6" x14ac:dyDescent="0.25">
      <c r="A199" s="7" t="str">
        <f t="shared" si="31"/>
        <v>1746</v>
      </c>
      <c r="B199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199" s="7" t="str">
        <f>"1"</f>
        <v>1</v>
      </c>
      <c r="D199" s="7" t="str">
        <f>"4"</f>
        <v>4</v>
      </c>
      <c r="E199" s="7" t="str">
        <f>"2"</f>
        <v>2</v>
      </c>
      <c r="F199" s="9">
        <v>13238451.550000001</v>
      </c>
    </row>
    <row r="200" spans="1:6" x14ac:dyDescent="0.25">
      <c r="A200" s="7" t="str">
        <f t="shared" si="31"/>
        <v>1746</v>
      </c>
      <c r="B200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200" s="7" t="str">
        <f>"1"</f>
        <v>1</v>
      </c>
      <c r="D200" s="7" t="str">
        <f>"6"</f>
        <v>6</v>
      </c>
      <c r="E200" s="7" t="str">
        <f>"2"</f>
        <v>2</v>
      </c>
      <c r="F200" s="9">
        <v>205617808.84</v>
      </c>
    </row>
    <row r="201" spans="1:6" x14ac:dyDescent="0.25">
      <c r="A201" s="7" t="str">
        <f t="shared" si="31"/>
        <v>1746</v>
      </c>
      <c r="B201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201" s="7" t="str">
        <f>"1"</f>
        <v>1</v>
      </c>
      <c r="D201" s="7" t="str">
        <f>"5"</f>
        <v>5</v>
      </c>
      <c r="E201" s="7" t="str">
        <f>"1"</f>
        <v>1</v>
      </c>
      <c r="F201" s="9">
        <v>32083333.329999998</v>
      </c>
    </row>
    <row r="202" spans="1:6" x14ac:dyDescent="0.25">
      <c r="A202" s="7" t="str">
        <f t="shared" si="31"/>
        <v>1746</v>
      </c>
      <c r="B202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202" s="7" t="str">
        <f>"1"</f>
        <v>1</v>
      </c>
      <c r="D202" s="7" t="str">
        <f>"6"</f>
        <v>6</v>
      </c>
      <c r="E202" s="7" t="str">
        <f>"1"</f>
        <v>1</v>
      </c>
      <c r="F202" s="9">
        <v>284903333.32999998</v>
      </c>
    </row>
    <row r="203" spans="1:6" x14ac:dyDescent="0.25">
      <c r="A203" s="7" t="str">
        <f t="shared" si="31"/>
        <v>1746</v>
      </c>
      <c r="B203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203" s="7" t="str">
        <f t="shared" ref="C203:C208" si="33">"2"</f>
        <v>2</v>
      </c>
      <c r="D203" s="7" t="str">
        <f>"5"</f>
        <v>5</v>
      </c>
      <c r="E203" s="7" t="str">
        <f>"2"</f>
        <v>2</v>
      </c>
      <c r="F203" s="9">
        <v>165659352.38999999</v>
      </c>
    </row>
    <row r="204" spans="1:6" x14ac:dyDescent="0.25">
      <c r="A204" s="7" t="str">
        <f t="shared" si="31"/>
        <v>1746</v>
      </c>
      <c r="B204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204" s="7" t="str">
        <f t="shared" si="33"/>
        <v>2</v>
      </c>
      <c r="D204" s="7" t="str">
        <f>"3"</f>
        <v>3</v>
      </c>
      <c r="E204" s="7" t="str">
        <f>"2"</f>
        <v>2</v>
      </c>
      <c r="F204" s="9">
        <v>316630052.35000002</v>
      </c>
    </row>
    <row r="205" spans="1:6" x14ac:dyDescent="0.25">
      <c r="A205" s="7" t="str">
        <f t="shared" si="31"/>
        <v>1746</v>
      </c>
      <c r="B205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205" s="7" t="str">
        <f t="shared" si="33"/>
        <v>2</v>
      </c>
      <c r="D205" s="7" t="str">
        <f>"4"</f>
        <v>4</v>
      </c>
      <c r="E205" s="7" t="str">
        <f>"1"</f>
        <v>1</v>
      </c>
      <c r="F205" s="9">
        <v>122666666.72</v>
      </c>
    </row>
    <row r="206" spans="1:6" x14ac:dyDescent="0.25">
      <c r="A206" s="7" t="str">
        <f t="shared" si="31"/>
        <v>1746</v>
      </c>
      <c r="B206" s="8" t="str">
        <f t="shared" si="32"/>
        <v>Начисленные доходы по ценным бумагам, учитываемым по справедливой стоимости через прочий совокупный доход</v>
      </c>
      <c r="C206" s="7" t="str">
        <f t="shared" si="33"/>
        <v>2</v>
      </c>
      <c r="D206" s="7" t="str">
        <f>"1"</f>
        <v>1</v>
      </c>
      <c r="E206" s="7" t="str">
        <f>"2"</f>
        <v>2</v>
      </c>
      <c r="F206" s="9">
        <v>1855294486.04</v>
      </c>
    </row>
    <row r="207" spans="1:6" x14ac:dyDescent="0.25">
      <c r="A207" s="7" t="str">
        <f>"1750"</f>
        <v>1750</v>
      </c>
      <c r="B207" s="8" t="str">
        <f>"Просроченное вознаграждение по ценным бумагам"</f>
        <v>Просроченное вознаграждение по ценным бумагам</v>
      </c>
      <c r="C207" s="7" t="str">
        <f t="shared" si="33"/>
        <v>2</v>
      </c>
      <c r="D207" s="7" t="str">
        <f>"5"</f>
        <v>5</v>
      </c>
      <c r="E207" s="7" t="str">
        <f>"2"</f>
        <v>2</v>
      </c>
      <c r="F207" s="9">
        <v>1761385578.1199999</v>
      </c>
    </row>
    <row r="208" spans="1:6" x14ac:dyDescent="0.25">
      <c r="A208" s="7" t="str">
        <f>"1750"</f>
        <v>1750</v>
      </c>
      <c r="B208" s="8" t="str">
        <f>"Просроченное вознаграждение по ценным бумагам"</f>
        <v>Просроченное вознаграждение по ценным бумагам</v>
      </c>
      <c r="C208" s="7" t="str">
        <f t="shared" si="33"/>
        <v>2</v>
      </c>
      <c r="D208" s="7" t="str">
        <f>"4"</f>
        <v>4</v>
      </c>
      <c r="E208" s="7" t="str">
        <f>"2"</f>
        <v>2</v>
      </c>
      <c r="F208" s="9">
        <v>502356956.39999998</v>
      </c>
    </row>
    <row r="209" spans="1:6" x14ac:dyDescent="0.25">
      <c r="A209" s="7" t="str">
        <f>"1793"</f>
        <v>1793</v>
      </c>
      <c r="B209" s="8" t="str">
        <f>"Расходы будущих периодов"</f>
        <v>Расходы будущих периодов</v>
      </c>
      <c r="C209" s="7" t="str">
        <f>"1"</f>
        <v>1</v>
      </c>
      <c r="D209" s="7" t="str">
        <f>"9"</f>
        <v>9</v>
      </c>
      <c r="E209" s="7" t="str">
        <f t="shared" ref="E209:E217" si="34">"1"</f>
        <v>1</v>
      </c>
      <c r="F209" s="9">
        <v>159938.29</v>
      </c>
    </row>
    <row r="210" spans="1:6" x14ac:dyDescent="0.25">
      <c r="A210" s="7" t="str">
        <f>"1793"</f>
        <v>1793</v>
      </c>
      <c r="B210" s="8" t="str">
        <f>"Расходы будущих периодов"</f>
        <v>Расходы будущих периодов</v>
      </c>
      <c r="C210" s="7" t="str">
        <f>"1"</f>
        <v>1</v>
      </c>
      <c r="D210" s="7" t="str">
        <f>"5"</f>
        <v>5</v>
      </c>
      <c r="E210" s="7" t="str">
        <f t="shared" si="34"/>
        <v>1</v>
      </c>
      <c r="F210" s="9">
        <v>320447334.98000002</v>
      </c>
    </row>
    <row r="211" spans="1:6" x14ac:dyDescent="0.25">
      <c r="A211" s="7" t="str">
        <f>"1793"</f>
        <v>1793</v>
      </c>
      <c r="B211" s="8" t="str">
        <f>"Расходы будущих периодов"</f>
        <v>Расходы будущих периодов</v>
      </c>
      <c r="C211" s="7" t="str">
        <f>"2"</f>
        <v>2</v>
      </c>
      <c r="D211" s="7" t="str">
        <f>"7"</f>
        <v>7</v>
      </c>
      <c r="E211" s="7" t="str">
        <f t="shared" si="34"/>
        <v>1</v>
      </c>
      <c r="F211" s="9">
        <v>53951794.670000002</v>
      </c>
    </row>
    <row r="212" spans="1:6" x14ac:dyDescent="0.25">
      <c r="A212" s="7" t="str">
        <f>"1793"</f>
        <v>1793</v>
      </c>
      <c r="B212" s="8" t="str">
        <f>"Расходы будущих периодов"</f>
        <v>Расходы будущих периодов</v>
      </c>
      <c r="C212" s="7" t="str">
        <f>"1"</f>
        <v>1</v>
      </c>
      <c r="D212" s="7" t="str">
        <f>"7"</f>
        <v>7</v>
      </c>
      <c r="E212" s="7" t="str">
        <f t="shared" si="34"/>
        <v>1</v>
      </c>
      <c r="F212" s="9">
        <v>1005128235.8099999</v>
      </c>
    </row>
    <row r="213" spans="1:6" x14ac:dyDescent="0.25">
      <c r="A213" s="7" t="str">
        <f>"1811"</f>
        <v>1811</v>
      </c>
      <c r="B213" s="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3" s="7" t="str">
        <f>"1"</f>
        <v>1</v>
      </c>
      <c r="D213" s="7">
        <v>0</v>
      </c>
      <c r="E213" s="7" t="str">
        <f t="shared" si="34"/>
        <v>1</v>
      </c>
      <c r="F213" s="9">
        <v>176869192.27000001</v>
      </c>
    </row>
    <row r="214" spans="1:6" x14ac:dyDescent="0.25">
      <c r="A214" s="7" t="str">
        <f>"1811"</f>
        <v>1811</v>
      </c>
      <c r="B214" s="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4" s="7" t="str">
        <f>"2"</f>
        <v>2</v>
      </c>
      <c r="D214" s="7">
        <v>0</v>
      </c>
      <c r="E214" s="7" t="str">
        <f t="shared" si="34"/>
        <v>1</v>
      </c>
      <c r="F214" s="9">
        <v>600489.81000000006</v>
      </c>
    </row>
    <row r="215" spans="1:6" x14ac:dyDescent="0.25">
      <c r="A215" s="7" t="str">
        <f>"1812"</f>
        <v>1812</v>
      </c>
      <c r="B215" s="8" t="str">
        <f>"Начисленные комиссионные доходы за агентские услуги"</f>
        <v>Начисленные комиссионные доходы за агентские услуги</v>
      </c>
      <c r="C215" s="7" t="str">
        <f t="shared" ref="C215:C220" si="35">"1"</f>
        <v>1</v>
      </c>
      <c r="D215" s="7">
        <v>0</v>
      </c>
      <c r="E215" s="7" t="str">
        <f t="shared" si="34"/>
        <v>1</v>
      </c>
      <c r="F215" s="9">
        <v>145290719.66</v>
      </c>
    </row>
    <row r="216" spans="1:6" x14ac:dyDescent="0.25">
      <c r="A216" s="7" t="str">
        <f>"1815"</f>
        <v>1815</v>
      </c>
      <c r="B216" s="8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C216" s="7" t="str">
        <f t="shared" si="35"/>
        <v>1</v>
      </c>
      <c r="D216" s="7">
        <v>0</v>
      </c>
      <c r="E216" s="7" t="str">
        <f t="shared" si="34"/>
        <v>1</v>
      </c>
      <c r="F216" s="9">
        <v>193846</v>
      </c>
    </row>
    <row r="217" spans="1:6" x14ac:dyDescent="0.25">
      <c r="A217" s="7" t="str">
        <f>"1816"</f>
        <v>1816</v>
      </c>
      <c r="B217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17" s="7" t="str">
        <f t="shared" si="35"/>
        <v>1</v>
      </c>
      <c r="D217" s="7">
        <v>0</v>
      </c>
      <c r="E217" s="7" t="str">
        <f t="shared" si="34"/>
        <v>1</v>
      </c>
      <c r="F217" s="9">
        <v>871510693.63999999</v>
      </c>
    </row>
    <row r="218" spans="1:6" x14ac:dyDescent="0.25">
      <c r="A218" s="7" t="str">
        <f>"1816"</f>
        <v>1816</v>
      </c>
      <c r="B218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18" s="7" t="str">
        <f t="shared" si="35"/>
        <v>1</v>
      </c>
      <c r="D218" s="7">
        <v>0</v>
      </c>
      <c r="E218" s="7" t="str">
        <f>"3"</f>
        <v>3</v>
      </c>
      <c r="F218" s="9">
        <v>13065777.34</v>
      </c>
    </row>
    <row r="219" spans="1:6" x14ac:dyDescent="0.25">
      <c r="A219" s="7" t="str">
        <f>"1816"</f>
        <v>1816</v>
      </c>
      <c r="B219" s="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19" s="7" t="str">
        <f t="shared" si="35"/>
        <v>1</v>
      </c>
      <c r="D219" s="7">
        <v>0</v>
      </c>
      <c r="E219" s="7" t="str">
        <f>"2"</f>
        <v>2</v>
      </c>
      <c r="F219" s="9">
        <v>441347160.69999999</v>
      </c>
    </row>
    <row r="220" spans="1:6" x14ac:dyDescent="0.25">
      <c r="A220" s="7" t="str">
        <f>"1817"</f>
        <v>1817</v>
      </c>
      <c r="B220" s="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0" s="7" t="str">
        <f t="shared" si="35"/>
        <v>1</v>
      </c>
      <c r="D220" s="7">
        <v>0</v>
      </c>
      <c r="E220" s="7" t="str">
        <f>"1"</f>
        <v>1</v>
      </c>
      <c r="F220" s="9">
        <v>39716.339999999997</v>
      </c>
    </row>
    <row r="221" spans="1:6" x14ac:dyDescent="0.25">
      <c r="A221" s="7" t="str">
        <f>"1818"</f>
        <v>1818</v>
      </c>
      <c r="B221" s="8" t="str">
        <f>"Начисленные прочие комиссионные доходы"</f>
        <v>Начисленные прочие комиссионные доходы</v>
      </c>
      <c r="C221" s="7" t="str">
        <f>"2"</f>
        <v>2</v>
      </c>
      <c r="D221" s="7">
        <v>0</v>
      </c>
      <c r="E221" s="7" t="str">
        <f>"1"</f>
        <v>1</v>
      </c>
      <c r="F221" s="9">
        <v>56053.11</v>
      </c>
    </row>
    <row r="222" spans="1:6" x14ac:dyDescent="0.25">
      <c r="A222" s="7" t="str">
        <f>"1818"</f>
        <v>1818</v>
      </c>
      <c r="B222" s="8" t="str">
        <f>"Начисленные прочие комиссионные доходы"</f>
        <v>Начисленные прочие комиссионные доходы</v>
      </c>
      <c r="C222" s="7" t="str">
        <f>"2"</f>
        <v>2</v>
      </c>
      <c r="D222" s="7">
        <v>0</v>
      </c>
      <c r="E222" s="7" t="str">
        <f>"2"</f>
        <v>2</v>
      </c>
      <c r="F222" s="9">
        <v>10360.76</v>
      </c>
    </row>
    <row r="223" spans="1:6" x14ac:dyDescent="0.25">
      <c r="A223" s="7" t="str">
        <f>"1818"</f>
        <v>1818</v>
      </c>
      <c r="B223" s="8" t="str">
        <f>"Начисленные прочие комиссионные доходы"</f>
        <v>Начисленные прочие комиссионные доходы</v>
      </c>
      <c r="C223" s="7" t="str">
        <f>"1"</f>
        <v>1</v>
      </c>
      <c r="D223" s="7">
        <v>0</v>
      </c>
      <c r="E223" s="7" t="str">
        <f>"1"</f>
        <v>1</v>
      </c>
      <c r="F223" s="9">
        <v>55188325.189999998</v>
      </c>
    </row>
    <row r="224" spans="1:6" x14ac:dyDescent="0.25">
      <c r="A224" s="7" t="str">
        <f>"1819"</f>
        <v>1819</v>
      </c>
      <c r="B224" s="8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C224" s="7" t="str">
        <f>"1"</f>
        <v>1</v>
      </c>
      <c r="D224" s="7">
        <v>0</v>
      </c>
      <c r="E224" s="7" t="str">
        <f>"1"</f>
        <v>1</v>
      </c>
      <c r="F224" s="9">
        <v>44940240.130000003</v>
      </c>
    </row>
    <row r="225" spans="1:6" x14ac:dyDescent="0.25">
      <c r="A225" s="7" t="str">
        <f>"1821"</f>
        <v>1821</v>
      </c>
      <c r="B225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25" s="7" t="str">
        <f>"1"</f>
        <v>1</v>
      </c>
      <c r="D225" s="7">
        <v>0</v>
      </c>
      <c r="E225" s="7" t="str">
        <f>"1"</f>
        <v>1</v>
      </c>
      <c r="F225" s="9">
        <v>30002810.699999999</v>
      </c>
    </row>
    <row r="226" spans="1:6" x14ac:dyDescent="0.25">
      <c r="A226" s="7" t="str">
        <f>"1821"</f>
        <v>1821</v>
      </c>
      <c r="B226" s="8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26" s="7" t="str">
        <f>"2"</f>
        <v>2</v>
      </c>
      <c r="D226" s="7">
        <v>0</v>
      </c>
      <c r="E226" s="7" t="str">
        <f>"1"</f>
        <v>1</v>
      </c>
      <c r="F226" s="9">
        <v>2720</v>
      </c>
    </row>
    <row r="227" spans="1:6" x14ac:dyDescent="0.25">
      <c r="A227" s="7" t="str">
        <f>"1822"</f>
        <v>1822</v>
      </c>
      <c r="B227" s="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27" s="7" t="str">
        <f>"2"</f>
        <v>2</v>
      </c>
      <c r="D227" s="7">
        <v>0</v>
      </c>
      <c r="E227" s="7" t="str">
        <f>"2"</f>
        <v>2</v>
      </c>
      <c r="F227" s="9">
        <v>653877.29</v>
      </c>
    </row>
    <row r="228" spans="1:6" x14ac:dyDescent="0.25">
      <c r="A228" s="7" t="str">
        <f>"1825"</f>
        <v>1825</v>
      </c>
      <c r="B228" s="8" t="str">
        <f>"Начисленные комиссионные доходы за услуги по инкассации"</f>
        <v>Начисленные комиссионные доходы за услуги по инкассации</v>
      </c>
      <c r="C228" s="7" t="str">
        <f t="shared" ref="C228:C236" si="36">"1"</f>
        <v>1</v>
      </c>
      <c r="D228" s="7">
        <v>0</v>
      </c>
      <c r="E228" s="7" t="str">
        <f>"1"</f>
        <v>1</v>
      </c>
      <c r="F228" s="9">
        <v>238500</v>
      </c>
    </row>
    <row r="229" spans="1:6" x14ac:dyDescent="0.25">
      <c r="A229" s="7" t="str">
        <f>"1836"</f>
        <v>1836</v>
      </c>
      <c r="B229" s="8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229" s="7" t="str">
        <f t="shared" si="36"/>
        <v>1</v>
      </c>
      <c r="D229" s="7">
        <v>0</v>
      </c>
      <c r="E229" s="7" t="str">
        <f>"1"</f>
        <v>1</v>
      </c>
      <c r="F229" s="9">
        <v>229005.63</v>
      </c>
    </row>
    <row r="230" spans="1:6" x14ac:dyDescent="0.25">
      <c r="A230" s="7" t="str">
        <f>"1838"</f>
        <v>1838</v>
      </c>
      <c r="B230" s="8" t="str">
        <f>"Просроченные прочие комиссионные доходы"</f>
        <v>Просроченные прочие комиссионные доходы</v>
      </c>
      <c r="C230" s="7" t="str">
        <f t="shared" si="36"/>
        <v>1</v>
      </c>
      <c r="D230" s="7">
        <v>0</v>
      </c>
      <c r="E230" s="7" t="str">
        <f>"2"</f>
        <v>2</v>
      </c>
      <c r="F230" s="9">
        <v>3866529.94</v>
      </c>
    </row>
    <row r="231" spans="1:6" x14ac:dyDescent="0.25">
      <c r="A231" s="7" t="str">
        <f>"1838"</f>
        <v>1838</v>
      </c>
      <c r="B231" s="8" t="str">
        <f>"Просроченные прочие комиссионные доходы"</f>
        <v>Просроченные прочие комиссионные доходы</v>
      </c>
      <c r="C231" s="7" t="str">
        <f t="shared" si="36"/>
        <v>1</v>
      </c>
      <c r="D231" s="7">
        <v>0</v>
      </c>
      <c r="E231" s="7" t="str">
        <f>"1"</f>
        <v>1</v>
      </c>
      <c r="F231" s="9">
        <v>181565923.69</v>
      </c>
    </row>
    <row r="232" spans="1:6" x14ac:dyDescent="0.25">
      <c r="A232" s="7" t="str">
        <f>"1839"</f>
        <v>1839</v>
      </c>
      <c r="B232" s="8" t="str">
        <f>"Просроченные комиссионные доходы по профессиональной деятельности на рынке ценных бумаг"</f>
        <v>Просроченные комиссионные доходы по профессиональной деятельности на рынке ценных бумаг</v>
      </c>
      <c r="C232" s="7" t="str">
        <f t="shared" si="36"/>
        <v>1</v>
      </c>
      <c r="D232" s="7">
        <v>0</v>
      </c>
      <c r="E232" s="7" t="str">
        <f>"1"</f>
        <v>1</v>
      </c>
      <c r="F232" s="9">
        <v>4592363.2699999996</v>
      </c>
    </row>
    <row r="233" spans="1:6" x14ac:dyDescent="0.25">
      <c r="A233" s="7" t="str">
        <f>"1841"</f>
        <v>1841</v>
      </c>
      <c r="B233" s="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233" s="7" t="str">
        <f t="shared" si="36"/>
        <v>1</v>
      </c>
      <c r="D233" s="7">
        <v>0</v>
      </c>
      <c r="E233" s="7" t="str">
        <f>"1"</f>
        <v>1</v>
      </c>
      <c r="F233" s="9">
        <v>4077761.32</v>
      </c>
    </row>
    <row r="234" spans="1:6" x14ac:dyDescent="0.25">
      <c r="A234" s="7" t="str">
        <f>"1845"</f>
        <v>1845</v>
      </c>
      <c r="B234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34" s="7" t="str">
        <f t="shared" si="36"/>
        <v>1</v>
      </c>
      <c r="D234" s="7">
        <v>0</v>
      </c>
      <c r="E234" s="7" t="str">
        <f>"2"</f>
        <v>2</v>
      </c>
      <c r="F234" s="9">
        <v>-14018034.390000001</v>
      </c>
    </row>
    <row r="235" spans="1:6" x14ac:dyDescent="0.25">
      <c r="A235" s="7" t="str">
        <f>"1845"</f>
        <v>1845</v>
      </c>
      <c r="B235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35" s="7" t="str">
        <f t="shared" si="36"/>
        <v>1</v>
      </c>
      <c r="D235" s="7">
        <v>0</v>
      </c>
      <c r="E235" s="7" t="str">
        <f>"1"</f>
        <v>1</v>
      </c>
      <c r="F235" s="9">
        <v>-164897004.71000001</v>
      </c>
    </row>
    <row r="236" spans="1:6" x14ac:dyDescent="0.25">
      <c r="A236" s="7" t="str">
        <f>"1845"</f>
        <v>1845</v>
      </c>
      <c r="B236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36" s="7" t="str">
        <f t="shared" si="36"/>
        <v>1</v>
      </c>
      <c r="D236" s="7">
        <v>0</v>
      </c>
      <c r="E236" s="7" t="str">
        <f>"3"</f>
        <v>3</v>
      </c>
      <c r="F236" s="9">
        <v>-127673</v>
      </c>
    </row>
    <row r="237" spans="1:6" x14ac:dyDescent="0.25">
      <c r="A237" s="7" t="str">
        <f>"1845"</f>
        <v>1845</v>
      </c>
      <c r="B237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37" s="7" t="str">
        <f>"2"</f>
        <v>2</v>
      </c>
      <c r="D237" s="7">
        <v>0</v>
      </c>
      <c r="E237" s="7" t="str">
        <f>"1"</f>
        <v>1</v>
      </c>
      <c r="F237" s="9">
        <v>-31980.13</v>
      </c>
    </row>
    <row r="238" spans="1:6" x14ac:dyDescent="0.25">
      <c r="A238" s="7" t="str">
        <f>"1845"</f>
        <v>1845</v>
      </c>
      <c r="B238" s="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38" s="7" t="str">
        <f>"2"</f>
        <v>2</v>
      </c>
      <c r="D238" s="7">
        <v>0</v>
      </c>
      <c r="E238" s="7" t="str">
        <f>"3"</f>
        <v>3</v>
      </c>
      <c r="F238" s="9">
        <v>-419.45</v>
      </c>
    </row>
    <row r="239" spans="1:6" x14ac:dyDescent="0.25">
      <c r="A239" s="7" t="str">
        <f>"1851"</f>
        <v>1851</v>
      </c>
      <c r="B239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39" s="7" t="str">
        <f>"1"</f>
        <v>1</v>
      </c>
      <c r="D239" s="7" t="str">
        <f>"1"</f>
        <v>1</v>
      </c>
      <c r="E239" s="7" t="str">
        <f>"1"</f>
        <v>1</v>
      </c>
      <c r="F239" s="9">
        <v>5097693915.5200005</v>
      </c>
    </row>
    <row r="240" spans="1:6" x14ac:dyDescent="0.25">
      <c r="A240" s="7" t="str">
        <f>"1852"</f>
        <v>1852</v>
      </c>
      <c r="B240" s="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40" s="7" t="str">
        <f>"1"</f>
        <v>1</v>
      </c>
      <c r="D240" s="7" t="str">
        <f>"5"</f>
        <v>5</v>
      </c>
      <c r="E240" s="7" t="str">
        <f>"2"</f>
        <v>2</v>
      </c>
      <c r="F240" s="9">
        <v>24711563971.32</v>
      </c>
    </row>
    <row r="241" spans="1:6" x14ac:dyDescent="0.25">
      <c r="A241" s="7" t="str">
        <f>"1854"</f>
        <v>1854</v>
      </c>
      <c r="B241" s="8" t="str">
        <f>"Расчеты с работниками"</f>
        <v>Расчеты с работниками</v>
      </c>
      <c r="C241" s="7">
        <v>0</v>
      </c>
      <c r="D241" s="7">
        <v>0</v>
      </c>
      <c r="E241" s="7">
        <v>0</v>
      </c>
      <c r="F241" s="9">
        <v>7501523.1600000001</v>
      </c>
    </row>
    <row r="242" spans="1:6" x14ac:dyDescent="0.25">
      <c r="A242" s="7" t="str">
        <f>"1856"</f>
        <v>1856</v>
      </c>
      <c r="B242" s="8" t="str">
        <f>"Дебиторы по капитальным вложениям"</f>
        <v>Дебиторы по капитальным вложениям</v>
      </c>
      <c r="C242" s="7" t="str">
        <f>"1"</f>
        <v>1</v>
      </c>
      <c r="D242" s="7" t="str">
        <f>"6"</f>
        <v>6</v>
      </c>
      <c r="E242" s="7" t="str">
        <f>"1"</f>
        <v>1</v>
      </c>
      <c r="F242" s="9">
        <v>698170.76</v>
      </c>
    </row>
    <row r="243" spans="1:6" x14ac:dyDescent="0.25">
      <c r="A243" s="7" t="str">
        <f>"1856"</f>
        <v>1856</v>
      </c>
      <c r="B243" s="8" t="str">
        <f>"Дебиторы по капитальным вложениям"</f>
        <v>Дебиторы по капитальным вложениям</v>
      </c>
      <c r="C243" s="7" t="str">
        <f>"1"</f>
        <v>1</v>
      </c>
      <c r="D243" s="7" t="str">
        <f>"9"</f>
        <v>9</v>
      </c>
      <c r="E243" s="7" t="str">
        <f>"1"</f>
        <v>1</v>
      </c>
      <c r="F243" s="9">
        <v>58122252.539999999</v>
      </c>
    </row>
    <row r="244" spans="1:6" x14ac:dyDescent="0.25">
      <c r="A244" s="7" t="str">
        <f>"1856"</f>
        <v>1856</v>
      </c>
      <c r="B244" s="8" t="str">
        <f>"Дебиторы по капитальным вложениям"</f>
        <v>Дебиторы по капитальным вложениям</v>
      </c>
      <c r="C244" s="7" t="str">
        <f>"2"</f>
        <v>2</v>
      </c>
      <c r="D244" s="7" t="str">
        <f>"7"</f>
        <v>7</v>
      </c>
      <c r="E244" s="7" t="str">
        <f>"1"</f>
        <v>1</v>
      </c>
      <c r="F244" s="9">
        <v>47256313.140000001</v>
      </c>
    </row>
    <row r="245" spans="1:6" x14ac:dyDescent="0.25">
      <c r="A245" s="7" t="str">
        <f>"1856"</f>
        <v>1856</v>
      </c>
      <c r="B245" s="8" t="str">
        <f>"Дебиторы по капитальным вложениям"</f>
        <v>Дебиторы по капитальным вложениям</v>
      </c>
      <c r="C245" s="7" t="str">
        <f>"1"</f>
        <v>1</v>
      </c>
      <c r="D245" s="7" t="str">
        <f>"7"</f>
        <v>7</v>
      </c>
      <c r="E245" s="7" t="str">
        <f>"1"</f>
        <v>1</v>
      </c>
      <c r="F245" s="9">
        <v>1221565520.3099999</v>
      </c>
    </row>
    <row r="246" spans="1:6" x14ac:dyDescent="0.25">
      <c r="A246" s="7" t="str">
        <f>"1857"</f>
        <v>1857</v>
      </c>
      <c r="B246" s="8" t="str">
        <f>"Отложенные налоговые активы"</f>
        <v>Отложенные налоговые активы</v>
      </c>
      <c r="C246" s="7">
        <v>0</v>
      </c>
      <c r="D246" s="7">
        <v>0</v>
      </c>
      <c r="E246" s="7">
        <v>0</v>
      </c>
      <c r="F246" s="9">
        <v>257575146</v>
      </c>
    </row>
    <row r="247" spans="1:6" x14ac:dyDescent="0.25">
      <c r="A247" s="7" t="str">
        <f t="shared" ref="A247:A264" si="37">"1860"</f>
        <v>1860</v>
      </c>
      <c r="B247" s="8" t="str">
        <f t="shared" ref="B247:B264" si="38">"Прочие дебиторы по банковской деятельности"</f>
        <v>Прочие дебиторы по банковской деятельности</v>
      </c>
      <c r="C247" s="7" t="str">
        <f>"1"</f>
        <v>1</v>
      </c>
      <c r="D247" s="7" t="str">
        <f>"1"</f>
        <v>1</v>
      </c>
      <c r="E247" s="7" t="str">
        <f>"1"</f>
        <v>1</v>
      </c>
      <c r="F247" s="9">
        <v>4817516.76</v>
      </c>
    </row>
    <row r="248" spans="1:6" x14ac:dyDescent="0.25">
      <c r="A248" s="7" t="str">
        <f t="shared" si="37"/>
        <v>1860</v>
      </c>
      <c r="B248" s="8" t="str">
        <f t="shared" si="38"/>
        <v>Прочие дебиторы по банковской деятельности</v>
      </c>
      <c r="C248" s="7" t="str">
        <f>"1"</f>
        <v>1</v>
      </c>
      <c r="D248" s="7" t="str">
        <f>"4"</f>
        <v>4</v>
      </c>
      <c r="E248" s="7" t="str">
        <f>"1"</f>
        <v>1</v>
      </c>
      <c r="F248" s="9">
        <v>723385706.51999998</v>
      </c>
    </row>
    <row r="249" spans="1:6" x14ac:dyDescent="0.25">
      <c r="A249" s="7" t="str">
        <f t="shared" si="37"/>
        <v>1860</v>
      </c>
      <c r="B249" s="8" t="str">
        <f t="shared" si="38"/>
        <v>Прочие дебиторы по банковской деятельности</v>
      </c>
      <c r="C249" s="7" t="str">
        <f>"1"</f>
        <v>1</v>
      </c>
      <c r="D249" s="7" t="str">
        <f>"5"</f>
        <v>5</v>
      </c>
      <c r="E249" s="7" t="str">
        <f>"1"</f>
        <v>1</v>
      </c>
      <c r="F249" s="9">
        <v>8980026.9499999993</v>
      </c>
    </row>
    <row r="250" spans="1:6" x14ac:dyDescent="0.25">
      <c r="A250" s="7" t="str">
        <f t="shared" si="37"/>
        <v>1860</v>
      </c>
      <c r="B250" s="8" t="str">
        <f t="shared" si="38"/>
        <v>Прочие дебиторы по банковской деятельности</v>
      </c>
      <c r="C250" s="7" t="str">
        <f>"1"</f>
        <v>1</v>
      </c>
      <c r="D250" s="7" t="str">
        <f>"6"</f>
        <v>6</v>
      </c>
      <c r="E250" s="7" t="str">
        <f>"1"</f>
        <v>1</v>
      </c>
      <c r="F250" s="9">
        <v>644615</v>
      </c>
    </row>
    <row r="251" spans="1:6" x14ac:dyDescent="0.25">
      <c r="A251" s="7" t="str">
        <f t="shared" si="37"/>
        <v>1860</v>
      </c>
      <c r="B251" s="8" t="str">
        <f t="shared" si="38"/>
        <v>Прочие дебиторы по банковской деятельности</v>
      </c>
      <c r="C251" s="7" t="str">
        <f>"1"</f>
        <v>1</v>
      </c>
      <c r="D251" s="7" t="str">
        <f>"9"</f>
        <v>9</v>
      </c>
      <c r="E251" s="7" t="str">
        <f>"1"</f>
        <v>1</v>
      </c>
      <c r="F251" s="9">
        <v>3180172135.4200001</v>
      </c>
    </row>
    <row r="252" spans="1:6" x14ac:dyDescent="0.25">
      <c r="A252" s="7" t="str">
        <f t="shared" si="37"/>
        <v>1860</v>
      </c>
      <c r="B252" s="8" t="str">
        <f t="shared" si="38"/>
        <v>Прочие дебиторы по банковской деятельности</v>
      </c>
      <c r="C252" s="7" t="str">
        <f>"1"</f>
        <v>1</v>
      </c>
      <c r="D252" s="7" t="str">
        <f>"9"</f>
        <v>9</v>
      </c>
      <c r="E252" s="7" t="str">
        <f>"2"</f>
        <v>2</v>
      </c>
      <c r="F252" s="9">
        <v>1878805.71</v>
      </c>
    </row>
    <row r="253" spans="1:6" x14ac:dyDescent="0.25">
      <c r="A253" s="7" t="str">
        <f t="shared" si="37"/>
        <v>1860</v>
      </c>
      <c r="B253" s="8" t="str">
        <f t="shared" si="38"/>
        <v>Прочие дебиторы по банковской деятельности</v>
      </c>
      <c r="C253" s="7" t="str">
        <f>"2"</f>
        <v>2</v>
      </c>
      <c r="D253" s="7" t="str">
        <f>"1"</f>
        <v>1</v>
      </c>
      <c r="E253" s="7" t="str">
        <f>"1"</f>
        <v>1</v>
      </c>
      <c r="F253" s="9">
        <v>1685700</v>
      </c>
    </row>
    <row r="254" spans="1:6" x14ac:dyDescent="0.25">
      <c r="A254" s="7" t="str">
        <f t="shared" si="37"/>
        <v>1860</v>
      </c>
      <c r="B254" s="8" t="str">
        <f t="shared" si="38"/>
        <v>Прочие дебиторы по банковской деятельности</v>
      </c>
      <c r="C254" s="7" t="str">
        <f>"1"</f>
        <v>1</v>
      </c>
      <c r="D254" s="7" t="str">
        <f>"8"</f>
        <v>8</v>
      </c>
      <c r="E254" s="7" t="str">
        <f>"1"</f>
        <v>1</v>
      </c>
      <c r="F254" s="9">
        <v>13918.88</v>
      </c>
    </row>
    <row r="255" spans="1:6" x14ac:dyDescent="0.25">
      <c r="A255" s="7" t="str">
        <f t="shared" si="37"/>
        <v>1860</v>
      </c>
      <c r="B255" s="8" t="str">
        <f t="shared" si="38"/>
        <v>Прочие дебиторы по банковской деятельности</v>
      </c>
      <c r="C255" s="7" t="str">
        <f>"1"</f>
        <v>1</v>
      </c>
      <c r="D255" s="7" t="str">
        <f>"7"</f>
        <v>7</v>
      </c>
      <c r="E255" s="7" t="str">
        <f>"1"</f>
        <v>1</v>
      </c>
      <c r="F255" s="9">
        <v>1524585036.03</v>
      </c>
    </row>
    <row r="256" spans="1:6" x14ac:dyDescent="0.25">
      <c r="A256" s="7" t="str">
        <f t="shared" si="37"/>
        <v>1860</v>
      </c>
      <c r="B256" s="8" t="str">
        <f t="shared" si="38"/>
        <v>Прочие дебиторы по банковской деятельности</v>
      </c>
      <c r="C256" s="7" t="str">
        <f t="shared" ref="C256:C264" si="39">"2"</f>
        <v>2</v>
      </c>
      <c r="D256" s="7" t="str">
        <f>"4"</f>
        <v>4</v>
      </c>
      <c r="E256" s="7" t="str">
        <f>"3"</f>
        <v>3</v>
      </c>
      <c r="F256" s="9">
        <v>1105560000</v>
      </c>
    </row>
    <row r="257" spans="1:6" x14ac:dyDescent="0.25">
      <c r="A257" s="7" t="str">
        <f t="shared" si="37"/>
        <v>1860</v>
      </c>
      <c r="B257" s="8" t="str">
        <f t="shared" si="38"/>
        <v>Прочие дебиторы по банковской деятельности</v>
      </c>
      <c r="C257" s="7" t="str">
        <f t="shared" si="39"/>
        <v>2</v>
      </c>
      <c r="D257" s="7" t="str">
        <f>"7"</f>
        <v>7</v>
      </c>
      <c r="E257" s="7" t="str">
        <f>"3"</f>
        <v>3</v>
      </c>
      <c r="F257" s="9">
        <v>52812089.649999999</v>
      </c>
    </row>
    <row r="258" spans="1:6" x14ac:dyDescent="0.25">
      <c r="A258" s="7" t="str">
        <f t="shared" si="37"/>
        <v>1860</v>
      </c>
      <c r="B258" s="8" t="str">
        <f t="shared" si="38"/>
        <v>Прочие дебиторы по банковской деятельности</v>
      </c>
      <c r="C258" s="7" t="str">
        <f t="shared" si="39"/>
        <v>2</v>
      </c>
      <c r="D258" s="7" t="str">
        <f>"9"</f>
        <v>9</v>
      </c>
      <c r="E258" s="7" t="str">
        <f>"2"</f>
        <v>2</v>
      </c>
      <c r="F258" s="9">
        <v>446904.53</v>
      </c>
    </row>
    <row r="259" spans="1:6" x14ac:dyDescent="0.25">
      <c r="A259" s="7" t="str">
        <f t="shared" si="37"/>
        <v>1860</v>
      </c>
      <c r="B259" s="8" t="str">
        <f t="shared" si="38"/>
        <v>Прочие дебиторы по банковской деятельности</v>
      </c>
      <c r="C259" s="7" t="str">
        <f t="shared" si="39"/>
        <v>2</v>
      </c>
      <c r="D259" s="7" t="str">
        <f>"5"</f>
        <v>5</v>
      </c>
      <c r="E259" s="7" t="str">
        <f>"2"</f>
        <v>2</v>
      </c>
      <c r="F259" s="9">
        <v>763696888.01999998</v>
      </c>
    </row>
    <row r="260" spans="1:6" x14ac:dyDescent="0.25">
      <c r="A260" s="7" t="str">
        <f t="shared" si="37"/>
        <v>1860</v>
      </c>
      <c r="B260" s="8" t="str">
        <f t="shared" si="38"/>
        <v>Прочие дебиторы по банковской деятельности</v>
      </c>
      <c r="C260" s="7" t="str">
        <f t="shared" si="39"/>
        <v>2</v>
      </c>
      <c r="D260" s="7" t="str">
        <f>"9"</f>
        <v>9</v>
      </c>
      <c r="E260" s="7" t="str">
        <f>"1"</f>
        <v>1</v>
      </c>
      <c r="F260" s="9">
        <v>5175933.6100000003</v>
      </c>
    </row>
    <row r="261" spans="1:6" x14ac:dyDescent="0.25">
      <c r="A261" s="7" t="str">
        <f t="shared" si="37"/>
        <v>1860</v>
      </c>
      <c r="B261" s="8" t="str">
        <f t="shared" si="38"/>
        <v>Прочие дебиторы по банковской деятельности</v>
      </c>
      <c r="C261" s="7" t="str">
        <f t="shared" si="39"/>
        <v>2</v>
      </c>
      <c r="D261" s="7" t="str">
        <f>"5"</f>
        <v>5</v>
      </c>
      <c r="E261" s="7" t="str">
        <f>"3"</f>
        <v>3</v>
      </c>
      <c r="F261" s="9">
        <v>242462.16</v>
      </c>
    </row>
    <row r="262" spans="1:6" x14ac:dyDescent="0.25">
      <c r="A262" s="7" t="str">
        <f t="shared" si="37"/>
        <v>1860</v>
      </c>
      <c r="B262" s="8" t="str">
        <f t="shared" si="38"/>
        <v>Прочие дебиторы по банковской деятельности</v>
      </c>
      <c r="C262" s="7" t="str">
        <f t="shared" si="39"/>
        <v>2</v>
      </c>
      <c r="D262" s="7" t="str">
        <f>"4"</f>
        <v>4</v>
      </c>
      <c r="E262" s="7" t="str">
        <f>"1"</f>
        <v>1</v>
      </c>
      <c r="F262" s="9">
        <v>7560000000</v>
      </c>
    </row>
    <row r="263" spans="1:6" x14ac:dyDescent="0.25">
      <c r="A263" s="7" t="str">
        <f t="shared" si="37"/>
        <v>1860</v>
      </c>
      <c r="B263" s="8" t="str">
        <f t="shared" si="38"/>
        <v>Прочие дебиторы по банковской деятельности</v>
      </c>
      <c r="C263" s="7" t="str">
        <f t="shared" si="39"/>
        <v>2</v>
      </c>
      <c r="D263" s="7" t="str">
        <f>"4"</f>
        <v>4</v>
      </c>
      <c r="E263" s="7" t="str">
        <f>"2"</f>
        <v>2</v>
      </c>
      <c r="F263" s="9">
        <v>295988.88</v>
      </c>
    </row>
    <row r="264" spans="1:6" x14ac:dyDescent="0.25">
      <c r="A264" s="7" t="str">
        <f t="shared" si="37"/>
        <v>1860</v>
      </c>
      <c r="B264" s="8" t="str">
        <f t="shared" si="38"/>
        <v>Прочие дебиторы по банковской деятельности</v>
      </c>
      <c r="C264" s="7" t="str">
        <f t="shared" si="39"/>
        <v>2</v>
      </c>
      <c r="D264" s="7" t="str">
        <f>"5"</f>
        <v>5</v>
      </c>
      <c r="E264" s="7" t="str">
        <f t="shared" ref="E264:E273" si="40">"1"</f>
        <v>1</v>
      </c>
      <c r="F264" s="9">
        <v>155145</v>
      </c>
    </row>
    <row r="265" spans="1:6" x14ac:dyDescent="0.25">
      <c r="A265" s="7" t="str">
        <f>"1861"</f>
        <v>1861</v>
      </c>
      <c r="B265" s="8" t="str">
        <f>"Дебиторы по гарантиям"</f>
        <v>Дебиторы по гарантиям</v>
      </c>
      <c r="C265" s="7" t="str">
        <f>"1"</f>
        <v>1</v>
      </c>
      <c r="D265" s="7" t="str">
        <f>"7"</f>
        <v>7</v>
      </c>
      <c r="E265" s="7" t="str">
        <f t="shared" si="40"/>
        <v>1</v>
      </c>
      <c r="F265" s="9">
        <v>83710220</v>
      </c>
    </row>
    <row r="266" spans="1:6" x14ac:dyDescent="0.25">
      <c r="A266" s="7" t="str">
        <f t="shared" ref="A266:A273" si="41">"1867"</f>
        <v>1867</v>
      </c>
      <c r="B266" s="8" t="str">
        <f t="shared" ref="B266:B273" si="42">"Прочие дебиторы по неосновной деятельности"</f>
        <v>Прочие дебиторы по неосновной деятельности</v>
      </c>
      <c r="C266" s="7" t="str">
        <f>"1"</f>
        <v>1</v>
      </c>
      <c r="D266" s="7" t="str">
        <f>"1"</f>
        <v>1</v>
      </c>
      <c r="E266" s="7" t="str">
        <f t="shared" si="40"/>
        <v>1</v>
      </c>
      <c r="F266" s="9">
        <v>267238.14</v>
      </c>
    </row>
    <row r="267" spans="1:6" x14ac:dyDescent="0.25">
      <c r="A267" s="7" t="str">
        <f t="shared" si="41"/>
        <v>1867</v>
      </c>
      <c r="B267" s="8" t="str">
        <f t="shared" si="42"/>
        <v>Прочие дебиторы по неосновной деятельности</v>
      </c>
      <c r="C267" s="7" t="str">
        <f>"1"</f>
        <v>1</v>
      </c>
      <c r="D267" s="7" t="str">
        <f>"5"</f>
        <v>5</v>
      </c>
      <c r="E267" s="7" t="str">
        <f t="shared" si="40"/>
        <v>1</v>
      </c>
      <c r="F267" s="9">
        <v>10180646.66</v>
      </c>
    </row>
    <row r="268" spans="1:6" x14ac:dyDescent="0.25">
      <c r="A268" s="7" t="str">
        <f t="shared" si="41"/>
        <v>1867</v>
      </c>
      <c r="B268" s="8" t="str">
        <f t="shared" si="42"/>
        <v>Прочие дебиторы по неосновной деятельности</v>
      </c>
      <c r="C268" s="7" t="str">
        <f>"1"</f>
        <v>1</v>
      </c>
      <c r="D268" s="7" t="str">
        <f>"7"</f>
        <v>7</v>
      </c>
      <c r="E268" s="7" t="str">
        <f t="shared" si="40"/>
        <v>1</v>
      </c>
      <c r="F268" s="9">
        <v>8780731366.9899998</v>
      </c>
    </row>
    <row r="269" spans="1:6" x14ac:dyDescent="0.25">
      <c r="A269" s="7" t="str">
        <f t="shared" si="41"/>
        <v>1867</v>
      </c>
      <c r="B269" s="8" t="str">
        <f t="shared" si="42"/>
        <v>Прочие дебиторы по неосновной деятельности</v>
      </c>
      <c r="C269" s="7" t="str">
        <f>"2"</f>
        <v>2</v>
      </c>
      <c r="D269" s="7" t="str">
        <f>"7"</f>
        <v>7</v>
      </c>
      <c r="E269" s="7" t="str">
        <f t="shared" si="40"/>
        <v>1</v>
      </c>
      <c r="F269" s="9">
        <v>53451454.549999997</v>
      </c>
    </row>
    <row r="270" spans="1:6" x14ac:dyDescent="0.25">
      <c r="A270" s="7" t="str">
        <f t="shared" si="41"/>
        <v>1867</v>
      </c>
      <c r="B270" s="8" t="str">
        <f t="shared" si="42"/>
        <v>Прочие дебиторы по неосновной деятельности</v>
      </c>
      <c r="C270" s="7" t="str">
        <f t="shared" ref="C270:C277" si="43">"1"</f>
        <v>1</v>
      </c>
      <c r="D270" s="7" t="str">
        <f>"8"</f>
        <v>8</v>
      </c>
      <c r="E270" s="7" t="str">
        <f t="shared" si="40"/>
        <v>1</v>
      </c>
      <c r="F270" s="9">
        <v>11582141.4</v>
      </c>
    </row>
    <row r="271" spans="1:6" x14ac:dyDescent="0.25">
      <c r="A271" s="7" t="str">
        <f t="shared" si="41"/>
        <v>1867</v>
      </c>
      <c r="B271" s="8" t="str">
        <f t="shared" si="42"/>
        <v>Прочие дебиторы по неосновной деятельности</v>
      </c>
      <c r="C271" s="7" t="str">
        <f t="shared" si="43"/>
        <v>1</v>
      </c>
      <c r="D271" s="7" t="str">
        <f>"3"</f>
        <v>3</v>
      </c>
      <c r="E271" s="7" t="str">
        <f t="shared" si="40"/>
        <v>1</v>
      </c>
      <c r="F271" s="9">
        <v>3842</v>
      </c>
    </row>
    <row r="272" spans="1:6" x14ac:dyDescent="0.25">
      <c r="A272" s="7" t="str">
        <f t="shared" si="41"/>
        <v>1867</v>
      </c>
      <c r="B272" s="8" t="str">
        <f t="shared" si="42"/>
        <v>Прочие дебиторы по неосновной деятельности</v>
      </c>
      <c r="C272" s="7" t="str">
        <f t="shared" si="43"/>
        <v>1</v>
      </c>
      <c r="D272" s="7" t="str">
        <f>"6"</f>
        <v>6</v>
      </c>
      <c r="E272" s="7" t="str">
        <f t="shared" si="40"/>
        <v>1</v>
      </c>
      <c r="F272" s="9">
        <v>17091383.420000002</v>
      </c>
    </row>
    <row r="273" spans="1:6" x14ac:dyDescent="0.25">
      <c r="A273" s="7" t="str">
        <f t="shared" si="41"/>
        <v>1867</v>
      </c>
      <c r="B273" s="8" t="str">
        <f t="shared" si="42"/>
        <v>Прочие дебиторы по неосновной деятельности</v>
      </c>
      <c r="C273" s="7" t="str">
        <f t="shared" si="43"/>
        <v>1</v>
      </c>
      <c r="D273" s="7" t="str">
        <f>"9"</f>
        <v>9</v>
      </c>
      <c r="E273" s="7" t="str">
        <f t="shared" si="40"/>
        <v>1</v>
      </c>
      <c r="F273" s="9">
        <v>289937549.95999998</v>
      </c>
    </row>
    <row r="274" spans="1:6" x14ac:dyDescent="0.25">
      <c r="A274" s="7" t="str">
        <f t="shared" ref="A274:A280" si="44">"1870"</f>
        <v>1870</v>
      </c>
      <c r="B274" s="8" t="str">
        <f t="shared" ref="B274:B280" si="45">"Прочие транзитные счета"</f>
        <v>Прочие транзитные счета</v>
      </c>
      <c r="C274" s="7" t="str">
        <f t="shared" si="43"/>
        <v>1</v>
      </c>
      <c r="D274" s="7" t="str">
        <f>"9"</f>
        <v>9</v>
      </c>
      <c r="E274" s="7" t="str">
        <f>"2"</f>
        <v>2</v>
      </c>
      <c r="F274" s="9">
        <v>14450162.460000001</v>
      </c>
    </row>
    <row r="275" spans="1:6" x14ac:dyDescent="0.25">
      <c r="A275" s="7" t="str">
        <f t="shared" si="44"/>
        <v>1870</v>
      </c>
      <c r="B275" s="8" t="str">
        <f t="shared" si="45"/>
        <v>Прочие транзитные счета</v>
      </c>
      <c r="C275" s="7" t="str">
        <f t="shared" si="43"/>
        <v>1</v>
      </c>
      <c r="D275" s="7" t="str">
        <f>"9"</f>
        <v>9</v>
      </c>
      <c r="E275" s="7" t="str">
        <f>"3"</f>
        <v>3</v>
      </c>
      <c r="F275" s="9">
        <v>23708.400000000001</v>
      </c>
    </row>
    <row r="276" spans="1:6" x14ac:dyDescent="0.25">
      <c r="A276" s="7" t="str">
        <f t="shared" si="44"/>
        <v>1870</v>
      </c>
      <c r="B276" s="8" t="str">
        <f t="shared" si="45"/>
        <v>Прочие транзитные счета</v>
      </c>
      <c r="C276" s="7" t="str">
        <f t="shared" si="43"/>
        <v>1</v>
      </c>
      <c r="D276" s="7" t="str">
        <f>"4"</f>
        <v>4</v>
      </c>
      <c r="E276" s="7" t="str">
        <f>"2"</f>
        <v>2</v>
      </c>
      <c r="F276" s="9">
        <v>4941540000</v>
      </c>
    </row>
    <row r="277" spans="1:6" x14ac:dyDescent="0.25">
      <c r="A277" s="7" t="str">
        <f t="shared" si="44"/>
        <v>1870</v>
      </c>
      <c r="B277" s="8" t="str">
        <f t="shared" si="45"/>
        <v>Прочие транзитные счета</v>
      </c>
      <c r="C277" s="7" t="str">
        <f t="shared" si="43"/>
        <v>1</v>
      </c>
      <c r="D277" s="7" t="str">
        <f>"9"</f>
        <v>9</v>
      </c>
      <c r="E277" s="7" t="str">
        <f>"1"</f>
        <v>1</v>
      </c>
      <c r="F277" s="9">
        <v>1760905748.1700001</v>
      </c>
    </row>
    <row r="278" spans="1:6" x14ac:dyDescent="0.25">
      <c r="A278" s="7" t="str">
        <f t="shared" si="44"/>
        <v>1870</v>
      </c>
      <c r="B278" s="8" t="str">
        <f t="shared" si="45"/>
        <v>Прочие транзитные счета</v>
      </c>
      <c r="C278" s="7" t="str">
        <f>"2"</f>
        <v>2</v>
      </c>
      <c r="D278" s="7" t="str">
        <f>"4"</f>
        <v>4</v>
      </c>
      <c r="E278" s="7" t="str">
        <f>"3"</f>
        <v>3</v>
      </c>
      <c r="F278" s="9">
        <v>2664000</v>
      </c>
    </row>
    <row r="279" spans="1:6" x14ac:dyDescent="0.25">
      <c r="A279" s="7" t="str">
        <f t="shared" si="44"/>
        <v>1870</v>
      </c>
      <c r="B279" s="8" t="str">
        <f t="shared" si="45"/>
        <v>Прочие транзитные счета</v>
      </c>
      <c r="C279" s="7" t="str">
        <f>"2"</f>
        <v>2</v>
      </c>
      <c r="D279" s="7" t="str">
        <f>"4"</f>
        <v>4</v>
      </c>
      <c r="E279" s="7" t="str">
        <f>"2"</f>
        <v>2</v>
      </c>
      <c r="F279" s="9">
        <v>17017168.010000002</v>
      </c>
    </row>
    <row r="280" spans="1:6" x14ac:dyDescent="0.25">
      <c r="A280" s="7" t="str">
        <f t="shared" si="44"/>
        <v>1870</v>
      </c>
      <c r="B280" s="8" t="str">
        <f t="shared" si="45"/>
        <v>Прочие транзитные счета</v>
      </c>
      <c r="C280" s="7" t="str">
        <f>"1"</f>
        <v>1</v>
      </c>
      <c r="D280" s="7" t="str">
        <f>"3"</f>
        <v>3</v>
      </c>
      <c r="E280" s="7" t="str">
        <f>"1"</f>
        <v>1</v>
      </c>
      <c r="F280" s="9">
        <v>32735225.5</v>
      </c>
    </row>
    <row r="281" spans="1:6" x14ac:dyDescent="0.25">
      <c r="A281" s="7" t="str">
        <f t="shared" ref="A281:A290" si="46">"1877"</f>
        <v>1877</v>
      </c>
      <c r="B281" s="8" t="str">
        <f t="shared" ref="B281:B290" si="47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281" s="7" t="str">
        <f>"1"</f>
        <v>1</v>
      </c>
      <c r="D281" s="7" t="str">
        <f>"7"</f>
        <v>7</v>
      </c>
      <c r="E281" s="7" t="str">
        <f>"1"</f>
        <v>1</v>
      </c>
      <c r="F281" s="10">
        <v>-1294412445.6400001</v>
      </c>
    </row>
    <row r="282" spans="1:6" x14ac:dyDescent="0.25">
      <c r="A282" s="7" t="str">
        <f t="shared" si="46"/>
        <v>1877</v>
      </c>
      <c r="B282" s="8" t="str">
        <f t="shared" si="47"/>
        <v>Резервы (провизии) по дебиторской задолженности, связанной с банковской деятельностью</v>
      </c>
      <c r="C282" s="7" t="str">
        <f>"1"</f>
        <v>1</v>
      </c>
      <c r="D282" s="7" t="str">
        <f>"9"</f>
        <v>9</v>
      </c>
      <c r="E282" s="7" t="str">
        <f>"1"</f>
        <v>1</v>
      </c>
      <c r="F282" s="10">
        <v>-2613398166.5900002</v>
      </c>
    </row>
    <row r="283" spans="1:6" x14ac:dyDescent="0.25">
      <c r="A283" s="7" t="str">
        <f t="shared" si="46"/>
        <v>1877</v>
      </c>
      <c r="B283" s="8" t="str">
        <f t="shared" si="47"/>
        <v>Резервы (провизии) по дебиторской задолженности, связанной с банковской деятельностью</v>
      </c>
      <c r="C283" s="7" t="str">
        <f>"2"</f>
        <v>2</v>
      </c>
      <c r="D283" s="7" t="str">
        <f>"5"</f>
        <v>5</v>
      </c>
      <c r="E283" s="7" t="str">
        <f>"2"</f>
        <v>2</v>
      </c>
      <c r="F283" s="10">
        <v>-533421124.01999998</v>
      </c>
    </row>
    <row r="284" spans="1:6" x14ac:dyDescent="0.25">
      <c r="A284" s="7" t="str">
        <f t="shared" si="46"/>
        <v>1877</v>
      </c>
      <c r="B284" s="8" t="str">
        <f t="shared" si="47"/>
        <v>Резервы (провизии) по дебиторской задолженности, связанной с банковской деятельностью</v>
      </c>
      <c r="C284" s="7" t="str">
        <f>"1"</f>
        <v>1</v>
      </c>
      <c r="D284" s="7" t="str">
        <f>"5"</f>
        <v>5</v>
      </c>
      <c r="E284" s="7" t="str">
        <f>"1"</f>
        <v>1</v>
      </c>
      <c r="F284" s="10">
        <v>-1846</v>
      </c>
    </row>
    <row r="285" spans="1:6" x14ac:dyDescent="0.25">
      <c r="A285" s="7" t="str">
        <f t="shared" si="46"/>
        <v>1877</v>
      </c>
      <c r="B285" s="8" t="str">
        <f t="shared" si="47"/>
        <v>Резервы (провизии) по дебиторской задолженности, связанной с банковской деятельностью</v>
      </c>
      <c r="C285" s="7" t="str">
        <f>"2"</f>
        <v>2</v>
      </c>
      <c r="D285" s="7" t="str">
        <f>"9"</f>
        <v>9</v>
      </c>
      <c r="E285" s="7" t="str">
        <f>"1"</f>
        <v>1</v>
      </c>
      <c r="F285" s="10">
        <v>-1665196.55</v>
      </c>
    </row>
    <row r="286" spans="1:6" x14ac:dyDescent="0.25">
      <c r="A286" s="7" t="str">
        <f t="shared" si="46"/>
        <v>1877</v>
      </c>
      <c r="B286" s="8" t="str">
        <f t="shared" si="47"/>
        <v>Резервы (провизии) по дебиторской задолженности, связанной с банковской деятельностью</v>
      </c>
      <c r="C286" s="7" t="str">
        <f>"2"</f>
        <v>2</v>
      </c>
      <c r="D286" s="7" t="str">
        <f>"5"</f>
        <v>5</v>
      </c>
      <c r="E286" s="7" t="str">
        <f>"3"</f>
        <v>3</v>
      </c>
      <c r="F286" s="10">
        <v>-242462.16</v>
      </c>
    </row>
    <row r="287" spans="1:6" x14ac:dyDescent="0.25">
      <c r="A287" s="7" t="str">
        <f t="shared" si="46"/>
        <v>1877</v>
      </c>
      <c r="B287" s="8" t="str">
        <f t="shared" si="47"/>
        <v>Резервы (провизии) по дебиторской задолженности, связанной с банковской деятельностью</v>
      </c>
      <c r="C287" s="7" t="str">
        <f>"2"</f>
        <v>2</v>
      </c>
      <c r="D287" s="7" t="str">
        <f>"9"</f>
        <v>9</v>
      </c>
      <c r="E287" s="7" t="str">
        <f>"2"</f>
        <v>2</v>
      </c>
      <c r="F287" s="10">
        <v>-3365344.1</v>
      </c>
    </row>
    <row r="288" spans="1:6" x14ac:dyDescent="0.25">
      <c r="A288" s="7" t="str">
        <f t="shared" si="46"/>
        <v>1877</v>
      </c>
      <c r="B288" s="8" t="str">
        <f t="shared" si="47"/>
        <v>Резервы (провизии) по дебиторской задолженности, связанной с банковской деятельностью</v>
      </c>
      <c r="C288" s="7" t="str">
        <f>"2"</f>
        <v>2</v>
      </c>
      <c r="D288" s="7" t="str">
        <f>"7"</f>
        <v>7</v>
      </c>
      <c r="E288" s="7" t="str">
        <f>"3"</f>
        <v>3</v>
      </c>
      <c r="F288" s="10">
        <v>-52146089.649999999</v>
      </c>
    </row>
    <row r="289" spans="1:6" x14ac:dyDescent="0.25">
      <c r="A289" s="7" t="str">
        <f t="shared" si="46"/>
        <v>1877</v>
      </c>
      <c r="B289" s="8" t="str">
        <f t="shared" si="47"/>
        <v>Резервы (провизии) по дебиторской задолженности, связанной с банковской деятельностью</v>
      </c>
      <c r="C289" s="7" t="str">
        <f t="shared" ref="C289:C294" si="48">"1"</f>
        <v>1</v>
      </c>
      <c r="D289" s="7" t="str">
        <f>"4"</f>
        <v>4</v>
      </c>
      <c r="E289" s="7" t="str">
        <f>"1"</f>
        <v>1</v>
      </c>
      <c r="F289" s="10">
        <v>-14628000</v>
      </c>
    </row>
    <row r="290" spans="1:6" x14ac:dyDescent="0.25">
      <c r="A290" s="7" t="str">
        <f t="shared" si="46"/>
        <v>1877</v>
      </c>
      <c r="B290" s="8" t="str">
        <f t="shared" si="47"/>
        <v>Резервы (провизии) по дебиторской задолженности, связанной с банковской деятельностью</v>
      </c>
      <c r="C290" s="7" t="str">
        <f t="shared" si="48"/>
        <v>1</v>
      </c>
      <c r="D290" s="7" t="str">
        <f>"9"</f>
        <v>9</v>
      </c>
      <c r="E290" s="7" t="str">
        <f>"2"</f>
        <v>2</v>
      </c>
      <c r="F290" s="10">
        <v>-13234604.26</v>
      </c>
    </row>
    <row r="291" spans="1:6" x14ac:dyDescent="0.25">
      <c r="A291" s="7" t="str">
        <f>"1878"</f>
        <v>1878</v>
      </c>
      <c r="B291" s="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1" s="7" t="str">
        <f t="shared" si="48"/>
        <v>1</v>
      </c>
      <c r="D291" s="7" t="str">
        <f>"1"</f>
        <v>1</v>
      </c>
      <c r="E291" s="7" t="str">
        <f>"1"</f>
        <v>1</v>
      </c>
      <c r="F291" s="9">
        <v>-227979.93</v>
      </c>
    </row>
    <row r="292" spans="1:6" x14ac:dyDescent="0.25">
      <c r="A292" s="7" t="str">
        <f>"1878"</f>
        <v>1878</v>
      </c>
      <c r="B292" s="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2" s="7" t="str">
        <f t="shared" si="48"/>
        <v>1</v>
      </c>
      <c r="D292" s="7" t="str">
        <f>"7"</f>
        <v>7</v>
      </c>
      <c r="E292" s="7" t="str">
        <f t="shared" ref="E292:E299" si="49">"1"</f>
        <v>1</v>
      </c>
      <c r="F292" s="9">
        <v>-6863276516.5299997</v>
      </c>
    </row>
    <row r="293" spans="1:6" x14ac:dyDescent="0.25">
      <c r="A293" s="7" t="str">
        <f>"1878"</f>
        <v>1878</v>
      </c>
      <c r="B293" s="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3" s="7" t="str">
        <f t="shared" si="48"/>
        <v>1</v>
      </c>
      <c r="D293" s="7" t="str">
        <f>"9"</f>
        <v>9</v>
      </c>
      <c r="E293" s="7" t="str">
        <f t="shared" si="49"/>
        <v>1</v>
      </c>
      <c r="F293" s="9">
        <v>-18649504.390000001</v>
      </c>
    </row>
    <row r="294" spans="1:6" x14ac:dyDescent="0.25">
      <c r="A294" s="7" t="str">
        <f>"1879"</f>
        <v>1879</v>
      </c>
      <c r="B294" s="8" t="str">
        <f>"Начисленная неустойка (штраф, пеня)"</f>
        <v>Начисленная неустойка (штраф, пеня)</v>
      </c>
      <c r="C294" s="7" t="str">
        <f t="shared" si="48"/>
        <v>1</v>
      </c>
      <c r="D294" s="7" t="str">
        <f>"9"</f>
        <v>9</v>
      </c>
      <c r="E294" s="7" t="str">
        <f t="shared" si="49"/>
        <v>1</v>
      </c>
      <c r="F294" s="9">
        <v>821488259.92999995</v>
      </c>
    </row>
    <row r="295" spans="1:6" x14ac:dyDescent="0.25">
      <c r="A295" s="7" t="str">
        <f>"1879"</f>
        <v>1879</v>
      </c>
      <c r="B295" s="8" t="str">
        <f>"Начисленная неустойка (штраф, пеня)"</f>
        <v>Начисленная неустойка (штраф, пеня)</v>
      </c>
      <c r="C295" s="7" t="str">
        <f>"2"</f>
        <v>2</v>
      </c>
      <c r="D295" s="7" t="str">
        <f>"9"</f>
        <v>9</v>
      </c>
      <c r="E295" s="7" t="str">
        <f t="shared" si="49"/>
        <v>1</v>
      </c>
      <c r="F295" s="9">
        <v>19491.650000000001</v>
      </c>
    </row>
    <row r="296" spans="1:6" x14ac:dyDescent="0.25">
      <c r="A296" s="7" t="str">
        <f>"1892"</f>
        <v>1892</v>
      </c>
      <c r="B296" s="8" t="str">
        <f>"Требования по операциям форвард"</f>
        <v>Требования по операциям форвард</v>
      </c>
      <c r="C296" s="7" t="str">
        <f>"1"</f>
        <v>1</v>
      </c>
      <c r="D296" s="7" t="str">
        <f>"5"</f>
        <v>5</v>
      </c>
      <c r="E296" s="7" t="str">
        <f t="shared" si="49"/>
        <v>1</v>
      </c>
      <c r="F296" s="9">
        <v>2825516.91</v>
      </c>
    </row>
    <row r="297" spans="1:6" x14ac:dyDescent="0.25">
      <c r="A297" s="7" t="str">
        <f>"1892"</f>
        <v>1892</v>
      </c>
      <c r="B297" s="8" t="str">
        <f>"Требования по операциям форвард"</f>
        <v>Требования по операциям форвард</v>
      </c>
      <c r="C297" s="7" t="str">
        <f>"2"</f>
        <v>2</v>
      </c>
      <c r="D297" s="7" t="str">
        <f>"4"</f>
        <v>4</v>
      </c>
      <c r="E297" s="7" t="str">
        <f t="shared" si="49"/>
        <v>1</v>
      </c>
      <c r="F297" s="9">
        <v>177046511.59999999</v>
      </c>
    </row>
    <row r="298" spans="1:6" x14ac:dyDescent="0.25">
      <c r="A298" s="7" t="str">
        <f>"1894"</f>
        <v>1894</v>
      </c>
      <c r="B298" s="8" t="str">
        <f>"Требования по операциям спот"</f>
        <v>Требования по операциям спот</v>
      </c>
      <c r="C298" s="7" t="str">
        <f>"1"</f>
        <v>1</v>
      </c>
      <c r="D298" s="7" t="str">
        <f>"4"</f>
        <v>4</v>
      </c>
      <c r="E298" s="7" t="str">
        <f t="shared" si="49"/>
        <v>1</v>
      </c>
      <c r="F298" s="9">
        <v>7320000</v>
      </c>
    </row>
    <row r="299" spans="1:6" x14ac:dyDescent="0.25">
      <c r="A299" s="7" t="str">
        <f>"1894"</f>
        <v>1894</v>
      </c>
      <c r="B299" s="8" t="str">
        <f>"Требования по операциям спот"</f>
        <v>Требования по операциям спот</v>
      </c>
      <c r="C299" s="7" t="str">
        <f>"2"</f>
        <v>2</v>
      </c>
      <c r="D299" s="7" t="str">
        <f>"4"</f>
        <v>4</v>
      </c>
      <c r="E299" s="7" t="str">
        <f t="shared" si="49"/>
        <v>1</v>
      </c>
      <c r="F299" s="9">
        <v>144134945.75</v>
      </c>
    </row>
    <row r="300" spans="1:6" x14ac:dyDescent="0.25">
      <c r="A300" s="7" t="str">
        <f>"1894"</f>
        <v>1894</v>
      </c>
      <c r="B300" s="8" t="str">
        <f>"Требования по операциям спот"</f>
        <v>Требования по операциям спот</v>
      </c>
      <c r="C300" s="7" t="str">
        <f>"1"</f>
        <v>1</v>
      </c>
      <c r="D300" s="7" t="str">
        <f>"9"</f>
        <v>9</v>
      </c>
      <c r="E300" s="7" t="str">
        <f>"2"</f>
        <v>2</v>
      </c>
      <c r="F300" s="9">
        <v>1931936000</v>
      </c>
    </row>
    <row r="301" spans="1:6" x14ac:dyDescent="0.25">
      <c r="A301" s="7" t="str">
        <f>"1894"</f>
        <v>1894</v>
      </c>
      <c r="B301" s="8" t="str">
        <f>"Требования по операциям спот"</f>
        <v>Требования по операциям спот</v>
      </c>
      <c r="C301" s="7" t="str">
        <f>"1"</f>
        <v>1</v>
      </c>
      <c r="D301" s="7" t="str">
        <f>"5"</f>
        <v>5</v>
      </c>
      <c r="E301" s="7" t="str">
        <f>"1"</f>
        <v>1</v>
      </c>
      <c r="F301" s="9">
        <v>29095000.02</v>
      </c>
    </row>
    <row r="302" spans="1:6" x14ac:dyDescent="0.25">
      <c r="A302" s="7" t="str">
        <f>"1894"</f>
        <v>1894</v>
      </c>
      <c r="B302" s="8" t="str">
        <f>"Требования по операциям спот"</f>
        <v>Требования по операциям спот</v>
      </c>
      <c r="C302" s="7" t="str">
        <f>"2"</f>
        <v>2</v>
      </c>
      <c r="D302" s="7" t="str">
        <f>"5"</f>
        <v>5</v>
      </c>
      <c r="E302" s="7" t="str">
        <f>"1"</f>
        <v>1</v>
      </c>
      <c r="F302" s="9">
        <v>108332470.8</v>
      </c>
    </row>
    <row r="303" spans="1:6" x14ac:dyDescent="0.25">
      <c r="A303" s="7" t="str">
        <f>"1895"</f>
        <v>1895</v>
      </c>
      <c r="B303" s="8" t="str">
        <f>"Требования по операциям своп"</f>
        <v>Требования по операциям своп</v>
      </c>
      <c r="C303" s="7" t="str">
        <f>"2"</f>
        <v>2</v>
      </c>
      <c r="D303" s="7" t="str">
        <f t="shared" ref="D303:D308" si="50">"4"</f>
        <v>4</v>
      </c>
      <c r="E303" s="7" t="str">
        <f>"1"</f>
        <v>1</v>
      </c>
      <c r="F303" s="9">
        <v>21783212.120000001</v>
      </c>
    </row>
    <row r="304" spans="1:6" x14ac:dyDescent="0.25">
      <c r="A304" s="7" t="str">
        <f>"2013"</f>
        <v>2013</v>
      </c>
      <c r="B304" s="8" t="str">
        <f>"Корреспондентские счета других банков"</f>
        <v>Корреспондентские счета других банков</v>
      </c>
      <c r="C304" s="7" t="str">
        <f>"1"</f>
        <v>1</v>
      </c>
      <c r="D304" s="7" t="str">
        <f t="shared" si="50"/>
        <v>4</v>
      </c>
      <c r="E304" s="7" t="str">
        <f>"2"</f>
        <v>2</v>
      </c>
      <c r="F304" s="9">
        <v>3632700530.5300002</v>
      </c>
    </row>
    <row r="305" spans="1:6" x14ac:dyDescent="0.25">
      <c r="A305" s="7" t="str">
        <f>"2013"</f>
        <v>2013</v>
      </c>
      <c r="B305" s="8" t="str">
        <f>"Корреспондентские счета других банков"</f>
        <v>Корреспондентские счета других банков</v>
      </c>
      <c r="C305" s="7" t="str">
        <f>"1"</f>
        <v>1</v>
      </c>
      <c r="D305" s="7" t="str">
        <f t="shared" si="50"/>
        <v>4</v>
      </c>
      <c r="E305" s="7" t="str">
        <f>"3"</f>
        <v>3</v>
      </c>
      <c r="F305" s="9">
        <v>7194311439.3299999</v>
      </c>
    </row>
    <row r="306" spans="1:6" x14ac:dyDescent="0.25">
      <c r="A306" s="7" t="str">
        <f>"2013"</f>
        <v>2013</v>
      </c>
      <c r="B306" s="8" t="str">
        <f>"Корреспондентские счета других банков"</f>
        <v>Корреспондентские счета других банков</v>
      </c>
      <c r="C306" s="7" t="str">
        <f>"2"</f>
        <v>2</v>
      </c>
      <c r="D306" s="7" t="str">
        <f t="shared" si="50"/>
        <v>4</v>
      </c>
      <c r="E306" s="7" t="str">
        <f>"1"</f>
        <v>1</v>
      </c>
      <c r="F306" s="9">
        <v>323375015.08999997</v>
      </c>
    </row>
    <row r="307" spans="1:6" x14ac:dyDescent="0.25">
      <c r="A307" s="7" t="str">
        <f>"2013"</f>
        <v>2013</v>
      </c>
      <c r="B307" s="8" t="str">
        <f>"Корреспондентские счета других банков"</f>
        <v>Корреспондентские счета других банков</v>
      </c>
      <c r="C307" s="7" t="str">
        <f>"2"</f>
        <v>2</v>
      </c>
      <c r="D307" s="7" t="str">
        <f t="shared" si="50"/>
        <v>4</v>
      </c>
      <c r="E307" s="7" t="str">
        <f>"3"</f>
        <v>3</v>
      </c>
      <c r="F307" s="9">
        <v>2297447293.7600002</v>
      </c>
    </row>
    <row r="308" spans="1:6" x14ac:dyDescent="0.25">
      <c r="A308" s="7" t="str">
        <f>"2013"</f>
        <v>2013</v>
      </c>
      <c r="B308" s="8" t="str">
        <f>"Корреспондентские счета других банков"</f>
        <v>Корреспондентские счета других банков</v>
      </c>
      <c r="C308" s="7" t="str">
        <f>"2"</f>
        <v>2</v>
      </c>
      <c r="D308" s="7" t="str">
        <f t="shared" si="50"/>
        <v>4</v>
      </c>
      <c r="E308" s="7" t="str">
        <f>"2"</f>
        <v>2</v>
      </c>
      <c r="F308" s="9">
        <v>5582311360.6199999</v>
      </c>
    </row>
    <row r="309" spans="1:6" x14ac:dyDescent="0.25">
      <c r="A309" s="7" t="str">
        <f>"2014"</f>
        <v>2014</v>
      </c>
      <c r="B309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09" s="7" t="str">
        <f>"2"</f>
        <v>2</v>
      </c>
      <c r="D309" s="7" t="str">
        <f>"5"</f>
        <v>5</v>
      </c>
      <c r="E309" s="7" t="str">
        <f>"1"</f>
        <v>1</v>
      </c>
      <c r="F309" s="9">
        <v>1151790000</v>
      </c>
    </row>
    <row r="310" spans="1:6" x14ac:dyDescent="0.25">
      <c r="A310" s="7" t="str">
        <f>"2014"</f>
        <v>2014</v>
      </c>
      <c r="B310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10" s="7" t="str">
        <f>"1"</f>
        <v>1</v>
      </c>
      <c r="D310" s="7" t="str">
        <f>"6"</f>
        <v>6</v>
      </c>
      <c r="E310" s="7" t="str">
        <f>"1"</f>
        <v>1</v>
      </c>
      <c r="F310" s="9">
        <v>365378.05</v>
      </c>
    </row>
    <row r="311" spans="1:6" x14ac:dyDescent="0.25">
      <c r="A311" s="7" t="str">
        <f>"2014"</f>
        <v>2014</v>
      </c>
      <c r="B311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11" s="7" t="str">
        <f>"1"</f>
        <v>1</v>
      </c>
      <c r="D311" s="7" t="str">
        <f>"6"</f>
        <v>6</v>
      </c>
      <c r="E311" s="7" t="str">
        <f>"2"</f>
        <v>2</v>
      </c>
      <c r="F311" s="9">
        <v>148873250.55000001</v>
      </c>
    </row>
    <row r="312" spans="1:6" x14ac:dyDescent="0.25">
      <c r="A312" s="7" t="str">
        <f>"2014"</f>
        <v>2014</v>
      </c>
      <c r="B312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12" s="7" t="str">
        <f>"2"</f>
        <v>2</v>
      </c>
      <c r="D312" s="7" t="str">
        <f>"5"</f>
        <v>5</v>
      </c>
      <c r="E312" s="7" t="str">
        <f>"2"</f>
        <v>2</v>
      </c>
      <c r="F312" s="9">
        <v>50183543.299999997</v>
      </c>
    </row>
    <row r="313" spans="1:6" x14ac:dyDescent="0.25">
      <c r="A313" s="7" t="str">
        <f>"2014"</f>
        <v>2014</v>
      </c>
      <c r="B313" s="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13" s="7" t="str">
        <f t="shared" ref="C313:C326" si="51">"1"</f>
        <v>1</v>
      </c>
      <c r="D313" s="7" t="str">
        <f>"6"</f>
        <v>6</v>
      </c>
      <c r="E313" s="7" t="str">
        <f>"3"</f>
        <v>3</v>
      </c>
      <c r="F313" s="9">
        <v>193827691.28999999</v>
      </c>
    </row>
    <row r="314" spans="1:6" x14ac:dyDescent="0.25">
      <c r="A314" s="7" t="str">
        <f>"2036"</f>
        <v>2036</v>
      </c>
      <c r="B314" s="8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C314" s="7" t="str">
        <f t="shared" si="51"/>
        <v>1</v>
      </c>
      <c r="D314" s="7" t="str">
        <f>"5"</f>
        <v>5</v>
      </c>
      <c r="E314" s="7" t="str">
        <f>"1"</f>
        <v>1</v>
      </c>
      <c r="F314" s="9">
        <v>20426270245.48</v>
      </c>
    </row>
    <row r="315" spans="1:6" x14ac:dyDescent="0.25">
      <c r="A315" s="7" t="str">
        <f>"2056"</f>
        <v>2056</v>
      </c>
      <c r="B315" s="8" t="str">
        <f>"Долгосрочные займы, полученные от других банков"</f>
        <v>Долгосрочные займы, полученные от других банков</v>
      </c>
      <c r="C315" s="7" t="str">
        <f t="shared" si="51"/>
        <v>1</v>
      </c>
      <c r="D315" s="7" t="str">
        <f>"4"</f>
        <v>4</v>
      </c>
      <c r="E315" s="7" t="str">
        <f>"1"</f>
        <v>1</v>
      </c>
      <c r="F315" s="9">
        <v>25848657735.099998</v>
      </c>
    </row>
    <row r="316" spans="1:6" x14ac:dyDescent="0.25">
      <c r="A316" s="7" t="str">
        <f>"2066"</f>
        <v>2066</v>
      </c>
      <c r="B316" s="8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C316" s="7" t="str">
        <f t="shared" si="51"/>
        <v>1</v>
      </c>
      <c r="D316" s="7" t="str">
        <f>"5"</f>
        <v>5</v>
      </c>
      <c r="E316" s="7" t="str">
        <f>"1"</f>
        <v>1</v>
      </c>
      <c r="F316" s="9">
        <v>20781898620.619999</v>
      </c>
    </row>
    <row r="317" spans="1:6" x14ac:dyDescent="0.25">
      <c r="A317" s="7" t="str">
        <f>"2130"</f>
        <v>2130</v>
      </c>
      <c r="B317" s="8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C317" s="7" t="str">
        <f t="shared" si="51"/>
        <v>1</v>
      </c>
      <c r="D317" s="7" t="str">
        <f>"4"</f>
        <v>4</v>
      </c>
      <c r="E317" s="7" t="str">
        <f>"2"</f>
        <v>2</v>
      </c>
      <c r="F317" s="9">
        <v>823590000</v>
      </c>
    </row>
    <row r="318" spans="1:6" x14ac:dyDescent="0.25">
      <c r="A318" s="7" t="str">
        <f>"2202"</f>
        <v>2202</v>
      </c>
      <c r="B318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C318" s="7" t="str">
        <f t="shared" si="51"/>
        <v>1</v>
      </c>
      <c r="D318" s="7" t="str">
        <f>"5"</f>
        <v>5</v>
      </c>
      <c r="E318" s="7" t="str">
        <f>"2"</f>
        <v>2</v>
      </c>
      <c r="F318" s="9">
        <v>3343335564.71</v>
      </c>
    </row>
    <row r="319" spans="1:6" x14ac:dyDescent="0.25">
      <c r="A319" s="7" t="str">
        <f>"2202"</f>
        <v>2202</v>
      </c>
      <c r="B319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C319" s="7" t="str">
        <f t="shared" si="51"/>
        <v>1</v>
      </c>
      <c r="D319" s="7" t="str">
        <f>"9"</f>
        <v>9</v>
      </c>
      <c r="E319" s="7" t="str">
        <f>"2"</f>
        <v>2</v>
      </c>
      <c r="F319" s="9">
        <v>312195.52</v>
      </c>
    </row>
    <row r="320" spans="1:6" x14ac:dyDescent="0.25">
      <c r="A320" s="7" t="str">
        <f>"2202"</f>
        <v>2202</v>
      </c>
      <c r="B320" s="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C320" s="7" t="str">
        <f t="shared" si="51"/>
        <v>1</v>
      </c>
      <c r="D320" s="7" t="str">
        <f>"5"</f>
        <v>5</v>
      </c>
      <c r="E320" s="7" t="str">
        <f t="shared" ref="E320:E325" si="52">"1"</f>
        <v>1</v>
      </c>
      <c r="F320" s="9">
        <v>414590438.43000001</v>
      </c>
    </row>
    <row r="321" spans="1:6" x14ac:dyDescent="0.25">
      <c r="A321" s="7" t="str">
        <f t="shared" ref="A321:A344" si="53">"2203"</f>
        <v>2203</v>
      </c>
      <c r="B321" s="8" t="str">
        <f t="shared" ref="B321:B344" si="54">"Текущие счета юридических лиц"</f>
        <v>Текущие счета юридических лиц</v>
      </c>
      <c r="C321" s="7" t="str">
        <f t="shared" si="51"/>
        <v>1</v>
      </c>
      <c r="D321" s="7" t="str">
        <f>"1"</f>
        <v>1</v>
      </c>
      <c r="E321" s="7" t="str">
        <f t="shared" si="52"/>
        <v>1</v>
      </c>
      <c r="F321" s="9">
        <v>28445088.120000001</v>
      </c>
    </row>
    <row r="322" spans="1:6" x14ac:dyDescent="0.25">
      <c r="A322" s="7" t="str">
        <f t="shared" si="53"/>
        <v>2203</v>
      </c>
      <c r="B322" s="8" t="str">
        <f t="shared" si="54"/>
        <v>Текущие счета юридических лиц</v>
      </c>
      <c r="C322" s="7" t="str">
        <f t="shared" si="51"/>
        <v>1</v>
      </c>
      <c r="D322" s="7" t="str">
        <f>"5"</f>
        <v>5</v>
      </c>
      <c r="E322" s="7" t="str">
        <f t="shared" si="52"/>
        <v>1</v>
      </c>
      <c r="F322" s="9">
        <v>705267294.32000005</v>
      </c>
    </row>
    <row r="323" spans="1:6" x14ac:dyDescent="0.25">
      <c r="A323" s="7" t="str">
        <f t="shared" si="53"/>
        <v>2203</v>
      </c>
      <c r="B323" s="8" t="str">
        <f t="shared" si="54"/>
        <v>Текущие счета юридических лиц</v>
      </c>
      <c r="C323" s="7" t="str">
        <f t="shared" si="51"/>
        <v>1</v>
      </c>
      <c r="D323" s="7" t="str">
        <f>"6"</f>
        <v>6</v>
      </c>
      <c r="E323" s="7" t="str">
        <f t="shared" si="52"/>
        <v>1</v>
      </c>
      <c r="F323" s="9">
        <v>17165572844.120001</v>
      </c>
    </row>
    <row r="324" spans="1:6" x14ac:dyDescent="0.25">
      <c r="A324" s="7" t="str">
        <f t="shared" si="53"/>
        <v>2203</v>
      </c>
      <c r="B324" s="8" t="str">
        <f t="shared" si="54"/>
        <v>Текущие счета юридических лиц</v>
      </c>
      <c r="C324" s="7" t="str">
        <f t="shared" si="51"/>
        <v>1</v>
      </c>
      <c r="D324" s="7" t="str">
        <f>"8"</f>
        <v>8</v>
      </c>
      <c r="E324" s="7" t="str">
        <f t="shared" si="52"/>
        <v>1</v>
      </c>
      <c r="F324" s="9">
        <v>1386928622.46</v>
      </c>
    </row>
    <row r="325" spans="1:6" x14ac:dyDescent="0.25">
      <c r="A325" s="7" t="str">
        <f t="shared" si="53"/>
        <v>2203</v>
      </c>
      <c r="B325" s="8" t="str">
        <f t="shared" si="54"/>
        <v>Текущие счета юридических лиц</v>
      </c>
      <c r="C325" s="7" t="str">
        <f t="shared" si="51"/>
        <v>1</v>
      </c>
      <c r="D325" s="7" t="str">
        <f>"7"</f>
        <v>7</v>
      </c>
      <c r="E325" s="7" t="str">
        <f t="shared" si="52"/>
        <v>1</v>
      </c>
      <c r="F325" s="9">
        <v>55127669552.080002</v>
      </c>
    </row>
    <row r="326" spans="1:6" x14ac:dyDescent="0.25">
      <c r="A326" s="7" t="str">
        <f t="shared" si="53"/>
        <v>2203</v>
      </c>
      <c r="B326" s="8" t="str">
        <f t="shared" si="54"/>
        <v>Текущие счета юридических лиц</v>
      </c>
      <c r="C326" s="7" t="str">
        <f t="shared" si="51"/>
        <v>1</v>
      </c>
      <c r="D326" s="7" t="str">
        <f>"7"</f>
        <v>7</v>
      </c>
      <c r="E326" s="7" t="str">
        <f>"2"</f>
        <v>2</v>
      </c>
      <c r="F326" s="9">
        <v>13571143285.01</v>
      </c>
    </row>
    <row r="327" spans="1:6" x14ac:dyDescent="0.25">
      <c r="A327" s="7" t="str">
        <f t="shared" si="53"/>
        <v>2203</v>
      </c>
      <c r="B327" s="8" t="str">
        <f t="shared" si="54"/>
        <v>Текущие счета юридических лиц</v>
      </c>
      <c r="C327" s="7" t="str">
        <f>"2"</f>
        <v>2</v>
      </c>
      <c r="D327" s="7" t="str">
        <f>"1"</f>
        <v>1</v>
      </c>
      <c r="E327" s="7" t="str">
        <f>"1"</f>
        <v>1</v>
      </c>
      <c r="F327" s="9">
        <v>13500105.689999999</v>
      </c>
    </row>
    <row r="328" spans="1:6" x14ac:dyDescent="0.25">
      <c r="A328" s="7" t="str">
        <f t="shared" si="53"/>
        <v>2203</v>
      </c>
      <c r="B328" s="8" t="str">
        <f t="shared" si="54"/>
        <v>Текущие счета юридических лиц</v>
      </c>
      <c r="C328" s="7" t="str">
        <f>"1"</f>
        <v>1</v>
      </c>
      <c r="D328" s="7" t="str">
        <f>"6"</f>
        <v>6</v>
      </c>
      <c r="E328" s="7" t="str">
        <f>"2"</f>
        <v>2</v>
      </c>
      <c r="F328" s="9">
        <v>1229729010.1300001</v>
      </c>
    </row>
    <row r="329" spans="1:6" x14ac:dyDescent="0.25">
      <c r="A329" s="7" t="str">
        <f t="shared" si="53"/>
        <v>2203</v>
      </c>
      <c r="B329" s="8" t="str">
        <f t="shared" si="54"/>
        <v>Текущие счета юридических лиц</v>
      </c>
      <c r="C329" s="7" t="str">
        <f>"1"</f>
        <v>1</v>
      </c>
      <c r="D329" s="7" t="str">
        <f>"7"</f>
        <v>7</v>
      </c>
      <c r="E329" s="7" t="str">
        <f>"3"</f>
        <v>3</v>
      </c>
      <c r="F329" s="9">
        <v>4313561271.5</v>
      </c>
    </row>
    <row r="330" spans="1:6" x14ac:dyDescent="0.25">
      <c r="A330" s="7" t="str">
        <f t="shared" si="53"/>
        <v>2203</v>
      </c>
      <c r="B330" s="8" t="str">
        <f t="shared" si="54"/>
        <v>Текущие счета юридических лиц</v>
      </c>
      <c r="C330" s="7" t="str">
        <f>"2"</f>
        <v>2</v>
      </c>
      <c r="D330" s="7" t="str">
        <f>"1"</f>
        <v>1</v>
      </c>
      <c r="E330" s="7" t="str">
        <f>"2"</f>
        <v>2</v>
      </c>
      <c r="F330" s="9">
        <v>8563299.6699999999</v>
      </c>
    </row>
    <row r="331" spans="1:6" x14ac:dyDescent="0.25">
      <c r="A331" s="7" t="str">
        <f t="shared" si="53"/>
        <v>2203</v>
      </c>
      <c r="B331" s="8" t="str">
        <f t="shared" si="54"/>
        <v>Текущие счета юридических лиц</v>
      </c>
      <c r="C331" s="7" t="str">
        <f>"1"</f>
        <v>1</v>
      </c>
      <c r="D331" s="7" t="str">
        <f>"5"</f>
        <v>5</v>
      </c>
      <c r="E331" s="7" t="str">
        <f>"3"</f>
        <v>3</v>
      </c>
      <c r="F331" s="9">
        <v>1574.36</v>
      </c>
    </row>
    <row r="332" spans="1:6" x14ac:dyDescent="0.25">
      <c r="A332" s="7" t="str">
        <f t="shared" si="53"/>
        <v>2203</v>
      </c>
      <c r="B332" s="8" t="str">
        <f t="shared" si="54"/>
        <v>Текущие счета юридических лиц</v>
      </c>
      <c r="C332" s="7" t="str">
        <f>"2"</f>
        <v>2</v>
      </c>
      <c r="D332" s="7" t="str">
        <f>"5"</f>
        <v>5</v>
      </c>
      <c r="E332" s="7" t="str">
        <f>"3"</f>
        <v>3</v>
      </c>
      <c r="F332" s="9">
        <v>1288562.17</v>
      </c>
    </row>
    <row r="333" spans="1:6" x14ac:dyDescent="0.25">
      <c r="A333" s="7" t="str">
        <f t="shared" si="53"/>
        <v>2203</v>
      </c>
      <c r="B333" s="8" t="str">
        <f t="shared" si="54"/>
        <v>Текущие счета юридических лиц</v>
      </c>
      <c r="C333" s="7" t="str">
        <f>"2"</f>
        <v>2</v>
      </c>
      <c r="D333" s="7" t="str">
        <f>"5"</f>
        <v>5</v>
      </c>
      <c r="E333" s="7" t="str">
        <f>"1"</f>
        <v>1</v>
      </c>
      <c r="F333" s="9">
        <v>32529814.809999999</v>
      </c>
    </row>
    <row r="334" spans="1:6" x14ac:dyDescent="0.25">
      <c r="A334" s="7" t="str">
        <f t="shared" si="53"/>
        <v>2203</v>
      </c>
      <c r="B334" s="8" t="str">
        <f t="shared" si="54"/>
        <v>Текущие счета юридических лиц</v>
      </c>
      <c r="C334" s="7" t="str">
        <f>"2"</f>
        <v>2</v>
      </c>
      <c r="D334" s="7" t="str">
        <f>"7"</f>
        <v>7</v>
      </c>
      <c r="E334" s="7" t="str">
        <f>"3"</f>
        <v>3</v>
      </c>
      <c r="F334" s="9">
        <v>5785565973</v>
      </c>
    </row>
    <row r="335" spans="1:6" x14ac:dyDescent="0.25">
      <c r="A335" s="7" t="str">
        <f t="shared" si="53"/>
        <v>2203</v>
      </c>
      <c r="B335" s="8" t="str">
        <f t="shared" si="54"/>
        <v>Текущие счета юридических лиц</v>
      </c>
      <c r="C335" s="7" t="str">
        <f>"2"</f>
        <v>2</v>
      </c>
      <c r="D335" s="7" t="str">
        <f>"7"</f>
        <v>7</v>
      </c>
      <c r="E335" s="7" t="str">
        <f>"1"</f>
        <v>1</v>
      </c>
      <c r="F335" s="9">
        <v>1028414686.21</v>
      </c>
    </row>
    <row r="336" spans="1:6" x14ac:dyDescent="0.25">
      <c r="A336" s="7" t="str">
        <f t="shared" si="53"/>
        <v>2203</v>
      </c>
      <c r="B336" s="8" t="str">
        <f t="shared" si="54"/>
        <v>Текущие счета юридических лиц</v>
      </c>
      <c r="C336" s="7" t="str">
        <f>"2"</f>
        <v>2</v>
      </c>
      <c r="D336" s="7" t="str">
        <f>"7"</f>
        <v>7</v>
      </c>
      <c r="E336" s="7" t="str">
        <f>"2"</f>
        <v>2</v>
      </c>
      <c r="F336" s="9">
        <v>89523230172.970001</v>
      </c>
    </row>
    <row r="337" spans="1:6" x14ac:dyDescent="0.25">
      <c r="A337" s="7" t="str">
        <f t="shared" si="53"/>
        <v>2203</v>
      </c>
      <c r="B337" s="8" t="str">
        <f t="shared" si="54"/>
        <v>Текущие счета юридических лиц</v>
      </c>
      <c r="C337" s="7" t="str">
        <f>"1"</f>
        <v>1</v>
      </c>
      <c r="D337" s="7" t="str">
        <f>"2"</f>
        <v>2</v>
      </c>
      <c r="E337" s="7" t="str">
        <f>"1"</f>
        <v>1</v>
      </c>
      <c r="F337" s="9">
        <v>14618231.67</v>
      </c>
    </row>
    <row r="338" spans="1:6" x14ac:dyDescent="0.25">
      <c r="A338" s="7" t="str">
        <f t="shared" si="53"/>
        <v>2203</v>
      </c>
      <c r="B338" s="8" t="str">
        <f t="shared" si="54"/>
        <v>Текущие счета юридических лиц</v>
      </c>
      <c r="C338" s="7" t="str">
        <f>"1"</f>
        <v>1</v>
      </c>
      <c r="D338" s="7" t="str">
        <f>"8"</f>
        <v>8</v>
      </c>
      <c r="E338" s="7" t="str">
        <f>"3"</f>
        <v>3</v>
      </c>
      <c r="F338" s="9">
        <v>2135788.7400000002</v>
      </c>
    </row>
    <row r="339" spans="1:6" x14ac:dyDescent="0.25">
      <c r="A339" s="7" t="str">
        <f t="shared" si="53"/>
        <v>2203</v>
      </c>
      <c r="B339" s="8" t="str">
        <f t="shared" si="54"/>
        <v>Текущие счета юридических лиц</v>
      </c>
      <c r="C339" s="7" t="str">
        <f>"2"</f>
        <v>2</v>
      </c>
      <c r="D339" s="7" t="str">
        <f>"8"</f>
        <v>8</v>
      </c>
      <c r="E339" s="7" t="str">
        <f>"1"</f>
        <v>1</v>
      </c>
      <c r="F339" s="9">
        <v>3634664.83</v>
      </c>
    </row>
    <row r="340" spans="1:6" x14ac:dyDescent="0.25">
      <c r="A340" s="7" t="str">
        <f t="shared" si="53"/>
        <v>2203</v>
      </c>
      <c r="B340" s="8" t="str">
        <f t="shared" si="54"/>
        <v>Текущие счета юридических лиц</v>
      </c>
      <c r="C340" s="7" t="str">
        <f>"1"</f>
        <v>1</v>
      </c>
      <c r="D340" s="7" t="str">
        <f>"6"</f>
        <v>6</v>
      </c>
      <c r="E340" s="7" t="str">
        <f>"3"</f>
        <v>3</v>
      </c>
      <c r="F340" s="9">
        <v>23037017.59</v>
      </c>
    </row>
    <row r="341" spans="1:6" x14ac:dyDescent="0.25">
      <c r="A341" s="7" t="str">
        <f t="shared" si="53"/>
        <v>2203</v>
      </c>
      <c r="B341" s="8" t="str">
        <f t="shared" si="54"/>
        <v>Текущие счета юридических лиц</v>
      </c>
      <c r="C341" s="7" t="str">
        <f>"1"</f>
        <v>1</v>
      </c>
      <c r="D341" s="7" t="str">
        <f>"5"</f>
        <v>5</v>
      </c>
      <c r="E341" s="7" t="str">
        <f>"2"</f>
        <v>2</v>
      </c>
      <c r="F341" s="9">
        <v>3490685736.6399999</v>
      </c>
    </row>
    <row r="342" spans="1:6" x14ac:dyDescent="0.25">
      <c r="A342" s="7" t="str">
        <f t="shared" si="53"/>
        <v>2203</v>
      </c>
      <c r="B342" s="8" t="str">
        <f t="shared" si="54"/>
        <v>Текущие счета юридических лиц</v>
      </c>
      <c r="C342" s="7" t="str">
        <f>"1"</f>
        <v>1</v>
      </c>
      <c r="D342" s="7" t="str">
        <f>"8"</f>
        <v>8</v>
      </c>
      <c r="E342" s="7" t="str">
        <f>"2"</f>
        <v>2</v>
      </c>
      <c r="F342" s="9">
        <v>696528955.65999997</v>
      </c>
    </row>
    <row r="343" spans="1:6" x14ac:dyDescent="0.25">
      <c r="A343" s="7" t="str">
        <f t="shared" si="53"/>
        <v>2203</v>
      </c>
      <c r="B343" s="8" t="str">
        <f t="shared" si="54"/>
        <v>Текущие счета юридических лиц</v>
      </c>
      <c r="C343" s="7" t="str">
        <f>"2"</f>
        <v>2</v>
      </c>
      <c r="D343" s="7" t="str">
        <f>"5"</f>
        <v>5</v>
      </c>
      <c r="E343" s="7" t="str">
        <f>"2"</f>
        <v>2</v>
      </c>
      <c r="F343" s="9">
        <v>13959482247.82</v>
      </c>
    </row>
    <row r="344" spans="1:6" x14ac:dyDescent="0.25">
      <c r="A344" s="7" t="str">
        <f t="shared" si="53"/>
        <v>2203</v>
      </c>
      <c r="B344" s="8" t="str">
        <f t="shared" si="54"/>
        <v>Текущие счета юридических лиц</v>
      </c>
      <c r="C344" s="7" t="str">
        <f>"2"</f>
        <v>2</v>
      </c>
      <c r="D344" s="7" t="str">
        <f>"8"</f>
        <v>8</v>
      </c>
      <c r="E344" s="7" t="str">
        <f>"2"</f>
        <v>2</v>
      </c>
      <c r="F344" s="9">
        <v>1504424.4</v>
      </c>
    </row>
    <row r="345" spans="1:6" x14ac:dyDescent="0.25">
      <c r="A345" s="7" t="str">
        <f t="shared" ref="A345:A350" si="55">"2204"</f>
        <v>2204</v>
      </c>
      <c r="B345" s="8" t="str">
        <f t="shared" ref="B345:B350" si="56">"Текущие счета физических лиц"</f>
        <v>Текущие счета физических лиц</v>
      </c>
      <c r="C345" s="7" t="str">
        <f>"2"</f>
        <v>2</v>
      </c>
      <c r="D345" s="7" t="str">
        <f t="shared" ref="D345:D370" si="57">"9"</f>
        <v>9</v>
      </c>
      <c r="E345" s="7" t="str">
        <f>"2"</f>
        <v>2</v>
      </c>
      <c r="F345" s="9">
        <v>140097287082.42999</v>
      </c>
    </row>
    <row r="346" spans="1:6" x14ac:dyDescent="0.25">
      <c r="A346" s="7" t="str">
        <f t="shared" si="55"/>
        <v>2204</v>
      </c>
      <c r="B346" s="8" t="str">
        <f t="shared" si="56"/>
        <v>Текущие счета физических лиц</v>
      </c>
      <c r="C346" s="7" t="str">
        <f>"2"</f>
        <v>2</v>
      </c>
      <c r="D346" s="7" t="str">
        <f t="shared" si="57"/>
        <v>9</v>
      </c>
      <c r="E346" s="7" t="str">
        <f>"1"</f>
        <v>1</v>
      </c>
      <c r="F346" s="9">
        <v>2795744477.1599998</v>
      </c>
    </row>
    <row r="347" spans="1:6" x14ac:dyDescent="0.25">
      <c r="A347" s="7" t="str">
        <f t="shared" si="55"/>
        <v>2204</v>
      </c>
      <c r="B347" s="8" t="str">
        <f t="shared" si="56"/>
        <v>Текущие счета физических лиц</v>
      </c>
      <c r="C347" s="7" t="str">
        <f>"1"</f>
        <v>1</v>
      </c>
      <c r="D347" s="7" t="str">
        <f t="shared" si="57"/>
        <v>9</v>
      </c>
      <c r="E347" s="7" t="str">
        <f>"2"</f>
        <v>2</v>
      </c>
      <c r="F347" s="9">
        <v>12105215254.49</v>
      </c>
    </row>
    <row r="348" spans="1:6" x14ac:dyDescent="0.25">
      <c r="A348" s="7" t="str">
        <f t="shared" si="55"/>
        <v>2204</v>
      </c>
      <c r="B348" s="8" t="str">
        <f t="shared" si="56"/>
        <v>Текущие счета физических лиц</v>
      </c>
      <c r="C348" s="7" t="str">
        <f>"1"</f>
        <v>1</v>
      </c>
      <c r="D348" s="7" t="str">
        <f t="shared" si="57"/>
        <v>9</v>
      </c>
      <c r="E348" s="7" t="str">
        <f>"3"</f>
        <v>3</v>
      </c>
      <c r="F348" s="9">
        <v>1355594514.03</v>
      </c>
    </row>
    <row r="349" spans="1:6" x14ac:dyDescent="0.25">
      <c r="A349" s="7" t="str">
        <f t="shared" si="55"/>
        <v>2204</v>
      </c>
      <c r="B349" s="8" t="str">
        <f t="shared" si="56"/>
        <v>Текущие счета физических лиц</v>
      </c>
      <c r="C349" s="7" t="str">
        <f>"1"</f>
        <v>1</v>
      </c>
      <c r="D349" s="7" t="str">
        <f t="shared" si="57"/>
        <v>9</v>
      </c>
      <c r="E349" s="7" t="str">
        <f>"1"</f>
        <v>1</v>
      </c>
      <c r="F349" s="9">
        <v>50427975972.5</v>
      </c>
    </row>
    <row r="350" spans="1:6" x14ac:dyDescent="0.25">
      <c r="A350" s="7" t="str">
        <f t="shared" si="55"/>
        <v>2204</v>
      </c>
      <c r="B350" s="8" t="str">
        <f t="shared" si="56"/>
        <v>Текущие счета физических лиц</v>
      </c>
      <c r="C350" s="7" t="str">
        <f>"2"</f>
        <v>2</v>
      </c>
      <c r="D350" s="7" t="str">
        <f t="shared" si="57"/>
        <v>9</v>
      </c>
      <c r="E350" s="7" t="str">
        <f>"3"</f>
        <v>3</v>
      </c>
      <c r="F350" s="9">
        <v>6124798811.2700005</v>
      </c>
    </row>
    <row r="351" spans="1:6" x14ac:dyDescent="0.25">
      <c r="A351" s="7" t="str">
        <f t="shared" ref="A351:A356" si="58">"2205"</f>
        <v>2205</v>
      </c>
      <c r="B351" s="8" t="str">
        <f t="shared" ref="B351:B356" si="59">"Вклады до востребования физических лиц"</f>
        <v>Вклады до востребования физических лиц</v>
      </c>
      <c r="C351" s="7" t="str">
        <f>"1"</f>
        <v>1</v>
      </c>
      <c r="D351" s="7" t="str">
        <f t="shared" si="57"/>
        <v>9</v>
      </c>
      <c r="E351" s="7" t="str">
        <f>"2"</f>
        <v>2</v>
      </c>
      <c r="F351" s="9">
        <v>9400727590.9500008</v>
      </c>
    </row>
    <row r="352" spans="1:6" x14ac:dyDescent="0.25">
      <c r="A352" s="7" t="str">
        <f t="shared" si="58"/>
        <v>2205</v>
      </c>
      <c r="B352" s="8" t="str">
        <f t="shared" si="59"/>
        <v>Вклады до востребования физических лиц</v>
      </c>
      <c r="C352" s="7" t="str">
        <f>"1"</f>
        <v>1</v>
      </c>
      <c r="D352" s="7" t="str">
        <f t="shared" si="57"/>
        <v>9</v>
      </c>
      <c r="E352" s="7" t="str">
        <f>"3"</f>
        <v>3</v>
      </c>
      <c r="F352" s="9">
        <v>5624.11</v>
      </c>
    </row>
    <row r="353" spans="1:6" x14ac:dyDescent="0.25">
      <c r="A353" s="7" t="str">
        <f t="shared" si="58"/>
        <v>2205</v>
      </c>
      <c r="B353" s="8" t="str">
        <f t="shared" si="59"/>
        <v>Вклады до востребования физических лиц</v>
      </c>
      <c r="C353" s="7" t="str">
        <f>"2"</f>
        <v>2</v>
      </c>
      <c r="D353" s="7" t="str">
        <f t="shared" si="57"/>
        <v>9</v>
      </c>
      <c r="E353" s="7" t="str">
        <f>"2"</f>
        <v>2</v>
      </c>
      <c r="F353" s="9">
        <v>28134680460.529999</v>
      </c>
    </row>
    <row r="354" spans="1:6" x14ac:dyDescent="0.25">
      <c r="A354" s="7" t="str">
        <f t="shared" si="58"/>
        <v>2205</v>
      </c>
      <c r="B354" s="8" t="str">
        <f t="shared" si="59"/>
        <v>Вклады до востребования физических лиц</v>
      </c>
      <c r="C354" s="7" t="str">
        <f>"1"</f>
        <v>1</v>
      </c>
      <c r="D354" s="7" t="str">
        <f t="shared" si="57"/>
        <v>9</v>
      </c>
      <c r="E354" s="7" t="str">
        <f>"1"</f>
        <v>1</v>
      </c>
      <c r="F354" s="9">
        <v>6938236.1100000003</v>
      </c>
    </row>
    <row r="355" spans="1:6" x14ac:dyDescent="0.25">
      <c r="A355" s="7" t="str">
        <f t="shared" si="58"/>
        <v>2205</v>
      </c>
      <c r="B355" s="8" t="str">
        <f t="shared" si="59"/>
        <v>Вклады до востребования физических лиц</v>
      </c>
      <c r="C355" s="7" t="str">
        <f>"2"</f>
        <v>2</v>
      </c>
      <c r="D355" s="7" t="str">
        <f t="shared" si="57"/>
        <v>9</v>
      </c>
      <c r="E355" s="7" t="str">
        <f>"1"</f>
        <v>1</v>
      </c>
      <c r="F355" s="9">
        <v>4649720.75</v>
      </c>
    </row>
    <row r="356" spans="1:6" x14ac:dyDescent="0.25">
      <c r="A356" s="7" t="str">
        <f t="shared" si="58"/>
        <v>2205</v>
      </c>
      <c r="B356" s="8" t="str">
        <f t="shared" si="59"/>
        <v>Вклады до востребования физических лиц</v>
      </c>
      <c r="C356" s="7" t="str">
        <f>"2"</f>
        <v>2</v>
      </c>
      <c r="D356" s="7" t="str">
        <f t="shared" si="57"/>
        <v>9</v>
      </c>
      <c r="E356" s="7" t="str">
        <f>"3"</f>
        <v>3</v>
      </c>
      <c r="F356" s="9">
        <v>499.37</v>
      </c>
    </row>
    <row r="357" spans="1:6" x14ac:dyDescent="0.25">
      <c r="A357" s="7" t="str">
        <f t="shared" ref="A357:A362" si="60">"2206"</f>
        <v>2206</v>
      </c>
      <c r="B357" s="8" t="str">
        <f t="shared" ref="B357:B362" si="61">"Краткосрочные вклады физических лиц"</f>
        <v>Краткосрочные вклады физических лиц</v>
      </c>
      <c r="C357" s="7" t="str">
        <f>"2"</f>
        <v>2</v>
      </c>
      <c r="D357" s="7" t="str">
        <f t="shared" si="57"/>
        <v>9</v>
      </c>
      <c r="E357" s="7" t="str">
        <f>"1"</f>
        <v>1</v>
      </c>
      <c r="F357" s="9">
        <v>1114685171.1199999</v>
      </c>
    </row>
    <row r="358" spans="1:6" x14ac:dyDescent="0.25">
      <c r="A358" s="7" t="str">
        <f t="shared" si="60"/>
        <v>2206</v>
      </c>
      <c r="B358" s="8" t="str">
        <f t="shared" si="61"/>
        <v>Краткосрочные вклады физических лиц</v>
      </c>
      <c r="C358" s="7" t="str">
        <f>"1"</f>
        <v>1</v>
      </c>
      <c r="D358" s="7" t="str">
        <f t="shared" si="57"/>
        <v>9</v>
      </c>
      <c r="E358" s="7" t="str">
        <f>"1"</f>
        <v>1</v>
      </c>
      <c r="F358" s="9">
        <v>41674730628.68</v>
      </c>
    </row>
    <row r="359" spans="1:6" x14ac:dyDescent="0.25">
      <c r="A359" s="7" t="str">
        <f t="shared" si="60"/>
        <v>2206</v>
      </c>
      <c r="B359" s="8" t="str">
        <f t="shared" si="61"/>
        <v>Краткосрочные вклады физических лиц</v>
      </c>
      <c r="C359" s="7" t="str">
        <f>"1"</f>
        <v>1</v>
      </c>
      <c r="D359" s="7" t="str">
        <f t="shared" si="57"/>
        <v>9</v>
      </c>
      <c r="E359" s="7" t="str">
        <f>"2"</f>
        <v>2</v>
      </c>
      <c r="F359" s="9">
        <v>20859681279.669998</v>
      </c>
    </row>
    <row r="360" spans="1:6" x14ac:dyDescent="0.25">
      <c r="A360" s="7" t="str">
        <f t="shared" si="60"/>
        <v>2206</v>
      </c>
      <c r="B360" s="8" t="str">
        <f t="shared" si="61"/>
        <v>Краткосрочные вклады физических лиц</v>
      </c>
      <c r="C360" s="7" t="str">
        <f>"1"</f>
        <v>1</v>
      </c>
      <c r="D360" s="7" t="str">
        <f t="shared" si="57"/>
        <v>9</v>
      </c>
      <c r="E360" s="7" t="str">
        <f>"3"</f>
        <v>3</v>
      </c>
      <c r="F360" s="9">
        <v>559216923.84000003</v>
      </c>
    </row>
    <row r="361" spans="1:6" x14ac:dyDescent="0.25">
      <c r="A361" s="7" t="str">
        <f t="shared" si="60"/>
        <v>2206</v>
      </c>
      <c r="B361" s="8" t="str">
        <f t="shared" si="61"/>
        <v>Краткосрочные вклады физических лиц</v>
      </c>
      <c r="C361" s="7" t="str">
        <f>"2"</f>
        <v>2</v>
      </c>
      <c r="D361" s="7" t="str">
        <f t="shared" si="57"/>
        <v>9</v>
      </c>
      <c r="E361" s="7" t="str">
        <f>"3"</f>
        <v>3</v>
      </c>
      <c r="F361" s="9">
        <v>19392756.239999998</v>
      </c>
    </row>
    <row r="362" spans="1:6" x14ac:dyDescent="0.25">
      <c r="A362" s="7" t="str">
        <f t="shared" si="60"/>
        <v>2206</v>
      </c>
      <c r="B362" s="8" t="str">
        <f t="shared" si="61"/>
        <v>Краткосрочные вклады физических лиц</v>
      </c>
      <c r="C362" s="7" t="str">
        <f>"2"</f>
        <v>2</v>
      </c>
      <c r="D362" s="7" t="str">
        <f t="shared" si="57"/>
        <v>9</v>
      </c>
      <c r="E362" s="7" t="str">
        <f>"2"</f>
        <v>2</v>
      </c>
      <c r="F362" s="9">
        <v>3851138585.6199999</v>
      </c>
    </row>
    <row r="363" spans="1:6" x14ac:dyDescent="0.25">
      <c r="A363" s="7" t="str">
        <f t="shared" ref="A363:A368" si="62">"2207"</f>
        <v>2207</v>
      </c>
      <c r="B363" s="8" t="str">
        <f t="shared" ref="B363:B368" si="63">"Долгосрочные вклады физических лиц"</f>
        <v>Долгосрочные вклады физических лиц</v>
      </c>
      <c r="C363" s="7" t="str">
        <f>"1"</f>
        <v>1</v>
      </c>
      <c r="D363" s="7" t="str">
        <f t="shared" si="57"/>
        <v>9</v>
      </c>
      <c r="E363" s="7" t="str">
        <f>"2"</f>
        <v>2</v>
      </c>
      <c r="F363" s="9">
        <v>67146738016.419998</v>
      </c>
    </row>
    <row r="364" spans="1:6" x14ac:dyDescent="0.25">
      <c r="A364" s="7" t="str">
        <f t="shared" si="62"/>
        <v>2207</v>
      </c>
      <c r="B364" s="8" t="str">
        <f t="shared" si="63"/>
        <v>Долгосрочные вклады физических лиц</v>
      </c>
      <c r="C364" s="7" t="str">
        <f>"1"</f>
        <v>1</v>
      </c>
      <c r="D364" s="7" t="str">
        <f t="shared" si="57"/>
        <v>9</v>
      </c>
      <c r="E364" s="7" t="str">
        <f>"3"</f>
        <v>3</v>
      </c>
      <c r="F364" s="9">
        <v>274962443.44</v>
      </c>
    </row>
    <row r="365" spans="1:6" x14ac:dyDescent="0.25">
      <c r="A365" s="7" t="str">
        <f t="shared" si="62"/>
        <v>2207</v>
      </c>
      <c r="B365" s="8" t="str">
        <f t="shared" si="63"/>
        <v>Долгосрочные вклады физических лиц</v>
      </c>
      <c r="C365" s="7" t="str">
        <f>"2"</f>
        <v>2</v>
      </c>
      <c r="D365" s="7" t="str">
        <f t="shared" si="57"/>
        <v>9</v>
      </c>
      <c r="E365" s="7" t="str">
        <f>"2"</f>
        <v>2</v>
      </c>
      <c r="F365" s="9">
        <v>94282503091.539993</v>
      </c>
    </row>
    <row r="366" spans="1:6" x14ac:dyDescent="0.25">
      <c r="A366" s="7" t="str">
        <f t="shared" si="62"/>
        <v>2207</v>
      </c>
      <c r="B366" s="8" t="str">
        <f t="shared" si="63"/>
        <v>Долгосрочные вклады физических лиц</v>
      </c>
      <c r="C366" s="7" t="str">
        <f>"2"</f>
        <v>2</v>
      </c>
      <c r="D366" s="7" t="str">
        <f t="shared" si="57"/>
        <v>9</v>
      </c>
      <c r="E366" s="7" t="str">
        <f>"1"</f>
        <v>1</v>
      </c>
      <c r="F366" s="9">
        <v>41236528788.32</v>
      </c>
    </row>
    <row r="367" spans="1:6" x14ac:dyDescent="0.25">
      <c r="A367" s="7" t="str">
        <f t="shared" si="62"/>
        <v>2207</v>
      </c>
      <c r="B367" s="8" t="str">
        <f t="shared" si="63"/>
        <v>Долгосрочные вклады физических лиц</v>
      </c>
      <c r="C367" s="7" t="str">
        <f>"1"</f>
        <v>1</v>
      </c>
      <c r="D367" s="7" t="str">
        <f t="shared" si="57"/>
        <v>9</v>
      </c>
      <c r="E367" s="7" t="str">
        <f>"1"</f>
        <v>1</v>
      </c>
      <c r="F367" s="9">
        <v>262220745962.98999</v>
      </c>
    </row>
    <row r="368" spans="1:6" x14ac:dyDescent="0.25">
      <c r="A368" s="7" t="str">
        <f t="shared" si="62"/>
        <v>2207</v>
      </c>
      <c r="B368" s="8" t="str">
        <f t="shared" si="63"/>
        <v>Долгосрочные вклады физических лиц</v>
      </c>
      <c r="C368" s="7" t="str">
        <f>"2"</f>
        <v>2</v>
      </c>
      <c r="D368" s="7" t="str">
        <f t="shared" si="57"/>
        <v>9</v>
      </c>
      <c r="E368" s="7" t="str">
        <f>"3"</f>
        <v>3</v>
      </c>
      <c r="F368" s="9">
        <v>127694.12</v>
      </c>
    </row>
    <row r="369" spans="1:6" x14ac:dyDescent="0.25">
      <c r="A369" s="7" t="str">
        <f>"2208"</f>
        <v>2208</v>
      </c>
      <c r="B369" s="8" t="str">
        <f>"Условные вклады физических лиц"</f>
        <v>Условные вклады физических лиц</v>
      </c>
      <c r="C369" s="7" t="str">
        <f>"1"</f>
        <v>1</v>
      </c>
      <c r="D369" s="7" t="str">
        <f t="shared" si="57"/>
        <v>9</v>
      </c>
      <c r="E369" s="7" t="str">
        <f>"2"</f>
        <v>2</v>
      </c>
      <c r="F369" s="9">
        <v>5630621.2800000003</v>
      </c>
    </row>
    <row r="370" spans="1:6" x14ac:dyDescent="0.25">
      <c r="A370" s="7" t="str">
        <f>"2208"</f>
        <v>2208</v>
      </c>
      <c r="B370" s="8" t="str">
        <f>"Условные вклады физических лиц"</f>
        <v>Условные вклады физических лиц</v>
      </c>
      <c r="C370" s="7" t="str">
        <f>"1"</f>
        <v>1</v>
      </c>
      <c r="D370" s="7" t="str">
        <f t="shared" si="57"/>
        <v>9</v>
      </c>
      <c r="E370" s="7" t="str">
        <f>"1"</f>
        <v>1</v>
      </c>
      <c r="F370" s="9">
        <v>961243.49</v>
      </c>
    </row>
    <row r="371" spans="1:6" x14ac:dyDescent="0.25">
      <c r="A371" s="7" t="str">
        <f>"2211"</f>
        <v>2211</v>
      </c>
      <c r="B371" s="8" t="str">
        <f>"Вклады до востребования юридических лиц"</f>
        <v>Вклады до востребования юридических лиц</v>
      </c>
      <c r="C371" s="7" t="str">
        <f>"1"</f>
        <v>1</v>
      </c>
      <c r="D371" s="7" t="str">
        <f>"5"</f>
        <v>5</v>
      </c>
      <c r="E371" s="7" t="str">
        <f>"2"</f>
        <v>2</v>
      </c>
      <c r="F371" s="9">
        <v>5.49</v>
      </c>
    </row>
    <row r="372" spans="1:6" x14ac:dyDescent="0.25">
      <c r="A372" s="7" t="str">
        <f>"2211"</f>
        <v>2211</v>
      </c>
      <c r="B372" s="8" t="str">
        <f>"Вклады до востребования юридических лиц"</f>
        <v>Вклады до востребования юридических лиц</v>
      </c>
      <c r="C372" s="7" t="str">
        <f>"2"</f>
        <v>2</v>
      </c>
      <c r="D372" s="7" t="str">
        <f>"7"</f>
        <v>7</v>
      </c>
      <c r="E372" s="7" t="str">
        <f>"2"</f>
        <v>2</v>
      </c>
      <c r="F372" s="9">
        <v>591085.05000000005</v>
      </c>
    </row>
    <row r="373" spans="1:6" x14ac:dyDescent="0.25">
      <c r="A373" s="7" t="str">
        <f>"2211"</f>
        <v>2211</v>
      </c>
      <c r="B373" s="8" t="str">
        <f>"Вклады до востребования юридических лиц"</f>
        <v>Вклады до востребования юридических лиц</v>
      </c>
      <c r="C373" s="7" t="str">
        <f>"1"</f>
        <v>1</v>
      </c>
      <c r="D373" s="7" t="str">
        <f>"7"</f>
        <v>7</v>
      </c>
      <c r="E373" s="7" t="str">
        <f>"2"</f>
        <v>2</v>
      </c>
      <c r="F373" s="9">
        <v>109812</v>
      </c>
    </row>
    <row r="374" spans="1:6" x14ac:dyDescent="0.25">
      <c r="A374" s="7" t="str">
        <f>"2211"</f>
        <v>2211</v>
      </c>
      <c r="B374" s="8" t="str">
        <f>"Вклады до востребования юридических лиц"</f>
        <v>Вклады до востребования юридических лиц</v>
      </c>
      <c r="C374" s="7" t="str">
        <f>"1"</f>
        <v>1</v>
      </c>
      <c r="D374" s="7" t="str">
        <f>"5"</f>
        <v>5</v>
      </c>
      <c r="E374" s="7" t="str">
        <f>"1"</f>
        <v>1</v>
      </c>
      <c r="F374" s="9">
        <v>530.92999999999995</v>
      </c>
    </row>
    <row r="375" spans="1:6" x14ac:dyDescent="0.25">
      <c r="A375" s="7" t="str">
        <f>"2211"</f>
        <v>2211</v>
      </c>
      <c r="B375" s="8" t="str">
        <f>"Вклады до востребования юридических лиц"</f>
        <v>Вклады до востребования юридических лиц</v>
      </c>
      <c r="C375" s="7" t="str">
        <f>"1"</f>
        <v>1</v>
      </c>
      <c r="D375" s="7" t="str">
        <f>"7"</f>
        <v>7</v>
      </c>
      <c r="E375" s="7" t="str">
        <f>"1"</f>
        <v>1</v>
      </c>
      <c r="F375" s="9">
        <v>1101174518.05</v>
      </c>
    </row>
    <row r="376" spans="1:6" x14ac:dyDescent="0.25">
      <c r="A376" s="7" t="str">
        <f>"2213"</f>
        <v>2213</v>
      </c>
      <c r="B376" s="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C376" s="7" t="str">
        <f>"1"</f>
        <v>1</v>
      </c>
      <c r="D376" s="7" t="str">
        <f>"9"</f>
        <v>9</v>
      </c>
      <c r="E376" s="7" t="str">
        <f>"2"</f>
        <v>2</v>
      </c>
      <c r="F376" s="9">
        <v>127415451.09</v>
      </c>
    </row>
    <row r="377" spans="1:6" x14ac:dyDescent="0.25">
      <c r="A377" s="7" t="str">
        <f>"2213"</f>
        <v>2213</v>
      </c>
      <c r="B377" s="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C377" s="7" t="str">
        <f>"1"</f>
        <v>1</v>
      </c>
      <c r="D377" s="7" t="str">
        <f>"9"</f>
        <v>9</v>
      </c>
      <c r="E377" s="7" t="str">
        <f>"1"</f>
        <v>1</v>
      </c>
      <c r="F377" s="9">
        <v>309398384.41000003</v>
      </c>
    </row>
    <row r="378" spans="1:6" x14ac:dyDescent="0.25">
      <c r="A378" s="7" t="str">
        <f>"2213"</f>
        <v>2213</v>
      </c>
      <c r="B378" s="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C378" s="7" t="str">
        <f>"2"</f>
        <v>2</v>
      </c>
      <c r="D378" s="7" t="str">
        <f>"9"</f>
        <v>9</v>
      </c>
      <c r="E378" s="7" t="str">
        <f>"1"</f>
        <v>1</v>
      </c>
      <c r="F378" s="9">
        <v>20000</v>
      </c>
    </row>
    <row r="379" spans="1:6" x14ac:dyDescent="0.25">
      <c r="A379" s="7" t="str">
        <f>"2214"</f>
        <v>2214</v>
      </c>
      <c r="B379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79" s="7" t="str">
        <f>"1"</f>
        <v>1</v>
      </c>
      <c r="D379" s="7" t="str">
        <f>"9"</f>
        <v>9</v>
      </c>
      <c r="E379" s="7" t="str">
        <f>"1"</f>
        <v>1</v>
      </c>
      <c r="F379" s="9">
        <v>322146984210.40002</v>
      </c>
    </row>
    <row r="380" spans="1:6" x14ac:dyDescent="0.25">
      <c r="A380" s="7" t="str">
        <f>"2214"</f>
        <v>2214</v>
      </c>
      <c r="B380" s="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80" s="7" t="str">
        <f>"2"</f>
        <v>2</v>
      </c>
      <c r="D380" s="7" t="str">
        <f>"9"</f>
        <v>9</v>
      </c>
      <c r="E380" s="7" t="str">
        <f>"1"</f>
        <v>1</v>
      </c>
      <c r="F380" s="9">
        <v>26431777821.139999</v>
      </c>
    </row>
    <row r="381" spans="1:6" x14ac:dyDescent="0.25">
      <c r="A381" s="7" t="str">
        <f t="shared" ref="A381:A392" si="64">"2215"</f>
        <v>2215</v>
      </c>
      <c r="B381" s="8" t="str">
        <f t="shared" ref="B381:B392" si="65">"Краткосрочные вклады юридических лиц"</f>
        <v>Краткосрочные вклады юридических лиц</v>
      </c>
      <c r="C381" s="7" t="str">
        <f>"1"</f>
        <v>1</v>
      </c>
      <c r="D381" s="7" t="str">
        <f>"6"</f>
        <v>6</v>
      </c>
      <c r="E381" s="7" t="str">
        <f>"2"</f>
        <v>2</v>
      </c>
      <c r="F381" s="9">
        <v>27453000</v>
      </c>
    </row>
    <row r="382" spans="1:6" x14ac:dyDescent="0.25">
      <c r="A382" s="7" t="str">
        <f t="shared" si="64"/>
        <v>2215</v>
      </c>
      <c r="B382" s="8" t="str">
        <f t="shared" si="65"/>
        <v>Краткосрочные вклады юридических лиц</v>
      </c>
      <c r="C382" s="7" t="str">
        <f>"1"</f>
        <v>1</v>
      </c>
      <c r="D382" s="7" t="str">
        <f>"5"</f>
        <v>5</v>
      </c>
      <c r="E382" s="7" t="str">
        <f>"2"</f>
        <v>2</v>
      </c>
      <c r="F382" s="9">
        <v>1438362489.1099999</v>
      </c>
    </row>
    <row r="383" spans="1:6" x14ac:dyDescent="0.25">
      <c r="A383" s="7" t="str">
        <f t="shared" si="64"/>
        <v>2215</v>
      </c>
      <c r="B383" s="8" t="str">
        <f t="shared" si="65"/>
        <v>Краткосрочные вклады юридических лиц</v>
      </c>
      <c r="C383" s="7" t="str">
        <f>"1"</f>
        <v>1</v>
      </c>
      <c r="D383" s="7" t="str">
        <f>"5"</f>
        <v>5</v>
      </c>
      <c r="E383" s="7" t="str">
        <f>"1"</f>
        <v>1</v>
      </c>
      <c r="F383" s="9">
        <v>54914603167.150002</v>
      </c>
    </row>
    <row r="384" spans="1:6" x14ac:dyDescent="0.25">
      <c r="A384" s="7" t="str">
        <f t="shared" si="64"/>
        <v>2215</v>
      </c>
      <c r="B384" s="8" t="str">
        <f t="shared" si="65"/>
        <v>Краткосрочные вклады юридических лиц</v>
      </c>
      <c r="C384" s="7" t="str">
        <f>"1"</f>
        <v>1</v>
      </c>
      <c r="D384" s="7" t="str">
        <f>"7"</f>
        <v>7</v>
      </c>
      <c r="E384" s="7" t="str">
        <f>"1"</f>
        <v>1</v>
      </c>
      <c r="F384" s="9">
        <v>209741988343.92999</v>
      </c>
    </row>
    <row r="385" spans="1:6" x14ac:dyDescent="0.25">
      <c r="A385" s="7" t="str">
        <f t="shared" si="64"/>
        <v>2215</v>
      </c>
      <c r="B385" s="8" t="str">
        <f t="shared" si="65"/>
        <v>Краткосрочные вклады юридических лиц</v>
      </c>
      <c r="C385" s="7" t="str">
        <f>"1"</f>
        <v>1</v>
      </c>
      <c r="D385" s="7" t="str">
        <f>"6"</f>
        <v>6</v>
      </c>
      <c r="E385" s="7" t="str">
        <f>"1"</f>
        <v>1</v>
      </c>
      <c r="F385" s="9">
        <v>31323501629.34</v>
      </c>
    </row>
    <row r="386" spans="1:6" x14ac:dyDescent="0.25">
      <c r="A386" s="7" t="str">
        <f t="shared" si="64"/>
        <v>2215</v>
      </c>
      <c r="B386" s="8" t="str">
        <f t="shared" si="65"/>
        <v>Краткосрочные вклады юридических лиц</v>
      </c>
      <c r="C386" s="7" t="str">
        <f>"2"</f>
        <v>2</v>
      </c>
      <c r="D386" s="7" t="str">
        <f>"5"</f>
        <v>5</v>
      </c>
      <c r="E386" s="7" t="str">
        <f>"2"</f>
        <v>2</v>
      </c>
      <c r="F386" s="9">
        <v>48924632898.57</v>
      </c>
    </row>
    <row r="387" spans="1:6" x14ac:dyDescent="0.25">
      <c r="A387" s="7" t="str">
        <f t="shared" si="64"/>
        <v>2215</v>
      </c>
      <c r="B387" s="8" t="str">
        <f t="shared" si="65"/>
        <v>Краткосрочные вклады юридических лиц</v>
      </c>
      <c r="C387" s="7" t="str">
        <f>"2"</f>
        <v>2</v>
      </c>
      <c r="D387" s="7" t="str">
        <f>"7"</f>
        <v>7</v>
      </c>
      <c r="E387" s="7" t="str">
        <f>"2"</f>
        <v>2</v>
      </c>
      <c r="F387" s="9">
        <v>66337869491.220001</v>
      </c>
    </row>
    <row r="388" spans="1:6" x14ac:dyDescent="0.25">
      <c r="A388" s="7" t="str">
        <f t="shared" si="64"/>
        <v>2215</v>
      </c>
      <c r="B388" s="8" t="str">
        <f t="shared" si="65"/>
        <v>Краткосрочные вклады юридических лиц</v>
      </c>
      <c r="C388" s="7" t="str">
        <f>"1"</f>
        <v>1</v>
      </c>
      <c r="D388" s="7" t="str">
        <f>"8"</f>
        <v>8</v>
      </c>
      <c r="E388" s="7" t="str">
        <f>"1"</f>
        <v>1</v>
      </c>
      <c r="F388" s="9">
        <v>15383642606.209999</v>
      </c>
    </row>
    <row r="389" spans="1:6" x14ac:dyDescent="0.25">
      <c r="A389" s="7" t="str">
        <f t="shared" si="64"/>
        <v>2215</v>
      </c>
      <c r="B389" s="8" t="str">
        <f t="shared" si="65"/>
        <v>Краткосрочные вклады юридических лиц</v>
      </c>
      <c r="C389" s="7" t="str">
        <f>"2"</f>
        <v>2</v>
      </c>
      <c r="D389" s="7" t="str">
        <f>"7"</f>
        <v>7</v>
      </c>
      <c r="E389" s="7" t="str">
        <f>"3"</f>
        <v>3</v>
      </c>
      <c r="F389" s="9">
        <v>703529100</v>
      </c>
    </row>
    <row r="390" spans="1:6" x14ac:dyDescent="0.25">
      <c r="A390" s="7" t="str">
        <f t="shared" si="64"/>
        <v>2215</v>
      </c>
      <c r="B390" s="8" t="str">
        <f t="shared" si="65"/>
        <v>Краткосрочные вклады юридических лиц</v>
      </c>
      <c r="C390" s="7" t="str">
        <f>"2"</f>
        <v>2</v>
      </c>
      <c r="D390" s="7" t="str">
        <f>"7"</f>
        <v>7</v>
      </c>
      <c r="E390" s="7" t="str">
        <f>"1"</f>
        <v>1</v>
      </c>
      <c r="F390" s="9">
        <v>403592200</v>
      </c>
    </row>
    <row r="391" spans="1:6" x14ac:dyDescent="0.25">
      <c r="A391" s="7" t="str">
        <f t="shared" si="64"/>
        <v>2215</v>
      </c>
      <c r="B391" s="8" t="str">
        <f t="shared" si="65"/>
        <v>Краткосрочные вклады юридических лиц</v>
      </c>
      <c r="C391" s="7" t="str">
        <f>"1"</f>
        <v>1</v>
      </c>
      <c r="D391" s="7" t="str">
        <f>"7"</f>
        <v>7</v>
      </c>
      <c r="E391" s="7" t="str">
        <f>"2"</f>
        <v>2</v>
      </c>
      <c r="F391" s="9">
        <v>5246935606.04</v>
      </c>
    </row>
    <row r="392" spans="1:6" x14ac:dyDescent="0.25">
      <c r="A392" s="7" t="str">
        <f t="shared" si="64"/>
        <v>2215</v>
      </c>
      <c r="B392" s="8" t="str">
        <f t="shared" si="65"/>
        <v>Краткосрочные вклады юридических лиц</v>
      </c>
      <c r="C392" s="7" t="str">
        <f>"2"</f>
        <v>2</v>
      </c>
      <c r="D392" s="7" t="str">
        <f>"5"</f>
        <v>5</v>
      </c>
      <c r="E392" s="7" t="str">
        <f>"1"</f>
        <v>1</v>
      </c>
      <c r="F392" s="9">
        <v>100000</v>
      </c>
    </row>
    <row r="393" spans="1:6" x14ac:dyDescent="0.25">
      <c r="A393" s="7" t="str">
        <f t="shared" ref="A393:A401" si="66">"2217"</f>
        <v>2217</v>
      </c>
      <c r="B393" s="8" t="str">
        <f t="shared" ref="B393:B401" si="67">"Долгосрочные вклады юридических лиц"</f>
        <v>Долгосрочные вклады юридических лиц</v>
      </c>
      <c r="C393" s="7" t="str">
        <f>"1"</f>
        <v>1</v>
      </c>
      <c r="D393" s="7" t="str">
        <f>"5"</f>
        <v>5</v>
      </c>
      <c r="E393" s="7" t="str">
        <f>"1"</f>
        <v>1</v>
      </c>
      <c r="F393" s="9">
        <v>13157348586.68</v>
      </c>
    </row>
    <row r="394" spans="1:6" x14ac:dyDescent="0.25">
      <c r="A394" s="7" t="str">
        <f t="shared" si="66"/>
        <v>2217</v>
      </c>
      <c r="B394" s="8" t="str">
        <f t="shared" si="67"/>
        <v>Долгосрочные вклады юридических лиц</v>
      </c>
      <c r="C394" s="7" t="str">
        <f>"1"</f>
        <v>1</v>
      </c>
      <c r="D394" s="7" t="str">
        <f>"5"</f>
        <v>5</v>
      </c>
      <c r="E394" s="7" t="str">
        <f>"2"</f>
        <v>2</v>
      </c>
      <c r="F394" s="9">
        <v>15620703270.26</v>
      </c>
    </row>
    <row r="395" spans="1:6" x14ac:dyDescent="0.25">
      <c r="A395" s="7" t="str">
        <f t="shared" si="66"/>
        <v>2217</v>
      </c>
      <c r="B395" s="8" t="str">
        <f t="shared" si="67"/>
        <v>Долгосрочные вклады юридических лиц</v>
      </c>
      <c r="C395" s="7" t="str">
        <f>"1"</f>
        <v>1</v>
      </c>
      <c r="D395" s="7" t="str">
        <f>"6"</f>
        <v>6</v>
      </c>
      <c r="E395" s="7" t="str">
        <f>"1"</f>
        <v>1</v>
      </c>
      <c r="F395" s="9">
        <v>828583166.38</v>
      </c>
    </row>
    <row r="396" spans="1:6" x14ac:dyDescent="0.25">
      <c r="A396" s="7" t="str">
        <f t="shared" si="66"/>
        <v>2217</v>
      </c>
      <c r="B396" s="8" t="str">
        <f t="shared" si="67"/>
        <v>Долгосрочные вклады юридических лиц</v>
      </c>
      <c r="C396" s="7" t="str">
        <f>"1"</f>
        <v>1</v>
      </c>
      <c r="D396" s="7" t="str">
        <f>"7"</f>
        <v>7</v>
      </c>
      <c r="E396" s="7" t="str">
        <f>"1"</f>
        <v>1</v>
      </c>
      <c r="F396" s="9">
        <v>13714088265.5</v>
      </c>
    </row>
    <row r="397" spans="1:6" x14ac:dyDescent="0.25">
      <c r="A397" s="7" t="str">
        <f t="shared" si="66"/>
        <v>2217</v>
      </c>
      <c r="B397" s="8" t="str">
        <f t="shared" si="67"/>
        <v>Долгосрочные вклады юридических лиц</v>
      </c>
      <c r="C397" s="7" t="str">
        <f>"1"</f>
        <v>1</v>
      </c>
      <c r="D397" s="7" t="str">
        <f>"7"</f>
        <v>7</v>
      </c>
      <c r="E397" s="7" t="str">
        <f>"3"</f>
        <v>3</v>
      </c>
      <c r="F397" s="9">
        <v>2155273511.3800001</v>
      </c>
    </row>
    <row r="398" spans="1:6" x14ac:dyDescent="0.25">
      <c r="A398" s="7" t="str">
        <f t="shared" si="66"/>
        <v>2217</v>
      </c>
      <c r="B398" s="8" t="str">
        <f t="shared" si="67"/>
        <v>Долгосрочные вклады юридических лиц</v>
      </c>
      <c r="C398" s="7" t="str">
        <f>"2"</f>
        <v>2</v>
      </c>
      <c r="D398" s="7" t="str">
        <f>"7"</f>
        <v>7</v>
      </c>
      <c r="E398" s="7" t="str">
        <f>"2"</f>
        <v>2</v>
      </c>
      <c r="F398" s="9">
        <v>20002571394.200001</v>
      </c>
    </row>
    <row r="399" spans="1:6" x14ac:dyDescent="0.25">
      <c r="A399" s="7" t="str">
        <f t="shared" si="66"/>
        <v>2217</v>
      </c>
      <c r="B399" s="8" t="str">
        <f t="shared" si="67"/>
        <v>Долгосрочные вклады юридических лиц</v>
      </c>
      <c r="C399" s="7" t="str">
        <f>"2"</f>
        <v>2</v>
      </c>
      <c r="D399" s="7" t="str">
        <f>"7"</f>
        <v>7</v>
      </c>
      <c r="E399" s="7" t="str">
        <f>"3"</f>
        <v>3</v>
      </c>
      <c r="F399" s="9">
        <v>16282368</v>
      </c>
    </row>
    <row r="400" spans="1:6" x14ac:dyDescent="0.25">
      <c r="A400" s="7" t="str">
        <f t="shared" si="66"/>
        <v>2217</v>
      </c>
      <c r="B400" s="8" t="str">
        <f t="shared" si="67"/>
        <v>Долгосрочные вклады юридических лиц</v>
      </c>
      <c r="C400" s="7" t="str">
        <f t="shared" ref="C400:C410" si="68">"1"</f>
        <v>1</v>
      </c>
      <c r="D400" s="7" t="str">
        <f>"7"</f>
        <v>7</v>
      </c>
      <c r="E400" s="7" t="str">
        <f>"2"</f>
        <v>2</v>
      </c>
      <c r="F400" s="9">
        <v>69481321191.419998</v>
      </c>
    </row>
    <row r="401" spans="1:6" x14ac:dyDescent="0.25">
      <c r="A401" s="7" t="str">
        <f t="shared" si="66"/>
        <v>2217</v>
      </c>
      <c r="B401" s="8" t="str">
        <f t="shared" si="67"/>
        <v>Долгосрочные вклады юридических лиц</v>
      </c>
      <c r="C401" s="7" t="str">
        <f t="shared" si="68"/>
        <v>1</v>
      </c>
      <c r="D401" s="7" t="str">
        <f>"8"</f>
        <v>8</v>
      </c>
      <c r="E401" s="7" t="str">
        <f>"2"</f>
        <v>2</v>
      </c>
      <c r="F401" s="9">
        <v>73875402.560000002</v>
      </c>
    </row>
    <row r="402" spans="1:6" x14ac:dyDescent="0.25">
      <c r="A402" s="7" t="str">
        <f>"2218"</f>
        <v>2218</v>
      </c>
      <c r="B402" s="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02" s="7" t="str">
        <f t="shared" si="68"/>
        <v>1</v>
      </c>
      <c r="D402" s="7" t="str">
        <f>"7"</f>
        <v>7</v>
      </c>
      <c r="E402" s="7" t="str">
        <f>"2"</f>
        <v>2</v>
      </c>
      <c r="F402" s="9">
        <v>26302326766.02</v>
      </c>
    </row>
    <row r="403" spans="1:6" x14ac:dyDescent="0.25">
      <c r="A403" s="7" t="str">
        <f>"2218"</f>
        <v>2218</v>
      </c>
      <c r="B403" s="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03" s="7" t="str">
        <f t="shared" si="68"/>
        <v>1</v>
      </c>
      <c r="D403" s="7" t="str">
        <f>"7"</f>
        <v>7</v>
      </c>
      <c r="E403" s="7" t="str">
        <f t="shared" ref="E403:E409" si="69">"1"</f>
        <v>1</v>
      </c>
      <c r="F403" s="9">
        <v>16500000</v>
      </c>
    </row>
    <row r="404" spans="1:6" x14ac:dyDescent="0.25">
      <c r="A404" s="7" t="str">
        <f>"2218"</f>
        <v>2218</v>
      </c>
      <c r="B404" s="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04" s="7" t="str">
        <f t="shared" si="68"/>
        <v>1</v>
      </c>
      <c r="D404" s="7" t="str">
        <f>"5"</f>
        <v>5</v>
      </c>
      <c r="E404" s="7" t="str">
        <f t="shared" si="69"/>
        <v>1</v>
      </c>
      <c r="F404" s="9">
        <v>31067035</v>
      </c>
    </row>
    <row r="405" spans="1:6" x14ac:dyDescent="0.25">
      <c r="A405" s="7" t="str">
        <f>"2219"</f>
        <v>2219</v>
      </c>
      <c r="B405" s="8" t="str">
        <f>"Условные вклады юридических лиц"</f>
        <v>Условные вклады юридических лиц</v>
      </c>
      <c r="C405" s="7" t="str">
        <f t="shared" si="68"/>
        <v>1</v>
      </c>
      <c r="D405" s="7" t="str">
        <f>"7"</f>
        <v>7</v>
      </c>
      <c r="E405" s="7" t="str">
        <f t="shared" si="69"/>
        <v>1</v>
      </c>
      <c r="F405" s="9">
        <v>20753979.030000001</v>
      </c>
    </row>
    <row r="406" spans="1:6" x14ac:dyDescent="0.25">
      <c r="A406" s="7" t="str">
        <f>"2219"</f>
        <v>2219</v>
      </c>
      <c r="B406" s="8" t="str">
        <f>"Условные вклады юридических лиц"</f>
        <v>Условные вклады юридических лиц</v>
      </c>
      <c r="C406" s="7" t="str">
        <f t="shared" si="68"/>
        <v>1</v>
      </c>
      <c r="D406" s="7" t="str">
        <f>"8"</f>
        <v>8</v>
      </c>
      <c r="E406" s="7" t="str">
        <f t="shared" si="69"/>
        <v>1</v>
      </c>
      <c r="F406" s="9">
        <v>193000</v>
      </c>
    </row>
    <row r="407" spans="1:6" x14ac:dyDescent="0.25">
      <c r="A407" s="7" t="str">
        <f t="shared" ref="A407:A412" si="70">"2220"</f>
        <v>2220</v>
      </c>
      <c r="B407" s="8" t="str">
        <f t="shared" ref="B407:B412" si="71">"Сберегательные вклады юридических лиц (не более одного года)"</f>
        <v>Сберегательные вклады юридических лиц (не более одного года)</v>
      </c>
      <c r="C407" s="7" t="str">
        <f t="shared" si="68"/>
        <v>1</v>
      </c>
      <c r="D407" s="7" t="str">
        <f>"5"</f>
        <v>5</v>
      </c>
      <c r="E407" s="7" t="str">
        <f t="shared" si="69"/>
        <v>1</v>
      </c>
      <c r="F407" s="9">
        <v>2072397513.9000001</v>
      </c>
    </row>
    <row r="408" spans="1:6" x14ac:dyDescent="0.25">
      <c r="A408" s="7" t="str">
        <f t="shared" si="70"/>
        <v>2220</v>
      </c>
      <c r="B408" s="8" t="str">
        <f t="shared" si="71"/>
        <v>Сберегательные вклады юридических лиц (не более одного года)</v>
      </c>
      <c r="C408" s="7" t="str">
        <f t="shared" si="68"/>
        <v>1</v>
      </c>
      <c r="D408" s="7" t="str">
        <f>"6"</f>
        <v>6</v>
      </c>
      <c r="E408" s="7" t="str">
        <f t="shared" si="69"/>
        <v>1</v>
      </c>
      <c r="F408" s="9">
        <v>4679004907.3900003</v>
      </c>
    </row>
    <row r="409" spans="1:6" x14ac:dyDescent="0.25">
      <c r="A409" s="7" t="str">
        <f t="shared" si="70"/>
        <v>2220</v>
      </c>
      <c r="B409" s="8" t="str">
        <f t="shared" si="71"/>
        <v>Сберегательные вклады юридических лиц (не более одного года)</v>
      </c>
      <c r="C409" s="7" t="str">
        <f t="shared" si="68"/>
        <v>1</v>
      </c>
      <c r="D409" s="7" t="str">
        <f>"7"</f>
        <v>7</v>
      </c>
      <c r="E409" s="7" t="str">
        <f t="shared" si="69"/>
        <v>1</v>
      </c>
      <c r="F409" s="9">
        <v>5166912600.2299995</v>
      </c>
    </row>
    <row r="410" spans="1:6" x14ac:dyDescent="0.25">
      <c r="A410" s="7" t="str">
        <f t="shared" si="70"/>
        <v>2220</v>
      </c>
      <c r="B410" s="8" t="str">
        <f t="shared" si="71"/>
        <v>Сберегательные вклады юридических лиц (не более одного года)</v>
      </c>
      <c r="C410" s="7" t="str">
        <f t="shared" si="68"/>
        <v>1</v>
      </c>
      <c r="D410" s="7" t="str">
        <f>"7"</f>
        <v>7</v>
      </c>
      <c r="E410" s="7" t="str">
        <f>"2"</f>
        <v>2</v>
      </c>
      <c r="F410" s="9">
        <v>2313601558.5300002</v>
      </c>
    </row>
    <row r="411" spans="1:6" x14ac:dyDescent="0.25">
      <c r="A411" s="7" t="str">
        <f t="shared" si="70"/>
        <v>2220</v>
      </c>
      <c r="B411" s="8" t="str">
        <f t="shared" si="71"/>
        <v>Сберегательные вклады юридических лиц (не более одного года)</v>
      </c>
      <c r="C411" s="7" t="str">
        <f>"2"</f>
        <v>2</v>
      </c>
      <c r="D411" s="7" t="str">
        <f>"7"</f>
        <v>7</v>
      </c>
      <c r="E411" s="7" t="str">
        <f>"2"</f>
        <v>2</v>
      </c>
      <c r="F411" s="9">
        <v>409598760</v>
      </c>
    </row>
    <row r="412" spans="1:6" x14ac:dyDescent="0.25">
      <c r="A412" s="7" t="str">
        <f t="shared" si="70"/>
        <v>2220</v>
      </c>
      <c r="B412" s="8" t="str">
        <f t="shared" si="71"/>
        <v>Сберегательные вклады юридических лиц (не более одного года)</v>
      </c>
      <c r="C412" s="7" t="str">
        <f>"1"</f>
        <v>1</v>
      </c>
      <c r="D412" s="7" t="str">
        <f>"8"</f>
        <v>8</v>
      </c>
      <c r="E412" s="7" t="str">
        <f>"1"</f>
        <v>1</v>
      </c>
      <c r="F412" s="9">
        <v>750000000</v>
      </c>
    </row>
    <row r="413" spans="1:6" x14ac:dyDescent="0.25">
      <c r="A413" s="7" t="str">
        <f>"2223"</f>
        <v>2223</v>
      </c>
      <c r="B413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13" s="7" t="str">
        <f>"2"</f>
        <v>2</v>
      </c>
      <c r="D413" s="7" t="str">
        <f>"7"</f>
        <v>7</v>
      </c>
      <c r="E413" s="7" t="str">
        <f>"1"</f>
        <v>1</v>
      </c>
      <c r="F413" s="9">
        <v>2631000000</v>
      </c>
    </row>
    <row r="414" spans="1:6" x14ac:dyDescent="0.25">
      <c r="A414" s="7" t="str">
        <f>"2223"</f>
        <v>2223</v>
      </c>
      <c r="B414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14" s="7" t="str">
        <f>"1"</f>
        <v>1</v>
      </c>
      <c r="D414" s="7" t="str">
        <f>"5"</f>
        <v>5</v>
      </c>
      <c r="E414" s="7" t="str">
        <f>"1"</f>
        <v>1</v>
      </c>
      <c r="F414" s="9">
        <v>1823079429.25</v>
      </c>
    </row>
    <row r="415" spans="1:6" x14ac:dyDescent="0.25">
      <c r="A415" s="7" t="str">
        <f>"2223"</f>
        <v>2223</v>
      </c>
      <c r="B415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15" s="7" t="str">
        <f>"1"</f>
        <v>1</v>
      </c>
      <c r="D415" s="7" t="str">
        <f>"7"</f>
        <v>7</v>
      </c>
      <c r="E415" s="7" t="str">
        <f>"1"</f>
        <v>1</v>
      </c>
      <c r="F415" s="9">
        <v>23730739511.049999</v>
      </c>
    </row>
    <row r="416" spans="1:6" x14ac:dyDescent="0.25">
      <c r="A416" s="7" t="str">
        <f>"2223"</f>
        <v>2223</v>
      </c>
      <c r="B416" s="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C416" s="7" t="str">
        <f>"1"</f>
        <v>1</v>
      </c>
      <c r="D416" s="7" t="str">
        <f>"7"</f>
        <v>7</v>
      </c>
      <c r="E416" s="7" t="str">
        <f>"2"</f>
        <v>2</v>
      </c>
      <c r="F416" s="9">
        <v>4242456580.6300001</v>
      </c>
    </row>
    <row r="417" spans="1:6" x14ac:dyDescent="0.25">
      <c r="A417" s="7" t="str">
        <f>"2227"</f>
        <v>2227</v>
      </c>
      <c r="B417" s="8" t="str">
        <f>"Обязательства по аренде"</f>
        <v>Обязательства по аренде</v>
      </c>
      <c r="C417" s="7" t="str">
        <f>"1"</f>
        <v>1</v>
      </c>
      <c r="D417" s="7" t="str">
        <f>"7"</f>
        <v>7</v>
      </c>
      <c r="E417" s="7" t="str">
        <f>"1"</f>
        <v>1</v>
      </c>
      <c r="F417" s="9">
        <v>4644804192.7600002</v>
      </c>
    </row>
    <row r="418" spans="1:6" x14ac:dyDescent="0.25">
      <c r="A418" s="7" t="str">
        <f>"2229"</f>
        <v>2229</v>
      </c>
      <c r="B418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C418" s="7" t="str">
        <f>"1"</f>
        <v>1</v>
      </c>
      <c r="D418" s="7" t="str">
        <f>"9"</f>
        <v>9</v>
      </c>
      <c r="E418" s="7" t="str">
        <f>"1"</f>
        <v>1</v>
      </c>
      <c r="F418" s="9">
        <v>632759364.14999998</v>
      </c>
    </row>
    <row r="419" spans="1:6" x14ac:dyDescent="0.25">
      <c r="A419" s="7" t="str">
        <f>"2229"</f>
        <v>2229</v>
      </c>
      <c r="B419" s="8" t="str">
        <f>"Сберегательные вклады физических лиц (более одного года)"</f>
        <v>Сберегательные вклады физических лиц (более одного года)</v>
      </c>
      <c r="C419" s="7" t="str">
        <f>"2"</f>
        <v>2</v>
      </c>
      <c r="D419" s="7" t="str">
        <f>"9"</f>
        <v>9</v>
      </c>
      <c r="E419" s="7" t="str">
        <f>"1"</f>
        <v>1</v>
      </c>
      <c r="F419" s="9">
        <v>1369138.61</v>
      </c>
    </row>
    <row r="420" spans="1:6" x14ac:dyDescent="0.25">
      <c r="A420" s="7" t="str">
        <f t="shared" ref="A420:A435" si="72">"2237"</f>
        <v>2237</v>
      </c>
      <c r="B420" s="8" t="str">
        <f t="shared" ref="B420:B435" si="7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420" s="7" t="str">
        <f>"1"</f>
        <v>1</v>
      </c>
      <c r="D420" s="7" t="str">
        <f>"6"</f>
        <v>6</v>
      </c>
      <c r="E420" s="7" t="str">
        <f>"1"</f>
        <v>1</v>
      </c>
      <c r="F420" s="9">
        <v>5195239.84</v>
      </c>
    </row>
    <row r="421" spans="1:6" x14ac:dyDescent="0.25">
      <c r="A421" s="7" t="str">
        <f t="shared" si="72"/>
        <v>2237</v>
      </c>
      <c r="B421" s="8" t="str">
        <f t="shared" si="73"/>
        <v>Счет хранения указаний отправителя в соответствии с валютным законодательством Республики Казахстан</v>
      </c>
      <c r="C421" s="7" t="str">
        <f>"1"</f>
        <v>1</v>
      </c>
      <c r="D421" s="7" t="str">
        <f>"6"</f>
        <v>6</v>
      </c>
      <c r="E421" s="7" t="str">
        <f>"3"</f>
        <v>3</v>
      </c>
      <c r="F421" s="9">
        <v>27570</v>
      </c>
    </row>
    <row r="422" spans="1:6" x14ac:dyDescent="0.25">
      <c r="A422" s="7" t="str">
        <f t="shared" si="72"/>
        <v>2237</v>
      </c>
      <c r="B422" s="8" t="str">
        <f t="shared" si="73"/>
        <v>Счет хранения указаний отправителя в соответствии с валютным законодательством Республики Казахстан</v>
      </c>
      <c r="C422" s="7" t="str">
        <f>"1"</f>
        <v>1</v>
      </c>
      <c r="D422" s="7" t="str">
        <f>"7"</f>
        <v>7</v>
      </c>
      <c r="E422" s="7" t="str">
        <f>"2"</f>
        <v>2</v>
      </c>
      <c r="F422" s="9">
        <v>971368719.35000002</v>
      </c>
    </row>
    <row r="423" spans="1:6" x14ac:dyDescent="0.25">
      <c r="A423" s="7" t="str">
        <f t="shared" si="72"/>
        <v>2237</v>
      </c>
      <c r="B423" s="8" t="str">
        <f t="shared" si="73"/>
        <v>Счет хранения указаний отправителя в соответствии с валютным законодательством Республики Казахстан</v>
      </c>
      <c r="C423" s="7" t="str">
        <f>"1"</f>
        <v>1</v>
      </c>
      <c r="D423" s="7" t="str">
        <f>"7"</f>
        <v>7</v>
      </c>
      <c r="E423" s="7" t="str">
        <f>"1"</f>
        <v>1</v>
      </c>
      <c r="F423" s="9">
        <v>390550524.81</v>
      </c>
    </row>
    <row r="424" spans="1:6" x14ac:dyDescent="0.25">
      <c r="A424" s="7" t="str">
        <f t="shared" si="72"/>
        <v>2237</v>
      </c>
      <c r="B424" s="8" t="str">
        <f t="shared" si="73"/>
        <v>Счет хранения указаний отправителя в соответствии с валютным законодательством Республики Казахстан</v>
      </c>
      <c r="C424" s="7" t="str">
        <f>"1"</f>
        <v>1</v>
      </c>
      <c r="D424" s="7" t="str">
        <f>"6"</f>
        <v>6</v>
      </c>
      <c r="E424" s="7" t="str">
        <f>"2"</f>
        <v>2</v>
      </c>
      <c r="F424" s="9">
        <v>270928.17</v>
      </c>
    </row>
    <row r="425" spans="1:6" x14ac:dyDescent="0.25">
      <c r="A425" s="7" t="str">
        <f t="shared" si="72"/>
        <v>2237</v>
      </c>
      <c r="B425" s="8" t="str">
        <f t="shared" si="73"/>
        <v>Счет хранения указаний отправителя в соответствии с валютным законодательством Республики Казахстан</v>
      </c>
      <c r="C425" s="7" t="str">
        <f>"2"</f>
        <v>2</v>
      </c>
      <c r="D425" s="7" t="str">
        <f t="shared" ref="D425:D430" si="74">"9"</f>
        <v>9</v>
      </c>
      <c r="E425" s="7" t="str">
        <f>"1"</f>
        <v>1</v>
      </c>
      <c r="F425" s="9">
        <v>81039.08</v>
      </c>
    </row>
    <row r="426" spans="1:6" x14ac:dyDescent="0.25">
      <c r="A426" s="7" t="str">
        <f t="shared" si="72"/>
        <v>2237</v>
      </c>
      <c r="B426" s="8" t="str">
        <f t="shared" si="73"/>
        <v>Счет хранения указаний отправителя в соответствии с валютным законодательством Республики Казахстан</v>
      </c>
      <c r="C426" s="7" t="str">
        <f>"1"</f>
        <v>1</v>
      </c>
      <c r="D426" s="7" t="str">
        <f t="shared" si="74"/>
        <v>9</v>
      </c>
      <c r="E426" s="7" t="str">
        <f>"1"</f>
        <v>1</v>
      </c>
      <c r="F426" s="9">
        <v>2605557.7599999998</v>
      </c>
    </row>
    <row r="427" spans="1:6" x14ac:dyDescent="0.25">
      <c r="A427" s="7" t="str">
        <f t="shared" si="72"/>
        <v>2237</v>
      </c>
      <c r="B427" s="8" t="str">
        <f t="shared" si="73"/>
        <v>Счет хранения указаний отправителя в соответствии с валютным законодательством Республики Казахстан</v>
      </c>
      <c r="C427" s="7" t="str">
        <f>"1"</f>
        <v>1</v>
      </c>
      <c r="D427" s="7" t="str">
        <f t="shared" si="74"/>
        <v>9</v>
      </c>
      <c r="E427" s="7" t="str">
        <f>"3"</f>
        <v>3</v>
      </c>
      <c r="F427" s="9">
        <v>1733370.83</v>
      </c>
    </row>
    <row r="428" spans="1:6" x14ac:dyDescent="0.25">
      <c r="A428" s="7" t="str">
        <f t="shared" si="72"/>
        <v>2237</v>
      </c>
      <c r="B428" s="8" t="str">
        <f t="shared" si="73"/>
        <v>Счет хранения указаний отправителя в соответствии с валютным законодательством Республики Казахстан</v>
      </c>
      <c r="C428" s="7" t="str">
        <f>"2"</f>
        <v>2</v>
      </c>
      <c r="D428" s="7" t="str">
        <f t="shared" si="74"/>
        <v>9</v>
      </c>
      <c r="E428" s="7" t="str">
        <f>"2"</f>
        <v>2</v>
      </c>
      <c r="F428" s="9">
        <v>84156440.010000005</v>
      </c>
    </row>
    <row r="429" spans="1:6" x14ac:dyDescent="0.25">
      <c r="A429" s="7" t="str">
        <f t="shared" si="72"/>
        <v>2237</v>
      </c>
      <c r="B429" s="8" t="str">
        <f t="shared" si="73"/>
        <v>Счет хранения указаний отправителя в соответствии с валютным законодательством Республики Казахстан</v>
      </c>
      <c r="C429" s="7" t="str">
        <f>"1"</f>
        <v>1</v>
      </c>
      <c r="D429" s="7" t="str">
        <f t="shared" si="74"/>
        <v>9</v>
      </c>
      <c r="E429" s="7" t="str">
        <f>"2"</f>
        <v>2</v>
      </c>
      <c r="F429" s="9">
        <v>1740709544.5</v>
      </c>
    </row>
    <row r="430" spans="1:6" x14ac:dyDescent="0.25">
      <c r="A430" s="7" t="str">
        <f t="shared" si="72"/>
        <v>2237</v>
      </c>
      <c r="B430" s="8" t="str">
        <f t="shared" si="73"/>
        <v>Счет хранения указаний отправителя в соответствии с валютным законодательством Республики Казахстан</v>
      </c>
      <c r="C430" s="7" t="str">
        <f>"2"</f>
        <v>2</v>
      </c>
      <c r="D430" s="7" t="str">
        <f t="shared" si="74"/>
        <v>9</v>
      </c>
      <c r="E430" s="7" t="str">
        <f>"3"</f>
        <v>3</v>
      </c>
      <c r="F430" s="9">
        <v>1053638.9099999999</v>
      </c>
    </row>
    <row r="431" spans="1:6" x14ac:dyDescent="0.25">
      <c r="A431" s="7" t="str">
        <f t="shared" si="72"/>
        <v>2237</v>
      </c>
      <c r="B431" s="8" t="str">
        <f t="shared" si="73"/>
        <v>Счет хранения указаний отправителя в соответствии с валютным законодательством Республики Казахстан</v>
      </c>
      <c r="C431" s="7" t="str">
        <f>"1"</f>
        <v>1</v>
      </c>
      <c r="D431" s="7" t="str">
        <f>"8"</f>
        <v>8</v>
      </c>
      <c r="E431" s="7" t="str">
        <f>"2"</f>
        <v>2</v>
      </c>
      <c r="F431" s="9">
        <v>1831430.8</v>
      </c>
    </row>
    <row r="432" spans="1:6" x14ac:dyDescent="0.25">
      <c r="A432" s="7" t="str">
        <f t="shared" si="72"/>
        <v>2237</v>
      </c>
      <c r="B432" s="8" t="str">
        <f t="shared" si="73"/>
        <v>Счет хранения указаний отправителя в соответствии с валютным законодательством Республики Казахстан</v>
      </c>
      <c r="C432" s="7" t="str">
        <f>"1"</f>
        <v>1</v>
      </c>
      <c r="D432" s="7" t="str">
        <f>"5"</f>
        <v>5</v>
      </c>
      <c r="E432" s="7" t="str">
        <f>"2"</f>
        <v>2</v>
      </c>
      <c r="F432" s="9">
        <v>15768717.689999999</v>
      </c>
    </row>
    <row r="433" spans="1:6" x14ac:dyDescent="0.25">
      <c r="A433" s="7" t="str">
        <f t="shared" si="72"/>
        <v>2237</v>
      </c>
      <c r="B433" s="8" t="str">
        <f t="shared" si="73"/>
        <v>Счет хранения указаний отправителя в соответствии с валютным законодательством Республики Казахстан</v>
      </c>
      <c r="C433" s="7" t="str">
        <f>"1"</f>
        <v>1</v>
      </c>
      <c r="D433" s="7" t="str">
        <f>"7"</f>
        <v>7</v>
      </c>
      <c r="E433" s="7" t="str">
        <f>"3"</f>
        <v>3</v>
      </c>
      <c r="F433" s="9">
        <v>102926324.31999999</v>
      </c>
    </row>
    <row r="434" spans="1:6" x14ac:dyDescent="0.25">
      <c r="A434" s="7" t="str">
        <f t="shared" si="72"/>
        <v>2237</v>
      </c>
      <c r="B434" s="8" t="str">
        <f t="shared" si="73"/>
        <v>Счет хранения указаний отправителя в соответствии с валютным законодательством Республики Казахстан</v>
      </c>
      <c r="C434" s="7" t="str">
        <f>"2"</f>
        <v>2</v>
      </c>
      <c r="D434" s="7" t="str">
        <f>"4"</f>
        <v>4</v>
      </c>
      <c r="E434" s="7" t="str">
        <f>"1"</f>
        <v>1</v>
      </c>
      <c r="F434" s="9">
        <v>638095.24</v>
      </c>
    </row>
    <row r="435" spans="1:6" x14ac:dyDescent="0.25">
      <c r="A435" s="7" t="str">
        <f t="shared" si="72"/>
        <v>2237</v>
      </c>
      <c r="B435" s="8" t="str">
        <f t="shared" si="73"/>
        <v>Счет хранения указаний отправителя в соответствии с валютным законодательством Республики Казахстан</v>
      </c>
      <c r="C435" s="7" t="str">
        <f>"2"</f>
        <v>2</v>
      </c>
      <c r="D435" s="7" t="str">
        <f>"7"</f>
        <v>7</v>
      </c>
      <c r="E435" s="7" t="str">
        <f>"2"</f>
        <v>2</v>
      </c>
      <c r="F435" s="9">
        <v>1914607058.5</v>
      </c>
    </row>
    <row r="436" spans="1:6" x14ac:dyDescent="0.25">
      <c r="A436" s="7" t="str">
        <f t="shared" ref="A436:A442" si="75">"2240"</f>
        <v>2240</v>
      </c>
      <c r="B436" s="8" t="str">
        <f t="shared" ref="B436:B442" si="76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436" s="7" t="str">
        <f>"1"</f>
        <v>1</v>
      </c>
      <c r="D436" s="7" t="str">
        <f>"8"</f>
        <v>8</v>
      </c>
      <c r="E436" s="7" t="str">
        <f t="shared" ref="E436:E441" si="77">"1"</f>
        <v>1</v>
      </c>
      <c r="F436" s="9">
        <v>5525900</v>
      </c>
    </row>
    <row r="437" spans="1:6" x14ac:dyDescent="0.25">
      <c r="A437" s="7" t="str">
        <f t="shared" si="75"/>
        <v>2240</v>
      </c>
      <c r="B437" s="8" t="str">
        <f t="shared" si="76"/>
        <v>Счет хранения денег, принятых в качестве обеспечения (заклад, задаток) обязательств клиентов</v>
      </c>
      <c r="C437" s="7" t="str">
        <f>"1"</f>
        <v>1</v>
      </c>
      <c r="D437" s="7" t="str">
        <f>"7"</f>
        <v>7</v>
      </c>
      <c r="E437" s="7" t="str">
        <f t="shared" si="77"/>
        <v>1</v>
      </c>
      <c r="F437" s="9">
        <v>8495421140.54</v>
      </c>
    </row>
    <row r="438" spans="1:6" x14ac:dyDescent="0.25">
      <c r="A438" s="7" t="str">
        <f t="shared" si="75"/>
        <v>2240</v>
      </c>
      <c r="B438" s="8" t="str">
        <f t="shared" si="76"/>
        <v>Счет хранения денег, принятых в качестве обеспечения (заклад, задаток) обязательств клиентов</v>
      </c>
      <c r="C438" s="7" t="str">
        <f>"1"</f>
        <v>1</v>
      </c>
      <c r="D438" s="7" t="str">
        <f>"5"</f>
        <v>5</v>
      </c>
      <c r="E438" s="7" t="str">
        <f t="shared" si="77"/>
        <v>1</v>
      </c>
      <c r="F438" s="9">
        <v>10093469.92</v>
      </c>
    </row>
    <row r="439" spans="1:6" x14ac:dyDescent="0.25">
      <c r="A439" s="7" t="str">
        <f t="shared" si="75"/>
        <v>2240</v>
      </c>
      <c r="B439" s="8" t="str">
        <f t="shared" si="76"/>
        <v>Счет хранения денег, принятых в качестве обеспечения (заклад, задаток) обязательств клиентов</v>
      </c>
      <c r="C439" s="7" t="str">
        <f>"1"</f>
        <v>1</v>
      </c>
      <c r="D439" s="7" t="str">
        <f>"9"</f>
        <v>9</v>
      </c>
      <c r="E439" s="7" t="str">
        <f t="shared" si="77"/>
        <v>1</v>
      </c>
      <c r="F439" s="9">
        <v>805821059.30999994</v>
      </c>
    </row>
    <row r="440" spans="1:6" x14ac:dyDescent="0.25">
      <c r="A440" s="7" t="str">
        <f t="shared" si="75"/>
        <v>2240</v>
      </c>
      <c r="B440" s="8" t="str">
        <f t="shared" si="76"/>
        <v>Счет хранения денег, принятых в качестве обеспечения (заклад, задаток) обязательств клиентов</v>
      </c>
      <c r="C440" s="7" t="str">
        <f>"1"</f>
        <v>1</v>
      </c>
      <c r="D440" s="7" t="str">
        <f>"6"</f>
        <v>6</v>
      </c>
      <c r="E440" s="7" t="str">
        <f t="shared" si="77"/>
        <v>1</v>
      </c>
      <c r="F440" s="9">
        <v>304624182.13</v>
      </c>
    </row>
    <row r="441" spans="1:6" x14ac:dyDescent="0.25">
      <c r="A441" s="7" t="str">
        <f t="shared" si="75"/>
        <v>2240</v>
      </c>
      <c r="B441" s="8" t="str">
        <f t="shared" si="76"/>
        <v>Счет хранения денег, принятых в качестве обеспечения (заклад, задаток) обязательств клиентов</v>
      </c>
      <c r="C441" s="7" t="str">
        <f>"2"</f>
        <v>2</v>
      </c>
      <c r="D441" s="7" t="str">
        <f>"9"</f>
        <v>9</v>
      </c>
      <c r="E441" s="7" t="str">
        <f t="shared" si="77"/>
        <v>1</v>
      </c>
      <c r="F441" s="9">
        <v>2302725</v>
      </c>
    </row>
    <row r="442" spans="1:6" x14ac:dyDescent="0.25">
      <c r="A442" s="7" t="str">
        <f t="shared" si="75"/>
        <v>2240</v>
      </c>
      <c r="B442" s="8" t="str">
        <f t="shared" si="76"/>
        <v>Счет хранения денег, принятых в качестве обеспечения (заклад, задаток) обязательств клиентов</v>
      </c>
      <c r="C442" s="7" t="str">
        <f>"1"</f>
        <v>1</v>
      </c>
      <c r="D442" s="7" t="str">
        <f>"9"</f>
        <v>9</v>
      </c>
      <c r="E442" s="7" t="str">
        <f>"2"</f>
        <v>2</v>
      </c>
      <c r="F442" s="9">
        <v>5468088.54</v>
      </c>
    </row>
    <row r="443" spans="1:6" x14ac:dyDescent="0.25">
      <c r="A443" s="7" t="str">
        <f>"2241"</f>
        <v>2241</v>
      </c>
      <c r="B443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C443" s="7" t="str">
        <f>"2"</f>
        <v>2</v>
      </c>
      <c r="D443" s="7" t="str">
        <f>"9"</f>
        <v>9</v>
      </c>
      <c r="E443" s="7" t="str">
        <f>"2"</f>
        <v>2</v>
      </c>
      <c r="F443" s="9">
        <v>298669351.51999998</v>
      </c>
    </row>
    <row r="444" spans="1:6" x14ac:dyDescent="0.25">
      <c r="A444" s="7" t="str">
        <f>"2241"</f>
        <v>2241</v>
      </c>
      <c r="B444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C444" s="7" t="str">
        <f t="shared" ref="C444:C461" si="78">"1"</f>
        <v>1</v>
      </c>
      <c r="D444" s="7" t="str">
        <f>"9"</f>
        <v>9</v>
      </c>
      <c r="E444" s="7" t="str">
        <f>"2"</f>
        <v>2</v>
      </c>
      <c r="F444" s="9">
        <v>3169364734.0100002</v>
      </c>
    </row>
    <row r="445" spans="1:6" x14ac:dyDescent="0.25">
      <c r="A445" s="7" t="str">
        <f>"2241"</f>
        <v>2241</v>
      </c>
      <c r="B445" s="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C445" s="7" t="str">
        <f t="shared" si="78"/>
        <v>1</v>
      </c>
      <c r="D445" s="7" t="str">
        <f>"9"</f>
        <v>9</v>
      </c>
      <c r="E445" s="7" t="str">
        <f>"1"</f>
        <v>1</v>
      </c>
      <c r="F445" s="9">
        <v>23584127440.299999</v>
      </c>
    </row>
    <row r="446" spans="1:6" x14ac:dyDescent="0.25">
      <c r="A446" s="7" t="str">
        <f>"2242"</f>
        <v>2242</v>
      </c>
      <c r="B446" s="8" t="s">
        <v>7</v>
      </c>
      <c r="C446" s="7" t="str">
        <f t="shared" si="78"/>
        <v>1</v>
      </c>
      <c r="D446" s="7" t="str">
        <f t="shared" ref="D446:D454" si="79">"5"</f>
        <v>5</v>
      </c>
      <c r="E446" s="7" t="str">
        <f>"3"</f>
        <v>3</v>
      </c>
      <c r="F446" s="9">
        <v>18947966</v>
      </c>
    </row>
    <row r="447" spans="1:6" x14ac:dyDescent="0.25">
      <c r="A447" s="7" t="str">
        <f>"2242"</f>
        <v>2242</v>
      </c>
      <c r="B447" s="8" t="s">
        <v>7</v>
      </c>
      <c r="C447" s="7" t="str">
        <f t="shared" si="78"/>
        <v>1</v>
      </c>
      <c r="D447" s="7" t="str">
        <f t="shared" si="79"/>
        <v>5</v>
      </c>
      <c r="E447" s="7" t="str">
        <f>"2"</f>
        <v>2</v>
      </c>
      <c r="F447" s="9">
        <v>11656501139.99</v>
      </c>
    </row>
    <row r="448" spans="1:6" x14ac:dyDescent="0.25">
      <c r="A448" s="7" t="str">
        <f>"2242"</f>
        <v>2242</v>
      </c>
      <c r="B448" s="8" t="s">
        <v>7</v>
      </c>
      <c r="C448" s="7" t="str">
        <f t="shared" si="78"/>
        <v>1</v>
      </c>
      <c r="D448" s="7" t="str">
        <f t="shared" si="79"/>
        <v>5</v>
      </c>
      <c r="E448" s="7" t="str">
        <f t="shared" ref="E448:E458" si="80">"1"</f>
        <v>1</v>
      </c>
      <c r="F448" s="9">
        <v>9523736.7200000007</v>
      </c>
    </row>
    <row r="449" spans="1:6" x14ac:dyDescent="0.25">
      <c r="A449" s="7" t="str">
        <f>"2255"</f>
        <v>2255</v>
      </c>
      <c r="B449" s="8" t="str">
        <f>"Операции «РЕПО» с ценными бумагами"</f>
        <v>Операции «РЕПО» с ценными бумагами</v>
      </c>
      <c r="C449" s="7" t="str">
        <f t="shared" si="78"/>
        <v>1</v>
      </c>
      <c r="D449" s="7" t="str">
        <f t="shared" si="79"/>
        <v>5</v>
      </c>
      <c r="E449" s="7" t="str">
        <f t="shared" si="80"/>
        <v>1</v>
      </c>
      <c r="F449" s="9">
        <v>197765549880.38</v>
      </c>
    </row>
    <row r="450" spans="1:6" x14ac:dyDescent="0.25">
      <c r="A450" s="7" t="str">
        <f>"2301"</f>
        <v>2301</v>
      </c>
      <c r="B450" s="8" t="str">
        <f>"Выпущенные в обращение облигации"</f>
        <v>Выпущенные в обращение облигации</v>
      </c>
      <c r="C450" s="7" t="str">
        <f t="shared" si="78"/>
        <v>1</v>
      </c>
      <c r="D450" s="7" t="str">
        <f t="shared" si="79"/>
        <v>5</v>
      </c>
      <c r="E450" s="7" t="str">
        <f t="shared" si="80"/>
        <v>1</v>
      </c>
      <c r="F450" s="9">
        <v>7939822700</v>
      </c>
    </row>
    <row r="451" spans="1:6" x14ac:dyDescent="0.25">
      <c r="A451" s="7" t="str">
        <f>"2304"</f>
        <v>2304</v>
      </c>
      <c r="B451" s="8" t="str">
        <f>"Премия по выпущенным в обращение ценным бумагам"</f>
        <v>Премия по выпущенным в обращение ценным бумагам</v>
      </c>
      <c r="C451" s="7" t="str">
        <f t="shared" si="78"/>
        <v>1</v>
      </c>
      <c r="D451" s="7" t="str">
        <f t="shared" si="79"/>
        <v>5</v>
      </c>
      <c r="E451" s="7" t="str">
        <f t="shared" si="80"/>
        <v>1</v>
      </c>
      <c r="F451" s="9">
        <v>25221328.949999999</v>
      </c>
    </row>
    <row r="452" spans="1:6" x14ac:dyDescent="0.25">
      <c r="A452" s="7" t="str">
        <f>"2305"</f>
        <v>2305</v>
      </c>
      <c r="B452" s="8" t="str">
        <f>"Дисконт по выпущенным в обращение ценным бумагам"</f>
        <v>Дисконт по выпущенным в обращение ценным бумагам</v>
      </c>
      <c r="C452" s="7" t="str">
        <f t="shared" si="78"/>
        <v>1</v>
      </c>
      <c r="D452" s="7" t="str">
        <f t="shared" si="79"/>
        <v>5</v>
      </c>
      <c r="E452" s="7" t="str">
        <f t="shared" si="80"/>
        <v>1</v>
      </c>
      <c r="F452" s="9">
        <v>-23475761.359999999</v>
      </c>
    </row>
    <row r="453" spans="1:6" x14ac:dyDescent="0.25">
      <c r="A453" s="7" t="str">
        <f>"2404"</f>
        <v>2404</v>
      </c>
      <c r="B453" s="8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C453" s="7" t="str">
        <f t="shared" si="78"/>
        <v>1</v>
      </c>
      <c r="D453" s="7" t="str">
        <f t="shared" si="79"/>
        <v>5</v>
      </c>
      <c r="E453" s="7" t="str">
        <f t="shared" si="80"/>
        <v>1</v>
      </c>
      <c r="F453" s="9">
        <v>-80428020062.550003</v>
      </c>
    </row>
    <row r="454" spans="1:6" x14ac:dyDescent="0.25">
      <c r="A454" s="7" t="str">
        <f>"2406"</f>
        <v>2406</v>
      </c>
      <c r="B454" s="8" t="str">
        <f>"Субординированные облигации"</f>
        <v>Субординированные облигации</v>
      </c>
      <c r="C454" s="7" t="str">
        <f t="shared" si="78"/>
        <v>1</v>
      </c>
      <c r="D454" s="7" t="str">
        <f t="shared" si="79"/>
        <v>5</v>
      </c>
      <c r="E454" s="7" t="str">
        <f t="shared" si="80"/>
        <v>1</v>
      </c>
      <c r="F454" s="9">
        <v>150000000000</v>
      </c>
    </row>
    <row r="455" spans="1:6" x14ac:dyDescent="0.25">
      <c r="A455" s="7" t="str">
        <f>"2551"</f>
        <v>2551</v>
      </c>
      <c r="B455" s="8" t="str">
        <f>"Расчеты с другими банками"</f>
        <v>Расчеты с другими банками</v>
      </c>
      <c r="C455" s="7" t="str">
        <f t="shared" si="78"/>
        <v>1</v>
      </c>
      <c r="D455" s="7" t="str">
        <f>"4"</f>
        <v>4</v>
      </c>
      <c r="E455" s="7" t="str">
        <f t="shared" si="80"/>
        <v>1</v>
      </c>
      <c r="F455" s="9">
        <v>568468269.16999996</v>
      </c>
    </row>
    <row r="456" spans="1:6" x14ac:dyDescent="0.25">
      <c r="A456" s="7" t="str">
        <f>"2703"</f>
        <v>2703</v>
      </c>
      <c r="B456" s="8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56" s="7" t="str">
        <f t="shared" si="78"/>
        <v>1</v>
      </c>
      <c r="D456" s="7" t="str">
        <f>"5"</f>
        <v>5</v>
      </c>
      <c r="E456" s="7" t="str">
        <f t="shared" si="80"/>
        <v>1</v>
      </c>
      <c r="F456" s="9">
        <v>238419774.47999999</v>
      </c>
    </row>
    <row r="457" spans="1:6" x14ac:dyDescent="0.25">
      <c r="A457" s="7" t="str">
        <f>"2705"</f>
        <v>2705</v>
      </c>
      <c r="B457" s="8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457" s="7" t="str">
        <f t="shared" si="78"/>
        <v>1</v>
      </c>
      <c r="D457" s="7" t="str">
        <f>"4"</f>
        <v>4</v>
      </c>
      <c r="E457" s="7" t="str">
        <f t="shared" si="80"/>
        <v>1</v>
      </c>
      <c r="F457" s="9">
        <v>71771564.189999998</v>
      </c>
    </row>
    <row r="458" spans="1:6" x14ac:dyDescent="0.25">
      <c r="A458" s="7" t="str">
        <f>"2706"</f>
        <v>2706</v>
      </c>
      <c r="B458" s="8" t="str">
        <f>"Начисленные расходы по займам и финансовому лизингу"</f>
        <v>Начисленные расходы по займам и финансовому лизингу</v>
      </c>
      <c r="C458" s="7" t="str">
        <f t="shared" si="78"/>
        <v>1</v>
      </c>
      <c r="D458" s="7" t="str">
        <f>"5"</f>
        <v>5</v>
      </c>
      <c r="E458" s="7" t="str">
        <f t="shared" si="80"/>
        <v>1</v>
      </c>
      <c r="F458" s="9">
        <v>79433878.709999993</v>
      </c>
    </row>
    <row r="459" spans="1:6" x14ac:dyDescent="0.25">
      <c r="A459" s="7" t="str">
        <f t="shared" ref="A459:A464" si="81">"2719"</f>
        <v>2719</v>
      </c>
      <c r="B459" s="8" t="str">
        <f t="shared" ref="B459:B464" si="82">"Начисленные расходы по условным вкладам клиентов"</f>
        <v>Начисленные расходы по условным вкладам клиентов</v>
      </c>
      <c r="C459" s="7" t="str">
        <f t="shared" si="78"/>
        <v>1</v>
      </c>
      <c r="D459" s="7" t="str">
        <f>"7"</f>
        <v>7</v>
      </c>
      <c r="E459" s="7" t="str">
        <f>"2"</f>
        <v>2</v>
      </c>
      <c r="F459" s="9">
        <v>3826.95</v>
      </c>
    </row>
    <row r="460" spans="1:6" x14ac:dyDescent="0.25">
      <c r="A460" s="7" t="str">
        <f t="shared" si="81"/>
        <v>2719</v>
      </c>
      <c r="B460" s="8" t="str">
        <f t="shared" si="82"/>
        <v>Начисленные расходы по условным вкладам клиентов</v>
      </c>
      <c r="C460" s="7" t="str">
        <f t="shared" si="78"/>
        <v>1</v>
      </c>
      <c r="D460" s="7" t="str">
        <f>"9"</f>
        <v>9</v>
      </c>
      <c r="E460" s="7" t="str">
        <f>"1"</f>
        <v>1</v>
      </c>
      <c r="F460" s="9">
        <v>7067.07</v>
      </c>
    </row>
    <row r="461" spans="1:6" x14ac:dyDescent="0.25">
      <c r="A461" s="7" t="str">
        <f t="shared" si="81"/>
        <v>2719</v>
      </c>
      <c r="B461" s="8" t="str">
        <f t="shared" si="82"/>
        <v>Начисленные расходы по условным вкладам клиентов</v>
      </c>
      <c r="C461" s="7" t="str">
        <f t="shared" si="78"/>
        <v>1</v>
      </c>
      <c r="D461" s="7" t="str">
        <f>"7"</f>
        <v>7</v>
      </c>
      <c r="E461" s="7" t="str">
        <f>"1"</f>
        <v>1</v>
      </c>
      <c r="F461" s="9">
        <v>155212.60999999999</v>
      </c>
    </row>
    <row r="462" spans="1:6" x14ac:dyDescent="0.25">
      <c r="A462" s="7" t="str">
        <f t="shared" si="81"/>
        <v>2719</v>
      </c>
      <c r="B462" s="8" t="str">
        <f t="shared" si="82"/>
        <v>Начисленные расходы по условным вкладам клиентов</v>
      </c>
      <c r="C462" s="7" t="str">
        <f>"2"</f>
        <v>2</v>
      </c>
      <c r="D462" s="7" t="str">
        <f>"7"</f>
        <v>7</v>
      </c>
      <c r="E462" s="7" t="str">
        <f>"1"</f>
        <v>1</v>
      </c>
      <c r="F462" s="9">
        <v>180.1</v>
      </c>
    </row>
    <row r="463" spans="1:6" x14ac:dyDescent="0.25">
      <c r="A463" s="7" t="str">
        <f t="shared" si="81"/>
        <v>2719</v>
      </c>
      <c r="B463" s="8" t="str">
        <f t="shared" si="82"/>
        <v>Начисленные расходы по условным вкладам клиентов</v>
      </c>
      <c r="C463" s="7" t="str">
        <f>"1"</f>
        <v>1</v>
      </c>
      <c r="D463" s="7" t="str">
        <f>"8"</f>
        <v>8</v>
      </c>
      <c r="E463" s="7" t="str">
        <f>"1"</f>
        <v>1</v>
      </c>
      <c r="F463" s="9">
        <v>181.91</v>
      </c>
    </row>
    <row r="464" spans="1:6" x14ac:dyDescent="0.25">
      <c r="A464" s="7" t="str">
        <f t="shared" si="81"/>
        <v>2719</v>
      </c>
      <c r="B464" s="8" t="str">
        <f t="shared" si="82"/>
        <v>Начисленные расходы по условным вкладам клиентов</v>
      </c>
      <c r="C464" s="7" t="str">
        <f>"1"</f>
        <v>1</v>
      </c>
      <c r="D464" s="7" t="str">
        <f t="shared" ref="D464:D469" si="83">"9"</f>
        <v>9</v>
      </c>
      <c r="E464" s="7" t="str">
        <f>"2"</f>
        <v>2</v>
      </c>
      <c r="F464" s="9">
        <v>676628.6</v>
      </c>
    </row>
    <row r="465" spans="1:6" x14ac:dyDescent="0.25">
      <c r="A465" s="7" t="str">
        <f t="shared" ref="A465:A474" si="84">"2720"</f>
        <v>2720</v>
      </c>
      <c r="B465" s="8" t="str">
        <f t="shared" ref="B465:B474" si="85">"Начисленные расходы по вкладам до востребования клиентов"</f>
        <v>Начисленные расходы по вкладам до востребования клиентов</v>
      </c>
      <c r="C465" s="7" t="str">
        <f>"1"</f>
        <v>1</v>
      </c>
      <c r="D465" s="7" t="str">
        <f t="shared" si="83"/>
        <v>9</v>
      </c>
      <c r="E465" s="7" t="str">
        <f>"1"</f>
        <v>1</v>
      </c>
      <c r="F465" s="9">
        <v>7808.65</v>
      </c>
    </row>
    <row r="466" spans="1:6" x14ac:dyDescent="0.25">
      <c r="A466" s="7" t="str">
        <f t="shared" si="84"/>
        <v>2720</v>
      </c>
      <c r="B466" s="8" t="str">
        <f t="shared" si="85"/>
        <v>Начисленные расходы по вкладам до востребования клиентов</v>
      </c>
      <c r="C466" s="7" t="str">
        <f>"2"</f>
        <v>2</v>
      </c>
      <c r="D466" s="7" t="str">
        <f t="shared" si="83"/>
        <v>9</v>
      </c>
      <c r="E466" s="7" t="str">
        <f>"3"</f>
        <v>3</v>
      </c>
      <c r="F466" s="9">
        <v>0.34</v>
      </c>
    </row>
    <row r="467" spans="1:6" x14ac:dyDescent="0.25">
      <c r="A467" s="7" t="str">
        <f t="shared" si="84"/>
        <v>2720</v>
      </c>
      <c r="B467" s="8" t="str">
        <f t="shared" si="85"/>
        <v>Начисленные расходы по вкладам до востребования клиентов</v>
      </c>
      <c r="C467" s="7" t="str">
        <f>"2"</f>
        <v>2</v>
      </c>
      <c r="D467" s="7" t="str">
        <f t="shared" si="83"/>
        <v>9</v>
      </c>
      <c r="E467" s="7" t="str">
        <f>"2"</f>
        <v>2</v>
      </c>
      <c r="F467" s="9">
        <v>14638.89</v>
      </c>
    </row>
    <row r="468" spans="1:6" x14ac:dyDescent="0.25">
      <c r="A468" s="7" t="str">
        <f t="shared" si="84"/>
        <v>2720</v>
      </c>
      <c r="B468" s="8" t="str">
        <f t="shared" si="85"/>
        <v>Начисленные расходы по вкладам до востребования клиентов</v>
      </c>
      <c r="C468" s="7" t="str">
        <f>"2"</f>
        <v>2</v>
      </c>
      <c r="D468" s="7" t="str">
        <f t="shared" si="83"/>
        <v>9</v>
      </c>
      <c r="E468" s="7" t="str">
        <f>"1"</f>
        <v>1</v>
      </c>
      <c r="F468" s="9">
        <v>3903.18</v>
      </c>
    </row>
    <row r="469" spans="1:6" x14ac:dyDescent="0.25">
      <c r="A469" s="7" t="str">
        <f t="shared" si="84"/>
        <v>2720</v>
      </c>
      <c r="B469" s="8" t="str">
        <f t="shared" si="85"/>
        <v>Начисленные расходы по вкладам до востребования клиентов</v>
      </c>
      <c r="C469" s="7" t="str">
        <f>"1"</f>
        <v>1</v>
      </c>
      <c r="D469" s="7" t="str">
        <f t="shared" si="83"/>
        <v>9</v>
      </c>
      <c r="E469" s="7" t="str">
        <f>"3"</f>
        <v>3</v>
      </c>
      <c r="F469" s="9">
        <v>4.2</v>
      </c>
    </row>
    <row r="470" spans="1:6" x14ac:dyDescent="0.25">
      <c r="A470" s="7" t="str">
        <f t="shared" si="84"/>
        <v>2720</v>
      </c>
      <c r="B470" s="8" t="str">
        <f t="shared" si="85"/>
        <v>Начисленные расходы по вкладам до востребования клиентов</v>
      </c>
      <c r="C470" s="7" t="str">
        <f>"1"</f>
        <v>1</v>
      </c>
      <c r="D470" s="7" t="str">
        <f>"7"</f>
        <v>7</v>
      </c>
      <c r="E470" s="7" t="str">
        <f>"2"</f>
        <v>2</v>
      </c>
      <c r="F470" s="9">
        <v>115.3</v>
      </c>
    </row>
    <row r="471" spans="1:6" x14ac:dyDescent="0.25">
      <c r="A471" s="7" t="str">
        <f t="shared" si="84"/>
        <v>2720</v>
      </c>
      <c r="B471" s="8" t="str">
        <f t="shared" si="85"/>
        <v>Начисленные расходы по вкладам до востребования клиентов</v>
      </c>
      <c r="C471" s="7" t="str">
        <f>"1"</f>
        <v>1</v>
      </c>
      <c r="D471" s="7" t="str">
        <f>"5"</f>
        <v>5</v>
      </c>
      <c r="E471" s="7" t="str">
        <f>"1"</f>
        <v>1</v>
      </c>
      <c r="F471" s="9">
        <v>3.07</v>
      </c>
    </row>
    <row r="472" spans="1:6" x14ac:dyDescent="0.25">
      <c r="A472" s="7" t="str">
        <f t="shared" si="84"/>
        <v>2720</v>
      </c>
      <c r="B472" s="8" t="str">
        <f t="shared" si="85"/>
        <v>Начисленные расходы по вкладам до востребования клиентов</v>
      </c>
      <c r="C472" s="7" t="str">
        <f>"2"</f>
        <v>2</v>
      </c>
      <c r="D472" s="7" t="str">
        <f>"7"</f>
        <v>7</v>
      </c>
      <c r="E472" s="7" t="str">
        <f>"2"</f>
        <v>2</v>
      </c>
      <c r="F472" s="9">
        <v>38.43</v>
      </c>
    </row>
    <row r="473" spans="1:6" x14ac:dyDescent="0.25">
      <c r="A473" s="7" t="str">
        <f t="shared" si="84"/>
        <v>2720</v>
      </c>
      <c r="B473" s="8" t="str">
        <f t="shared" si="85"/>
        <v>Начисленные расходы по вкладам до востребования клиентов</v>
      </c>
      <c r="C473" s="7" t="str">
        <f t="shared" ref="C473:C483" si="86">"1"</f>
        <v>1</v>
      </c>
      <c r="D473" s="7" t="str">
        <f>"9"</f>
        <v>9</v>
      </c>
      <c r="E473" s="7" t="str">
        <f>"2"</f>
        <v>2</v>
      </c>
      <c r="F473" s="9">
        <v>16570.62</v>
      </c>
    </row>
    <row r="474" spans="1:6" x14ac:dyDescent="0.25">
      <c r="A474" s="7" t="str">
        <f t="shared" si="84"/>
        <v>2720</v>
      </c>
      <c r="B474" s="8" t="str">
        <f t="shared" si="85"/>
        <v>Начисленные расходы по вкладам до востребования клиентов</v>
      </c>
      <c r="C474" s="7" t="str">
        <f t="shared" si="86"/>
        <v>1</v>
      </c>
      <c r="D474" s="7" t="str">
        <f>"7"</f>
        <v>7</v>
      </c>
      <c r="E474" s="7" t="str">
        <f>"1"</f>
        <v>1</v>
      </c>
      <c r="F474" s="9">
        <v>798571.14</v>
      </c>
    </row>
    <row r="475" spans="1:6" x14ac:dyDescent="0.25">
      <c r="A475" s="7" t="str">
        <f t="shared" ref="A475:A493" si="87">"2721"</f>
        <v>2721</v>
      </c>
      <c r="B475" s="8" t="str">
        <f t="shared" ref="B475:B493" si="88">"Начисленные расходы по срочным вкладам клиентов"</f>
        <v>Начисленные расходы по срочным вкладам клиентов</v>
      </c>
      <c r="C475" s="7" t="str">
        <f t="shared" si="86"/>
        <v>1</v>
      </c>
      <c r="D475" s="7" t="str">
        <f>"5"</f>
        <v>5</v>
      </c>
      <c r="E475" s="7" t="str">
        <f>"1"</f>
        <v>1</v>
      </c>
      <c r="F475" s="9">
        <v>289961593.70999998</v>
      </c>
    </row>
    <row r="476" spans="1:6" x14ac:dyDescent="0.25">
      <c r="A476" s="7" t="str">
        <f t="shared" si="87"/>
        <v>2721</v>
      </c>
      <c r="B476" s="8" t="str">
        <f t="shared" si="88"/>
        <v>Начисленные расходы по срочным вкладам клиентов</v>
      </c>
      <c r="C476" s="7" t="str">
        <f t="shared" si="86"/>
        <v>1</v>
      </c>
      <c r="D476" s="7" t="str">
        <f>"7"</f>
        <v>7</v>
      </c>
      <c r="E476" s="7" t="str">
        <f>"1"</f>
        <v>1</v>
      </c>
      <c r="F476" s="9">
        <v>1493737903.3099999</v>
      </c>
    </row>
    <row r="477" spans="1:6" x14ac:dyDescent="0.25">
      <c r="A477" s="7" t="str">
        <f t="shared" si="87"/>
        <v>2721</v>
      </c>
      <c r="B477" s="8" t="str">
        <f t="shared" si="88"/>
        <v>Начисленные расходы по срочным вкладам клиентов</v>
      </c>
      <c r="C477" s="7" t="str">
        <f t="shared" si="86"/>
        <v>1</v>
      </c>
      <c r="D477" s="7" t="str">
        <f>"6"</f>
        <v>6</v>
      </c>
      <c r="E477" s="7" t="str">
        <f>"2"</f>
        <v>2</v>
      </c>
      <c r="F477" s="9">
        <v>29039.78</v>
      </c>
    </row>
    <row r="478" spans="1:6" x14ac:dyDescent="0.25">
      <c r="A478" s="7" t="str">
        <f t="shared" si="87"/>
        <v>2721</v>
      </c>
      <c r="B478" s="8" t="str">
        <f t="shared" si="88"/>
        <v>Начисленные расходы по срочным вкладам клиентов</v>
      </c>
      <c r="C478" s="7" t="str">
        <f t="shared" si="86"/>
        <v>1</v>
      </c>
      <c r="D478" s="7" t="str">
        <f>"8"</f>
        <v>8</v>
      </c>
      <c r="E478" s="7" t="str">
        <f>"1"</f>
        <v>1</v>
      </c>
      <c r="F478" s="9">
        <v>55446046.950000003</v>
      </c>
    </row>
    <row r="479" spans="1:6" x14ac:dyDescent="0.25">
      <c r="A479" s="7" t="str">
        <f t="shared" si="87"/>
        <v>2721</v>
      </c>
      <c r="B479" s="8" t="str">
        <f t="shared" si="88"/>
        <v>Начисленные расходы по срочным вкладам клиентов</v>
      </c>
      <c r="C479" s="7" t="str">
        <f t="shared" si="86"/>
        <v>1</v>
      </c>
      <c r="D479" s="7" t="str">
        <f>"7"</f>
        <v>7</v>
      </c>
      <c r="E479" s="7" t="str">
        <f>"3"</f>
        <v>3</v>
      </c>
      <c r="F479" s="9">
        <v>5727835.6500000004</v>
      </c>
    </row>
    <row r="480" spans="1:6" x14ac:dyDescent="0.25">
      <c r="A480" s="7" t="str">
        <f t="shared" si="87"/>
        <v>2721</v>
      </c>
      <c r="B480" s="8" t="str">
        <f t="shared" si="88"/>
        <v>Начисленные расходы по срочным вкладам клиентов</v>
      </c>
      <c r="C480" s="7" t="str">
        <f t="shared" si="86"/>
        <v>1</v>
      </c>
      <c r="D480" s="7" t="str">
        <f>"5"</f>
        <v>5</v>
      </c>
      <c r="E480" s="7" t="str">
        <f>"2"</f>
        <v>2</v>
      </c>
      <c r="F480" s="9">
        <v>9947660.8399999999</v>
      </c>
    </row>
    <row r="481" spans="1:6" x14ac:dyDescent="0.25">
      <c r="A481" s="7" t="str">
        <f t="shared" si="87"/>
        <v>2721</v>
      </c>
      <c r="B481" s="8" t="str">
        <f t="shared" si="88"/>
        <v>Начисленные расходы по срочным вкладам клиентов</v>
      </c>
      <c r="C481" s="7" t="str">
        <f t="shared" si="86"/>
        <v>1</v>
      </c>
      <c r="D481" s="7" t="str">
        <f>"6"</f>
        <v>6</v>
      </c>
      <c r="E481" s="7" t="str">
        <f>"1"</f>
        <v>1</v>
      </c>
      <c r="F481" s="9">
        <v>221948163.87</v>
      </c>
    </row>
    <row r="482" spans="1:6" x14ac:dyDescent="0.25">
      <c r="A482" s="7" t="str">
        <f t="shared" si="87"/>
        <v>2721</v>
      </c>
      <c r="B482" s="8" t="str">
        <f t="shared" si="88"/>
        <v>Начисленные расходы по срочным вкладам клиентов</v>
      </c>
      <c r="C482" s="7" t="str">
        <f t="shared" si="86"/>
        <v>1</v>
      </c>
      <c r="D482" s="7" t="str">
        <f>"8"</f>
        <v>8</v>
      </c>
      <c r="E482" s="7" t="str">
        <f>"2"</f>
        <v>2</v>
      </c>
      <c r="F482" s="9">
        <v>99039.44</v>
      </c>
    </row>
    <row r="483" spans="1:6" x14ac:dyDescent="0.25">
      <c r="A483" s="7" t="str">
        <f t="shared" si="87"/>
        <v>2721</v>
      </c>
      <c r="B483" s="8" t="str">
        <f t="shared" si="88"/>
        <v>Начисленные расходы по срочным вкладам клиентов</v>
      </c>
      <c r="C483" s="7" t="str">
        <f t="shared" si="86"/>
        <v>1</v>
      </c>
      <c r="D483" s="7" t="str">
        <f>"9"</f>
        <v>9</v>
      </c>
      <c r="E483" s="7" t="str">
        <f>"1"</f>
        <v>1</v>
      </c>
      <c r="F483" s="9">
        <v>15998860.869999999</v>
      </c>
    </row>
    <row r="484" spans="1:6" x14ac:dyDescent="0.25">
      <c r="A484" s="7" t="str">
        <f t="shared" si="87"/>
        <v>2721</v>
      </c>
      <c r="B484" s="8" t="str">
        <f t="shared" si="88"/>
        <v>Начисленные расходы по срочным вкладам клиентов</v>
      </c>
      <c r="C484" s="7" t="str">
        <f>"2"</f>
        <v>2</v>
      </c>
      <c r="D484" s="7" t="str">
        <f>"5"</f>
        <v>5</v>
      </c>
      <c r="E484" s="7" t="str">
        <f>"1"</f>
        <v>1</v>
      </c>
      <c r="F484" s="9">
        <v>329770</v>
      </c>
    </row>
    <row r="485" spans="1:6" x14ac:dyDescent="0.25">
      <c r="A485" s="7" t="str">
        <f t="shared" si="87"/>
        <v>2721</v>
      </c>
      <c r="B485" s="8" t="str">
        <f t="shared" si="88"/>
        <v>Начисленные расходы по срочным вкладам клиентов</v>
      </c>
      <c r="C485" s="7" t="str">
        <f>"1"</f>
        <v>1</v>
      </c>
      <c r="D485" s="7" t="str">
        <f>"9"</f>
        <v>9</v>
      </c>
      <c r="E485" s="7" t="str">
        <f>"3"</f>
        <v>3</v>
      </c>
      <c r="F485" s="9">
        <v>1.8</v>
      </c>
    </row>
    <row r="486" spans="1:6" x14ac:dyDescent="0.25">
      <c r="A486" s="7" t="str">
        <f t="shared" si="87"/>
        <v>2721</v>
      </c>
      <c r="B486" s="8" t="str">
        <f t="shared" si="88"/>
        <v>Начисленные расходы по срочным вкладам клиентов</v>
      </c>
      <c r="C486" s="7" t="str">
        <f>"1"</f>
        <v>1</v>
      </c>
      <c r="D486" s="7" t="str">
        <f>"9"</f>
        <v>9</v>
      </c>
      <c r="E486" s="7" t="str">
        <f>"2"</f>
        <v>2</v>
      </c>
      <c r="F486" s="9">
        <v>203342.11</v>
      </c>
    </row>
    <row r="487" spans="1:6" x14ac:dyDescent="0.25">
      <c r="A487" s="7" t="str">
        <f t="shared" si="87"/>
        <v>2721</v>
      </c>
      <c r="B487" s="8" t="str">
        <f t="shared" si="88"/>
        <v>Начисленные расходы по срочным вкладам клиентов</v>
      </c>
      <c r="C487" s="7" t="str">
        <f>"1"</f>
        <v>1</v>
      </c>
      <c r="D487" s="7" t="str">
        <f>"7"</f>
        <v>7</v>
      </c>
      <c r="E487" s="7" t="str">
        <f>"2"</f>
        <v>2</v>
      </c>
      <c r="F487" s="9">
        <v>261917320.91</v>
      </c>
    </row>
    <row r="488" spans="1:6" x14ac:dyDescent="0.25">
      <c r="A488" s="7" t="str">
        <f t="shared" si="87"/>
        <v>2721</v>
      </c>
      <c r="B488" s="8" t="str">
        <f t="shared" si="88"/>
        <v>Начисленные расходы по срочным вкладам клиентов</v>
      </c>
      <c r="C488" s="7" t="str">
        <f t="shared" ref="C488:C493" si="89">"2"</f>
        <v>2</v>
      </c>
      <c r="D488" s="7" t="str">
        <f>"7"</f>
        <v>7</v>
      </c>
      <c r="E488" s="7" t="str">
        <f>"2"</f>
        <v>2</v>
      </c>
      <c r="F488" s="9">
        <v>175458481.11000001</v>
      </c>
    </row>
    <row r="489" spans="1:6" x14ac:dyDescent="0.25">
      <c r="A489" s="7" t="str">
        <f t="shared" si="87"/>
        <v>2721</v>
      </c>
      <c r="B489" s="8" t="str">
        <f t="shared" si="88"/>
        <v>Начисленные расходы по срочным вкладам клиентов</v>
      </c>
      <c r="C489" s="7" t="str">
        <f t="shared" si="89"/>
        <v>2</v>
      </c>
      <c r="D489" s="7" t="str">
        <f>"7"</f>
        <v>7</v>
      </c>
      <c r="E489" s="7" t="str">
        <f>"3"</f>
        <v>3</v>
      </c>
      <c r="F489" s="9">
        <v>2051334.42</v>
      </c>
    </row>
    <row r="490" spans="1:6" x14ac:dyDescent="0.25">
      <c r="A490" s="7" t="str">
        <f t="shared" si="87"/>
        <v>2721</v>
      </c>
      <c r="B490" s="8" t="str">
        <f t="shared" si="88"/>
        <v>Начисленные расходы по срочным вкладам клиентов</v>
      </c>
      <c r="C490" s="7" t="str">
        <f t="shared" si="89"/>
        <v>2</v>
      </c>
      <c r="D490" s="7" t="str">
        <f>"7"</f>
        <v>7</v>
      </c>
      <c r="E490" s="7" t="str">
        <f>"1"</f>
        <v>1</v>
      </c>
      <c r="F490" s="9">
        <v>3792159.26</v>
      </c>
    </row>
    <row r="491" spans="1:6" x14ac:dyDescent="0.25">
      <c r="A491" s="7" t="str">
        <f t="shared" si="87"/>
        <v>2721</v>
      </c>
      <c r="B491" s="8" t="str">
        <f t="shared" si="88"/>
        <v>Начисленные расходы по срочным вкладам клиентов</v>
      </c>
      <c r="C491" s="7" t="str">
        <f t="shared" si="89"/>
        <v>2</v>
      </c>
      <c r="D491" s="7" t="str">
        <f>"5"</f>
        <v>5</v>
      </c>
      <c r="E491" s="7" t="str">
        <f>"2"</f>
        <v>2</v>
      </c>
      <c r="F491" s="9">
        <v>27703903.949999999</v>
      </c>
    </row>
    <row r="492" spans="1:6" x14ac:dyDescent="0.25">
      <c r="A492" s="7" t="str">
        <f t="shared" si="87"/>
        <v>2721</v>
      </c>
      <c r="B492" s="8" t="str">
        <f t="shared" si="88"/>
        <v>Начисленные расходы по срочным вкладам клиентов</v>
      </c>
      <c r="C492" s="7" t="str">
        <f t="shared" si="89"/>
        <v>2</v>
      </c>
      <c r="D492" s="7" t="str">
        <f>"9"</f>
        <v>9</v>
      </c>
      <c r="E492" s="7" t="str">
        <f>"2"</f>
        <v>2</v>
      </c>
      <c r="F492" s="9">
        <v>10.98</v>
      </c>
    </row>
    <row r="493" spans="1:6" x14ac:dyDescent="0.25">
      <c r="A493" s="7" t="str">
        <f t="shared" si="87"/>
        <v>2721</v>
      </c>
      <c r="B493" s="8" t="str">
        <f t="shared" si="88"/>
        <v>Начисленные расходы по срочным вкладам клиентов</v>
      </c>
      <c r="C493" s="7" t="str">
        <f t="shared" si="89"/>
        <v>2</v>
      </c>
      <c r="D493" s="7" t="str">
        <f>"9"</f>
        <v>9</v>
      </c>
      <c r="E493" s="7" t="str">
        <f>"1"</f>
        <v>1</v>
      </c>
      <c r="F493" s="9">
        <v>1001.56</v>
      </c>
    </row>
    <row r="494" spans="1:6" x14ac:dyDescent="0.25">
      <c r="A494" s="7" t="str">
        <f t="shared" ref="A494:A499" si="90">"2723"</f>
        <v>2723</v>
      </c>
      <c r="B494" s="8" t="str">
        <f t="shared" ref="B494:B499" si="91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C494" s="7" t="str">
        <f>"1"</f>
        <v>1</v>
      </c>
      <c r="D494" s="7" t="str">
        <f>"7"</f>
        <v>7</v>
      </c>
      <c r="E494" s="7" t="str">
        <f>"2"</f>
        <v>2</v>
      </c>
      <c r="F494" s="9">
        <v>3084339.05</v>
      </c>
    </row>
    <row r="495" spans="1:6" x14ac:dyDescent="0.25">
      <c r="A495" s="7" t="str">
        <f t="shared" si="90"/>
        <v>2723</v>
      </c>
      <c r="B495" s="8" t="str">
        <f t="shared" si="91"/>
        <v>Начисленные расходы по вкладу, являющемуся обеспечением обязательств клиентов</v>
      </c>
      <c r="C495" s="7" t="str">
        <f>"2"</f>
        <v>2</v>
      </c>
      <c r="D495" s="7" t="str">
        <f>"7"</f>
        <v>7</v>
      </c>
      <c r="E495" s="7" t="str">
        <f t="shared" ref="E495:E503" si="92">"1"</f>
        <v>1</v>
      </c>
      <c r="F495" s="9">
        <v>21192164.379999999</v>
      </c>
    </row>
    <row r="496" spans="1:6" x14ac:dyDescent="0.25">
      <c r="A496" s="7" t="str">
        <f t="shared" si="90"/>
        <v>2723</v>
      </c>
      <c r="B496" s="8" t="str">
        <f t="shared" si="91"/>
        <v>Начисленные расходы по вкладу, являющемуся обеспечением обязательств клиентов</v>
      </c>
      <c r="C496" s="7" t="str">
        <f>"2"</f>
        <v>2</v>
      </c>
      <c r="D496" s="7" t="str">
        <f>"9"</f>
        <v>9</v>
      </c>
      <c r="E496" s="7" t="str">
        <f t="shared" si="92"/>
        <v>1</v>
      </c>
      <c r="F496" s="9">
        <v>17350.46</v>
      </c>
    </row>
    <row r="497" spans="1:6" x14ac:dyDescent="0.25">
      <c r="A497" s="7" t="str">
        <f t="shared" si="90"/>
        <v>2723</v>
      </c>
      <c r="B497" s="8" t="str">
        <f t="shared" si="91"/>
        <v>Начисленные расходы по вкладу, являющемуся обеспечением обязательств клиентов</v>
      </c>
      <c r="C497" s="7" t="str">
        <f t="shared" ref="C497:C504" si="93">"1"</f>
        <v>1</v>
      </c>
      <c r="D497" s="7" t="str">
        <f>"7"</f>
        <v>7</v>
      </c>
      <c r="E497" s="7" t="str">
        <f t="shared" si="92"/>
        <v>1</v>
      </c>
      <c r="F497" s="9">
        <v>106113422.97</v>
      </c>
    </row>
    <row r="498" spans="1:6" x14ac:dyDescent="0.25">
      <c r="A498" s="7" t="str">
        <f t="shared" si="90"/>
        <v>2723</v>
      </c>
      <c r="B498" s="8" t="str">
        <f t="shared" si="91"/>
        <v>Начисленные расходы по вкладу, являющемуся обеспечением обязательств клиентов</v>
      </c>
      <c r="C498" s="7" t="str">
        <f t="shared" si="93"/>
        <v>1</v>
      </c>
      <c r="D498" s="7" t="str">
        <f>"9"</f>
        <v>9</v>
      </c>
      <c r="E498" s="7" t="str">
        <f t="shared" si="92"/>
        <v>1</v>
      </c>
      <c r="F498" s="9">
        <v>1996852.04</v>
      </c>
    </row>
    <row r="499" spans="1:6" x14ac:dyDescent="0.25">
      <c r="A499" s="7" t="str">
        <f t="shared" si="90"/>
        <v>2723</v>
      </c>
      <c r="B499" s="8" t="str">
        <f t="shared" si="91"/>
        <v>Начисленные расходы по вкладу, являющемуся обеспечением обязательств клиентов</v>
      </c>
      <c r="C499" s="7" t="str">
        <f t="shared" si="93"/>
        <v>1</v>
      </c>
      <c r="D499" s="7" t="str">
        <f>"5"</f>
        <v>5</v>
      </c>
      <c r="E499" s="7" t="str">
        <f t="shared" si="92"/>
        <v>1</v>
      </c>
      <c r="F499" s="9">
        <v>18876605.489999998</v>
      </c>
    </row>
    <row r="500" spans="1:6" x14ac:dyDescent="0.25">
      <c r="A500" s="7" t="str">
        <f t="shared" ref="A500:A507" si="94">"2724"</f>
        <v>2724</v>
      </c>
      <c r="B500" s="8" t="str">
        <f t="shared" ref="B500:B507" si="95">"Начисленные расходы по сберегательным вкладам клиентов"</f>
        <v>Начисленные расходы по сберегательным вкладам клиентов</v>
      </c>
      <c r="C500" s="7" t="str">
        <f t="shared" si="93"/>
        <v>1</v>
      </c>
      <c r="D500" s="7" t="str">
        <f>"9"</f>
        <v>9</v>
      </c>
      <c r="E500" s="7" t="str">
        <f t="shared" si="92"/>
        <v>1</v>
      </c>
      <c r="F500" s="9">
        <v>7636209.6299999999</v>
      </c>
    </row>
    <row r="501" spans="1:6" x14ac:dyDescent="0.25">
      <c r="A501" s="7" t="str">
        <f t="shared" si="94"/>
        <v>2724</v>
      </c>
      <c r="B501" s="8" t="str">
        <f t="shared" si="95"/>
        <v>Начисленные расходы по сберегательным вкладам клиентов</v>
      </c>
      <c r="C501" s="7" t="str">
        <f t="shared" si="93"/>
        <v>1</v>
      </c>
      <c r="D501" s="7" t="str">
        <f>"7"</f>
        <v>7</v>
      </c>
      <c r="E501" s="7" t="str">
        <f t="shared" si="92"/>
        <v>1</v>
      </c>
      <c r="F501" s="9">
        <v>73716457.170000002</v>
      </c>
    </row>
    <row r="502" spans="1:6" x14ac:dyDescent="0.25">
      <c r="A502" s="7" t="str">
        <f t="shared" si="94"/>
        <v>2724</v>
      </c>
      <c r="B502" s="8" t="str">
        <f t="shared" si="95"/>
        <v>Начисленные расходы по сберегательным вкладам клиентов</v>
      </c>
      <c r="C502" s="7" t="str">
        <f t="shared" si="93"/>
        <v>1</v>
      </c>
      <c r="D502" s="7" t="str">
        <f>"6"</f>
        <v>6</v>
      </c>
      <c r="E502" s="7" t="str">
        <f t="shared" si="92"/>
        <v>1</v>
      </c>
      <c r="F502" s="9">
        <v>60193696.259999998</v>
      </c>
    </row>
    <row r="503" spans="1:6" x14ac:dyDescent="0.25">
      <c r="A503" s="7" t="str">
        <f t="shared" si="94"/>
        <v>2724</v>
      </c>
      <c r="B503" s="8" t="str">
        <f t="shared" si="95"/>
        <v>Начисленные расходы по сберегательным вкладам клиентов</v>
      </c>
      <c r="C503" s="7" t="str">
        <f t="shared" si="93"/>
        <v>1</v>
      </c>
      <c r="D503" s="7" t="str">
        <f>"5"</f>
        <v>5</v>
      </c>
      <c r="E503" s="7" t="str">
        <f t="shared" si="92"/>
        <v>1</v>
      </c>
      <c r="F503" s="9">
        <v>1237830</v>
      </c>
    </row>
    <row r="504" spans="1:6" x14ac:dyDescent="0.25">
      <c r="A504" s="7" t="str">
        <f t="shared" si="94"/>
        <v>2724</v>
      </c>
      <c r="B504" s="8" t="str">
        <f t="shared" si="95"/>
        <v>Начисленные расходы по сберегательным вкладам клиентов</v>
      </c>
      <c r="C504" s="7" t="str">
        <f t="shared" si="93"/>
        <v>1</v>
      </c>
      <c r="D504" s="7" t="str">
        <f>"7"</f>
        <v>7</v>
      </c>
      <c r="E504" s="7" t="str">
        <f>"2"</f>
        <v>2</v>
      </c>
      <c r="F504" s="9">
        <v>15277023.48</v>
      </c>
    </row>
    <row r="505" spans="1:6" x14ac:dyDescent="0.25">
      <c r="A505" s="7" t="str">
        <f t="shared" si="94"/>
        <v>2724</v>
      </c>
      <c r="B505" s="8" t="str">
        <f t="shared" si="95"/>
        <v>Начисленные расходы по сберегательным вкладам клиентов</v>
      </c>
      <c r="C505" s="7" t="str">
        <f>"2"</f>
        <v>2</v>
      </c>
      <c r="D505" s="7" t="str">
        <f>"7"</f>
        <v>7</v>
      </c>
      <c r="E505" s="7" t="str">
        <f>"2"</f>
        <v>2</v>
      </c>
      <c r="F505" s="9">
        <v>79679.59</v>
      </c>
    </row>
    <row r="506" spans="1:6" x14ac:dyDescent="0.25">
      <c r="A506" s="7" t="str">
        <f t="shared" si="94"/>
        <v>2724</v>
      </c>
      <c r="B506" s="8" t="str">
        <f t="shared" si="95"/>
        <v>Начисленные расходы по сберегательным вкладам клиентов</v>
      </c>
      <c r="C506" s="7" t="str">
        <f>"1"</f>
        <v>1</v>
      </c>
      <c r="D506" s="7" t="str">
        <f>"8"</f>
        <v>8</v>
      </c>
      <c r="E506" s="7" t="str">
        <f t="shared" ref="E506:E523" si="96">"1"</f>
        <v>1</v>
      </c>
      <c r="F506" s="9">
        <v>8440833.3399999999</v>
      </c>
    </row>
    <row r="507" spans="1:6" x14ac:dyDescent="0.25">
      <c r="A507" s="7" t="str">
        <f t="shared" si="94"/>
        <v>2724</v>
      </c>
      <c r="B507" s="8" t="str">
        <f t="shared" si="95"/>
        <v>Начисленные расходы по сберегательным вкладам клиентов</v>
      </c>
      <c r="C507" s="7" t="str">
        <f>"2"</f>
        <v>2</v>
      </c>
      <c r="D507" s="7" t="str">
        <f>"9"</f>
        <v>9</v>
      </c>
      <c r="E507" s="7" t="str">
        <f t="shared" si="96"/>
        <v>1</v>
      </c>
      <c r="F507" s="9">
        <v>83605</v>
      </c>
    </row>
    <row r="508" spans="1:6" x14ac:dyDescent="0.25">
      <c r="A508" s="7" t="str">
        <f>"2725"</f>
        <v>2725</v>
      </c>
      <c r="B508" s="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C508" s="7" t="str">
        <f t="shared" ref="C508:C521" si="97">"1"</f>
        <v>1</v>
      </c>
      <c r="D508" s="7" t="str">
        <f>"5"</f>
        <v>5</v>
      </c>
      <c r="E508" s="7" t="str">
        <f t="shared" si="96"/>
        <v>1</v>
      </c>
      <c r="F508" s="9">
        <v>341097996.87</v>
      </c>
    </row>
    <row r="509" spans="1:6" x14ac:dyDescent="0.25">
      <c r="A509" s="7" t="str">
        <f>"2730"</f>
        <v>2730</v>
      </c>
      <c r="B509" s="8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C509" s="7" t="str">
        <f t="shared" si="97"/>
        <v>1</v>
      </c>
      <c r="D509" s="7" t="str">
        <f>"5"</f>
        <v>5</v>
      </c>
      <c r="E509" s="7" t="str">
        <f t="shared" si="96"/>
        <v>1</v>
      </c>
      <c r="F509" s="9">
        <v>108676323.20999999</v>
      </c>
    </row>
    <row r="510" spans="1:6" x14ac:dyDescent="0.25">
      <c r="A510" s="7" t="str">
        <f>"2731"</f>
        <v>2731</v>
      </c>
      <c r="B510" s="8" t="str">
        <f>"Начисленные расходы по прочим операциям"</f>
        <v>Начисленные расходы по прочим операциям</v>
      </c>
      <c r="C510" s="7" t="str">
        <f t="shared" si="97"/>
        <v>1</v>
      </c>
      <c r="D510" s="7" t="str">
        <f>"5"</f>
        <v>5</v>
      </c>
      <c r="E510" s="7" t="str">
        <f t="shared" si="96"/>
        <v>1</v>
      </c>
      <c r="F510" s="9">
        <v>1185775447.3299999</v>
      </c>
    </row>
    <row r="511" spans="1:6" x14ac:dyDescent="0.25">
      <c r="A511" s="7" t="str">
        <f>"2745"</f>
        <v>2745</v>
      </c>
      <c r="B511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11" s="7" t="str">
        <f t="shared" si="97"/>
        <v>1</v>
      </c>
      <c r="D511" s="7" t="str">
        <f>"5"</f>
        <v>5</v>
      </c>
      <c r="E511" s="7" t="str">
        <f t="shared" si="96"/>
        <v>1</v>
      </c>
      <c r="F511" s="9">
        <v>271788.03000000003</v>
      </c>
    </row>
    <row r="512" spans="1:6" x14ac:dyDescent="0.25">
      <c r="A512" s="7" t="str">
        <f>"2745"</f>
        <v>2745</v>
      </c>
      <c r="B512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12" s="7" t="str">
        <f t="shared" si="97"/>
        <v>1</v>
      </c>
      <c r="D512" s="7" t="str">
        <f>"1"</f>
        <v>1</v>
      </c>
      <c r="E512" s="7" t="str">
        <f t="shared" si="96"/>
        <v>1</v>
      </c>
      <c r="F512" s="9">
        <v>96.87</v>
      </c>
    </row>
    <row r="513" spans="1:6" x14ac:dyDescent="0.25">
      <c r="A513" s="7" t="str">
        <f>"2745"</f>
        <v>2745</v>
      </c>
      <c r="B513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13" s="7" t="str">
        <f t="shared" si="97"/>
        <v>1</v>
      </c>
      <c r="D513" s="7" t="str">
        <f>"7"</f>
        <v>7</v>
      </c>
      <c r="E513" s="7" t="str">
        <f t="shared" si="96"/>
        <v>1</v>
      </c>
      <c r="F513" s="9">
        <v>75197343.579999998</v>
      </c>
    </row>
    <row r="514" spans="1:6" x14ac:dyDescent="0.25">
      <c r="A514" s="7" t="str">
        <f>"2745"</f>
        <v>2745</v>
      </c>
      <c r="B514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14" s="7" t="str">
        <f t="shared" si="97"/>
        <v>1</v>
      </c>
      <c r="D514" s="7" t="str">
        <f>"8"</f>
        <v>8</v>
      </c>
      <c r="E514" s="7" t="str">
        <f t="shared" si="96"/>
        <v>1</v>
      </c>
      <c r="F514" s="9">
        <v>245933.31</v>
      </c>
    </row>
    <row r="515" spans="1:6" x14ac:dyDescent="0.25">
      <c r="A515" s="7" t="str">
        <f>"2745"</f>
        <v>2745</v>
      </c>
      <c r="B515" s="8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15" s="7" t="str">
        <f t="shared" si="97"/>
        <v>1</v>
      </c>
      <c r="D515" s="7" t="str">
        <f>"9"</f>
        <v>9</v>
      </c>
      <c r="E515" s="7" t="str">
        <f t="shared" si="96"/>
        <v>1</v>
      </c>
      <c r="F515" s="9">
        <v>33905369.399999999</v>
      </c>
    </row>
    <row r="516" spans="1:6" x14ac:dyDescent="0.25">
      <c r="A516" s="7" t="str">
        <f>"2756"</f>
        <v>2756</v>
      </c>
      <c r="B516" s="8" t="str">
        <f>"Начисленные расходы по субординированным облигациям"</f>
        <v>Начисленные расходы по субординированным облигациям</v>
      </c>
      <c r="C516" s="7" t="str">
        <f t="shared" si="97"/>
        <v>1</v>
      </c>
      <c r="D516" s="7" t="str">
        <f>"5"</f>
        <v>5</v>
      </c>
      <c r="E516" s="7" t="str">
        <f t="shared" si="96"/>
        <v>1</v>
      </c>
      <c r="F516" s="9">
        <v>5700000000</v>
      </c>
    </row>
    <row r="517" spans="1:6" x14ac:dyDescent="0.25">
      <c r="A517" s="7" t="str">
        <f t="shared" ref="A517:A523" si="98">"2770"</f>
        <v>2770</v>
      </c>
      <c r="B517" s="8" t="str">
        <f t="shared" ref="B517:B523" si="99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517" s="7" t="str">
        <f t="shared" si="97"/>
        <v>1</v>
      </c>
      <c r="D517" s="7" t="str">
        <f>"1"</f>
        <v>1</v>
      </c>
      <c r="E517" s="7" t="str">
        <f t="shared" si="96"/>
        <v>1</v>
      </c>
      <c r="F517" s="9">
        <v>34389843.670000002</v>
      </c>
    </row>
    <row r="518" spans="1:6" x14ac:dyDescent="0.25">
      <c r="A518" s="7" t="str">
        <f t="shared" si="98"/>
        <v>2770</v>
      </c>
      <c r="B518" s="8" t="str">
        <f t="shared" si="99"/>
        <v>Начисленные расходы по административно-хозяйственной деятельности</v>
      </c>
      <c r="C518" s="7" t="str">
        <f t="shared" si="97"/>
        <v>1</v>
      </c>
      <c r="D518" s="7" t="str">
        <f>"5"</f>
        <v>5</v>
      </c>
      <c r="E518" s="7" t="str">
        <f t="shared" si="96"/>
        <v>1</v>
      </c>
      <c r="F518" s="9">
        <v>2857054.67</v>
      </c>
    </row>
    <row r="519" spans="1:6" x14ac:dyDescent="0.25">
      <c r="A519" s="7" t="str">
        <f t="shared" si="98"/>
        <v>2770</v>
      </c>
      <c r="B519" s="8" t="str">
        <f t="shared" si="99"/>
        <v>Начисленные расходы по административно-хозяйственной деятельности</v>
      </c>
      <c r="C519" s="7" t="str">
        <f t="shared" si="97"/>
        <v>1</v>
      </c>
      <c r="D519" s="7" t="str">
        <f>"6"</f>
        <v>6</v>
      </c>
      <c r="E519" s="7" t="str">
        <f t="shared" si="96"/>
        <v>1</v>
      </c>
      <c r="F519" s="9">
        <v>65359613.490000002</v>
      </c>
    </row>
    <row r="520" spans="1:6" x14ac:dyDescent="0.25">
      <c r="A520" s="7" t="str">
        <f t="shared" si="98"/>
        <v>2770</v>
      </c>
      <c r="B520" s="8" t="str">
        <f t="shared" si="99"/>
        <v>Начисленные расходы по административно-хозяйственной деятельности</v>
      </c>
      <c r="C520" s="7" t="str">
        <f t="shared" si="97"/>
        <v>1</v>
      </c>
      <c r="D520" s="7" t="str">
        <f>"9"</f>
        <v>9</v>
      </c>
      <c r="E520" s="7" t="str">
        <f t="shared" si="96"/>
        <v>1</v>
      </c>
      <c r="F520" s="9">
        <v>90571103.920000002</v>
      </c>
    </row>
    <row r="521" spans="1:6" x14ac:dyDescent="0.25">
      <c r="A521" s="7" t="str">
        <f t="shared" si="98"/>
        <v>2770</v>
      </c>
      <c r="B521" s="8" t="str">
        <f t="shared" si="99"/>
        <v>Начисленные расходы по административно-хозяйственной деятельности</v>
      </c>
      <c r="C521" s="7" t="str">
        <f t="shared" si="97"/>
        <v>1</v>
      </c>
      <c r="D521" s="7" t="str">
        <f>"7"</f>
        <v>7</v>
      </c>
      <c r="E521" s="7" t="str">
        <f t="shared" si="96"/>
        <v>1</v>
      </c>
      <c r="F521" s="9">
        <v>736366448.64999998</v>
      </c>
    </row>
    <row r="522" spans="1:6" x14ac:dyDescent="0.25">
      <c r="A522" s="7" t="str">
        <f t="shared" si="98"/>
        <v>2770</v>
      </c>
      <c r="B522" s="8" t="str">
        <f t="shared" si="99"/>
        <v>Начисленные расходы по административно-хозяйственной деятельности</v>
      </c>
      <c r="C522" s="7" t="str">
        <f>"2"</f>
        <v>2</v>
      </c>
      <c r="D522" s="7" t="str">
        <f>"7"</f>
        <v>7</v>
      </c>
      <c r="E522" s="7" t="str">
        <f t="shared" si="96"/>
        <v>1</v>
      </c>
      <c r="F522" s="9">
        <v>97624014.569999993</v>
      </c>
    </row>
    <row r="523" spans="1:6" x14ac:dyDescent="0.25">
      <c r="A523" s="7" t="str">
        <f t="shared" si="98"/>
        <v>2770</v>
      </c>
      <c r="B523" s="8" t="str">
        <f t="shared" si="99"/>
        <v>Начисленные расходы по административно-хозяйственной деятельности</v>
      </c>
      <c r="C523" s="7" t="str">
        <f>"1"</f>
        <v>1</v>
      </c>
      <c r="D523" s="7" t="str">
        <f>"8"</f>
        <v>8</v>
      </c>
      <c r="E523" s="7" t="str">
        <f t="shared" si="96"/>
        <v>1</v>
      </c>
      <c r="F523" s="9">
        <v>9604505.0500000007</v>
      </c>
    </row>
    <row r="524" spans="1:6" x14ac:dyDescent="0.25">
      <c r="A524" s="7" t="str">
        <f>"2792"</f>
        <v>2792</v>
      </c>
      <c r="B524" s="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C524" s="7" t="str">
        <f>"2"</f>
        <v>2</v>
      </c>
      <c r="D524" s="7" t="str">
        <f>"7"</f>
        <v>7</v>
      </c>
      <c r="E524" s="7" t="str">
        <f>"2"</f>
        <v>2</v>
      </c>
      <c r="F524" s="9">
        <v>16.47</v>
      </c>
    </row>
    <row r="525" spans="1:6" x14ac:dyDescent="0.25">
      <c r="A525" s="7" t="str">
        <f>"2792"</f>
        <v>2792</v>
      </c>
      <c r="B525" s="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C525" s="7" t="str">
        <f>"2"</f>
        <v>2</v>
      </c>
      <c r="D525" s="7" t="str">
        <f>"7"</f>
        <v>7</v>
      </c>
      <c r="E525" s="7" t="str">
        <f>"3"</f>
        <v>3</v>
      </c>
      <c r="F525" s="9">
        <v>2.13</v>
      </c>
    </row>
    <row r="526" spans="1:6" x14ac:dyDescent="0.25">
      <c r="A526" s="7" t="str">
        <f>"2794"</f>
        <v>2794</v>
      </c>
      <c r="B526" s="8" t="str">
        <f>"Доходы будущих периодов"</f>
        <v>Доходы будущих периодов</v>
      </c>
      <c r="C526" s="7" t="str">
        <f>"1"</f>
        <v>1</v>
      </c>
      <c r="D526" s="7" t="str">
        <f>"7"</f>
        <v>7</v>
      </c>
      <c r="E526" s="7" t="str">
        <f>"2"</f>
        <v>2</v>
      </c>
      <c r="F526" s="9">
        <v>565685476.39999998</v>
      </c>
    </row>
    <row r="527" spans="1:6" x14ac:dyDescent="0.25">
      <c r="A527" s="7" t="str">
        <f>"2794"</f>
        <v>2794</v>
      </c>
      <c r="B527" s="8" t="str">
        <f>"Доходы будущих периодов"</f>
        <v>Доходы будущих периодов</v>
      </c>
      <c r="C527" s="7" t="str">
        <f>"2"</f>
        <v>2</v>
      </c>
      <c r="D527" s="7" t="str">
        <f>"9"</f>
        <v>9</v>
      </c>
      <c r="E527" s="7" t="str">
        <f t="shared" ref="E527:E540" si="100">"1"</f>
        <v>1</v>
      </c>
      <c r="F527" s="9">
        <v>13770806.15</v>
      </c>
    </row>
    <row r="528" spans="1:6" x14ac:dyDescent="0.25">
      <c r="A528" s="7" t="str">
        <f>"2794"</f>
        <v>2794</v>
      </c>
      <c r="B528" s="8" t="str">
        <f>"Доходы будущих периодов"</f>
        <v>Доходы будущих периодов</v>
      </c>
      <c r="C528" s="7" t="str">
        <f t="shared" ref="C528:C533" si="101">"1"</f>
        <v>1</v>
      </c>
      <c r="D528" s="7" t="str">
        <f>"5"</f>
        <v>5</v>
      </c>
      <c r="E528" s="7" t="str">
        <f t="shared" si="100"/>
        <v>1</v>
      </c>
      <c r="F528" s="9">
        <v>101394395.66</v>
      </c>
    </row>
    <row r="529" spans="1:6" x14ac:dyDescent="0.25">
      <c r="A529" s="7" t="str">
        <f>"2794"</f>
        <v>2794</v>
      </c>
      <c r="B529" s="8" t="str">
        <f>"Доходы будущих периодов"</f>
        <v>Доходы будущих периодов</v>
      </c>
      <c r="C529" s="7" t="str">
        <f t="shared" si="101"/>
        <v>1</v>
      </c>
      <c r="D529" s="7" t="str">
        <f>"7"</f>
        <v>7</v>
      </c>
      <c r="E529" s="7" t="str">
        <f t="shared" si="100"/>
        <v>1</v>
      </c>
      <c r="F529" s="9">
        <v>819915981.36000001</v>
      </c>
    </row>
    <row r="530" spans="1:6" x14ac:dyDescent="0.25">
      <c r="A530" s="7" t="str">
        <f>"2794"</f>
        <v>2794</v>
      </c>
      <c r="B530" s="8" t="str">
        <f>"Доходы будущих периодов"</f>
        <v>Доходы будущих периодов</v>
      </c>
      <c r="C530" s="7" t="str">
        <f t="shared" si="101"/>
        <v>1</v>
      </c>
      <c r="D530" s="7" t="str">
        <f>"9"</f>
        <v>9</v>
      </c>
      <c r="E530" s="7" t="str">
        <f t="shared" si="100"/>
        <v>1</v>
      </c>
      <c r="F530" s="9">
        <v>158982234.97</v>
      </c>
    </row>
    <row r="531" spans="1:6" x14ac:dyDescent="0.25">
      <c r="A531" s="7" t="str">
        <f>"2799"</f>
        <v>2799</v>
      </c>
      <c r="B531" s="8" t="str">
        <f>"Прочие предоплаты"</f>
        <v>Прочие предоплаты</v>
      </c>
      <c r="C531" s="7" t="str">
        <f t="shared" si="101"/>
        <v>1</v>
      </c>
      <c r="D531" s="7" t="str">
        <f>"9"</f>
        <v>9</v>
      </c>
      <c r="E531" s="7" t="str">
        <f t="shared" si="100"/>
        <v>1</v>
      </c>
      <c r="F531" s="9">
        <v>703455811.32000005</v>
      </c>
    </row>
    <row r="532" spans="1:6" x14ac:dyDescent="0.25">
      <c r="A532" s="7" t="str">
        <f>"2799"</f>
        <v>2799</v>
      </c>
      <c r="B532" s="8" t="str">
        <f>"Прочие предоплаты"</f>
        <v>Прочие предоплаты</v>
      </c>
      <c r="C532" s="7" t="str">
        <f t="shared" si="101"/>
        <v>1</v>
      </c>
      <c r="D532" s="7" t="str">
        <f>"7"</f>
        <v>7</v>
      </c>
      <c r="E532" s="7" t="str">
        <f t="shared" si="100"/>
        <v>1</v>
      </c>
      <c r="F532" s="9">
        <v>43800</v>
      </c>
    </row>
    <row r="533" spans="1:6" x14ac:dyDescent="0.25">
      <c r="A533" s="7" t="str">
        <f>"2811"</f>
        <v>2811</v>
      </c>
      <c r="B533" s="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33" s="7" t="str">
        <f t="shared" si="101"/>
        <v>1</v>
      </c>
      <c r="D533" s="7">
        <v>0</v>
      </c>
      <c r="E533" s="7" t="str">
        <f t="shared" si="100"/>
        <v>1</v>
      </c>
      <c r="F533" s="9">
        <v>1</v>
      </c>
    </row>
    <row r="534" spans="1:6" x14ac:dyDescent="0.25">
      <c r="A534" s="7" t="str">
        <f>"2812"</f>
        <v>2812</v>
      </c>
      <c r="B534" s="8" t="str">
        <f>"Начисленные комиссионные расходы по агентским услугам"</f>
        <v>Начисленные комиссионные расходы по агентским услугам</v>
      </c>
      <c r="C534" s="7" t="str">
        <f>"2"</f>
        <v>2</v>
      </c>
      <c r="D534" s="7">
        <v>0</v>
      </c>
      <c r="E534" s="7" t="str">
        <f t="shared" si="100"/>
        <v>1</v>
      </c>
      <c r="F534" s="9">
        <v>5040</v>
      </c>
    </row>
    <row r="535" spans="1:6" x14ac:dyDescent="0.25">
      <c r="A535" s="7" t="str">
        <f>"2812"</f>
        <v>2812</v>
      </c>
      <c r="B535" s="8" t="str">
        <f>"Начисленные комиссионные расходы по агентским услугам"</f>
        <v>Начисленные комиссионные расходы по агентским услугам</v>
      </c>
      <c r="C535" s="7" t="str">
        <f t="shared" ref="C535:C540" si="102">"1"</f>
        <v>1</v>
      </c>
      <c r="D535" s="7">
        <v>0</v>
      </c>
      <c r="E535" s="7" t="str">
        <f t="shared" si="100"/>
        <v>1</v>
      </c>
      <c r="F535" s="9">
        <v>49004869.75</v>
      </c>
    </row>
    <row r="536" spans="1:6" x14ac:dyDescent="0.25">
      <c r="A536" s="7" t="str">
        <f>"2813"</f>
        <v>2813</v>
      </c>
      <c r="B536" s="8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36" s="7" t="str">
        <f t="shared" si="102"/>
        <v>1</v>
      </c>
      <c r="D536" s="7">
        <v>0</v>
      </c>
      <c r="E536" s="7" t="str">
        <f t="shared" si="100"/>
        <v>1</v>
      </c>
      <c r="F536" s="9">
        <v>4641847.1500000004</v>
      </c>
    </row>
    <row r="537" spans="1:6" x14ac:dyDescent="0.25">
      <c r="A537" s="7" t="str">
        <f>"2818"</f>
        <v>2818</v>
      </c>
      <c r="B537" s="8" t="str">
        <f>"Начисленные прочие комиссионные расходы"</f>
        <v>Начисленные прочие комиссионные расходы</v>
      </c>
      <c r="C537" s="7" t="str">
        <f t="shared" si="102"/>
        <v>1</v>
      </c>
      <c r="D537" s="7">
        <v>0</v>
      </c>
      <c r="E537" s="7" t="str">
        <f t="shared" si="100"/>
        <v>1</v>
      </c>
      <c r="F537" s="9">
        <v>10445868.779999999</v>
      </c>
    </row>
    <row r="538" spans="1:6" x14ac:dyDescent="0.25">
      <c r="A538" s="7" t="str">
        <f>"2819"</f>
        <v>2819</v>
      </c>
      <c r="B538" s="8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C538" s="7" t="str">
        <f t="shared" si="102"/>
        <v>1</v>
      </c>
      <c r="D538" s="7">
        <v>0</v>
      </c>
      <c r="E538" s="7" t="str">
        <f t="shared" si="100"/>
        <v>1</v>
      </c>
      <c r="F538" s="9">
        <v>1376200</v>
      </c>
    </row>
    <row r="539" spans="1:6" x14ac:dyDescent="0.25">
      <c r="A539" s="7" t="str">
        <f>"2820"</f>
        <v>2820</v>
      </c>
      <c r="B539" s="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539" s="7" t="str">
        <f t="shared" si="102"/>
        <v>1</v>
      </c>
      <c r="D539" s="7">
        <v>0</v>
      </c>
      <c r="E539" s="7" t="str">
        <f t="shared" si="100"/>
        <v>1</v>
      </c>
      <c r="F539" s="9">
        <v>412990333.29000002</v>
      </c>
    </row>
    <row r="540" spans="1:6" x14ac:dyDescent="0.25">
      <c r="A540" s="7" t="str">
        <f>"2851"</f>
        <v>2851</v>
      </c>
      <c r="B540" s="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40" s="7" t="str">
        <f t="shared" si="102"/>
        <v>1</v>
      </c>
      <c r="D540" s="7" t="str">
        <f>"1"</f>
        <v>1</v>
      </c>
      <c r="E540" s="7" t="str">
        <f t="shared" si="100"/>
        <v>1</v>
      </c>
      <c r="F540" s="9">
        <v>3297783354.54</v>
      </c>
    </row>
    <row r="541" spans="1:6" x14ac:dyDescent="0.25">
      <c r="A541" s="7" t="str">
        <f>"2854"</f>
        <v>2854</v>
      </c>
      <c r="B541" s="8" t="str">
        <f>"Расчеты с работниками"</f>
        <v>Расчеты с работниками</v>
      </c>
      <c r="C541" s="7">
        <v>0</v>
      </c>
      <c r="D541" s="7">
        <v>0</v>
      </c>
      <c r="E541" s="7">
        <v>0</v>
      </c>
      <c r="F541" s="9">
        <v>2993259139.4899998</v>
      </c>
    </row>
    <row r="542" spans="1:6" x14ac:dyDescent="0.25">
      <c r="A542" s="7" t="str">
        <f>"2855"</f>
        <v>2855</v>
      </c>
      <c r="B542" s="8" t="str">
        <f>"Кредиторы по документарным расчетам"</f>
        <v>Кредиторы по документарным расчетам</v>
      </c>
      <c r="C542" s="7" t="str">
        <f>"1"</f>
        <v>1</v>
      </c>
      <c r="D542" s="7" t="str">
        <f>"7"</f>
        <v>7</v>
      </c>
      <c r="E542" s="7" t="str">
        <f>"2"</f>
        <v>2</v>
      </c>
      <c r="F542" s="9">
        <v>375649336.99000001</v>
      </c>
    </row>
    <row r="543" spans="1:6" x14ac:dyDescent="0.25">
      <c r="A543" s="7" t="str">
        <f>"2857"</f>
        <v>2857</v>
      </c>
      <c r="B543" s="8" t="str">
        <f>"Отложенные налоговые обязательства"</f>
        <v>Отложенные налоговые обязательства</v>
      </c>
      <c r="C543" s="7">
        <v>0</v>
      </c>
      <c r="D543" s="7">
        <v>0</v>
      </c>
      <c r="E543" s="7">
        <v>0</v>
      </c>
      <c r="F543" s="9">
        <v>15895022505.389999</v>
      </c>
    </row>
    <row r="544" spans="1:6" x14ac:dyDescent="0.25">
      <c r="A544" s="7" t="str">
        <f t="shared" ref="A544:A560" si="103">"2860"</f>
        <v>2860</v>
      </c>
      <c r="B544" s="8" t="str">
        <f t="shared" ref="B544:B560" si="104">"Прочие кредиторы по банковской деятельности"</f>
        <v>Прочие кредиторы по банковской деятельности</v>
      </c>
      <c r="C544" s="7" t="str">
        <f>"2"</f>
        <v>2</v>
      </c>
      <c r="D544" s="7" t="str">
        <f>"5"</f>
        <v>5</v>
      </c>
      <c r="E544" s="7" t="str">
        <f>"2"</f>
        <v>2</v>
      </c>
      <c r="F544" s="9">
        <v>594035916.79999995</v>
      </c>
    </row>
    <row r="545" spans="1:6" x14ac:dyDescent="0.25">
      <c r="A545" s="7" t="str">
        <f t="shared" si="103"/>
        <v>2860</v>
      </c>
      <c r="B545" s="8" t="str">
        <f t="shared" si="104"/>
        <v>Прочие кредиторы по банковской деятельности</v>
      </c>
      <c r="C545" s="7" t="str">
        <f>"2"</f>
        <v>2</v>
      </c>
      <c r="D545" s="7" t="str">
        <f>"9"</f>
        <v>9</v>
      </c>
      <c r="E545" s="7" t="str">
        <f>"3"</f>
        <v>3</v>
      </c>
      <c r="F545" s="9">
        <v>122819.71</v>
      </c>
    </row>
    <row r="546" spans="1:6" x14ac:dyDescent="0.25">
      <c r="A546" s="7" t="str">
        <f t="shared" si="103"/>
        <v>2860</v>
      </c>
      <c r="B546" s="8" t="str">
        <f t="shared" si="104"/>
        <v>Прочие кредиторы по банковской деятельности</v>
      </c>
      <c r="C546" s="7" t="str">
        <f>"2"</f>
        <v>2</v>
      </c>
      <c r="D546" s="7" t="str">
        <f>"9"</f>
        <v>9</v>
      </c>
      <c r="E546" s="7" t="str">
        <f>"2"</f>
        <v>2</v>
      </c>
      <c r="F546" s="9">
        <v>4085208.3</v>
      </c>
    </row>
    <row r="547" spans="1:6" x14ac:dyDescent="0.25">
      <c r="A547" s="7" t="str">
        <f t="shared" si="103"/>
        <v>2860</v>
      </c>
      <c r="B547" s="8" t="str">
        <f t="shared" si="104"/>
        <v>Прочие кредиторы по банковской деятельности</v>
      </c>
      <c r="C547" s="7" t="str">
        <f>"1"</f>
        <v>1</v>
      </c>
      <c r="D547" s="7" t="str">
        <f>"1"</f>
        <v>1</v>
      </c>
      <c r="E547" s="7" t="str">
        <f>"1"</f>
        <v>1</v>
      </c>
      <c r="F547" s="9">
        <v>96297079</v>
      </c>
    </row>
    <row r="548" spans="1:6" x14ac:dyDescent="0.25">
      <c r="A548" s="7" t="str">
        <f t="shared" si="103"/>
        <v>2860</v>
      </c>
      <c r="B548" s="8" t="str">
        <f t="shared" si="104"/>
        <v>Прочие кредиторы по банковской деятельности</v>
      </c>
      <c r="C548" s="7" t="str">
        <f t="shared" ref="C548:C555" si="105">"1"</f>
        <v>1</v>
      </c>
      <c r="D548" s="7" t="str">
        <f>"4"</f>
        <v>4</v>
      </c>
      <c r="E548" s="7" t="str">
        <f>"1"</f>
        <v>1</v>
      </c>
      <c r="F548" s="9">
        <v>5064944442.1300001</v>
      </c>
    </row>
    <row r="549" spans="1:6" x14ac:dyDescent="0.25">
      <c r="A549" s="7" t="str">
        <f t="shared" si="103"/>
        <v>2860</v>
      </c>
      <c r="B549" s="8" t="str">
        <f t="shared" si="104"/>
        <v>Прочие кредиторы по банковской деятельности</v>
      </c>
      <c r="C549" s="7" t="str">
        <f t="shared" si="105"/>
        <v>1</v>
      </c>
      <c r="D549" s="7" t="str">
        <f>"4"</f>
        <v>4</v>
      </c>
      <c r="E549" s="7" t="str">
        <f>"2"</f>
        <v>2</v>
      </c>
      <c r="F549" s="9">
        <v>32943594.510000002</v>
      </c>
    </row>
    <row r="550" spans="1:6" x14ac:dyDescent="0.25">
      <c r="A550" s="7" t="str">
        <f t="shared" si="103"/>
        <v>2860</v>
      </c>
      <c r="B550" s="8" t="str">
        <f t="shared" si="104"/>
        <v>Прочие кредиторы по банковской деятельности</v>
      </c>
      <c r="C550" s="7" t="str">
        <f t="shared" si="105"/>
        <v>1</v>
      </c>
      <c r="D550" s="7" t="str">
        <f>"6"</f>
        <v>6</v>
      </c>
      <c r="E550" s="7" t="str">
        <f>"1"</f>
        <v>1</v>
      </c>
      <c r="F550" s="9">
        <v>1562781.87</v>
      </c>
    </row>
    <row r="551" spans="1:6" x14ac:dyDescent="0.25">
      <c r="A551" s="7" t="str">
        <f t="shared" si="103"/>
        <v>2860</v>
      </c>
      <c r="B551" s="8" t="str">
        <f t="shared" si="104"/>
        <v>Прочие кредиторы по банковской деятельности</v>
      </c>
      <c r="C551" s="7" t="str">
        <f t="shared" si="105"/>
        <v>1</v>
      </c>
      <c r="D551" s="7" t="str">
        <f>"5"</f>
        <v>5</v>
      </c>
      <c r="E551" s="7" t="str">
        <f>"1"</f>
        <v>1</v>
      </c>
      <c r="F551" s="9">
        <v>246299101.81999999</v>
      </c>
    </row>
    <row r="552" spans="1:6" x14ac:dyDescent="0.25">
      <c r="A552" s="7" t="str">
        <f t="shared" si="103"/>
        <v>2860</v>
      </c>
      <c r="B552" s="8" t="str">
        <f t="shared" si="104"/>
        <v>Прочие кредиторы по банковской деятельности</v>
      </c>
      <c r="C552" s="7" t="str">
        <f t="shared" si="105"/>
        <v>1</v>
      </c>
      <c r="D552" s="7" t="str">
        <f>"9"</f>
        <v>9</v>
      </c>
      <c r="E552" s="7" t="str">
        <f>"1"</f>
        <v>1</v>
      </c>
      <c r="F552" s="9">
        <v>2540164146.71</v>
      </c>
    </row>
    <row r="553" spans="1:6" x14ac:dyDescent="0.25">
      <c r="A553" s="7" t="str">
        <f t="shared" si="103"/>
        <v>2860</v>
      </c>
      <c r="B553" s="8" t="str">
        <f t="shared" si="104"/>
        <v>Прочие кредиторы по банковской деятельности</v>
      </c>
      <c r="C553" s="7" t="str">
        <f t="shared" si="105"/>
        <v>1</v>
      </c>
      <c r="D553" s="7" t="str">
        <f>"9"</f>
        <v>9</v>
      </c>
      <c r="E553" s="7" t="str">
        <f>"3"</f>
        <v>3</v>
      </c>
      <c r="F553" s="9">
        <v>11.85</v>
      </c>
    </row>
    <row r="554" spans="1:6" x14ac:dyDescent="0.25">
      <c r="A554" s="7" t="str">
        <f t="shared" si="103"/>
        <v>2860</v>
      </c>
      <c r="B554" s="8" t="str">
        <f t="shared" si="104"/>
        <v>Прочие кредиторы по банковской деятельности</v>
      </c>
      <c r="C554" s="7" t="str">
        <f t="shared" si="105"/>
        <v>1</v>
      </c>
      <c r="D554" s="7" t="str">
        <f>"9"</f>
        <v>9</v>
      </c>
      <c r="E554" s="7" t="str">
        <f>"2"</f>
        <v>2</v>
      </c>
      <c r="F554" s="9">
        <v>26029490.140000001</v>
      </c>
    </row>
    <row r="555" spans="1:6" x14ac:dyDescent="0.25">
      <c r="A555" s="7" t="str">
        <f t="shared" si="103"/>
        <v>2860</v>
      </c>
      <c r="B555" s="8" t="str">
        <f t="shared" si="104"/>
        <v>Прочие кредиторы по банковской деятельности</v>
      </c>
      <c r="C555" s="7" t="str">
        <f t="shared" si="105"/>
        <v>1</v>
      </c>
      <c r="D555" s="7" t="str">
        <f>"7"</f>
        <v>7</v>
      </c>
      <c r="E555" s="7" t="str">
        <f>"1"</f>
        <v>1</v>
      </c>
      <c r="F555" s="9">
        <v>8839601900.9599991</v>
      </c>
    </row>
    <row r="556" spans="1:6" x14ac:dyDescent="0.25">
      <c r="A556" s="7" t="str">
        <f t="shared" si="103"/>
        <v>2860</v>
      </c>
      <c r="B556" s="8" t="str">
        <f t="shared" si="104"/>
        <v>Прочие кредиторы по банковской деятельности</v>
      </c>
      <c r="C556" s="7" t="str">
        <f>"2"</f>
        <v>2</v>
      </c>
      <c r="D556" s="7" t="str">
        <f>"4"</f>
        <v>4</v>
      </c>
      <c r="E556" s="7" t="str">
        <f>"2"</f>
        <v>2</v>
      </c>
      <c r="F556" s="9">
        <v>1098120000</v>
      </c>
    </row>
    <row r="557" spans="1:6" x14ac:dyDescent="0.25">
      <c r="A557" s="7" t="str">
        <f t="shared" si="103"/>
        <v>2860</v>
      </c>
      <c r="B557" s="8" t="str">
        <f t="shared" si="104"/>
        <v>Прочие кредиторы по банковской деятельности</v>
      </c>
      <c r="C557" s="7" t="str">
        <f>"2"</f>
        <v>2</v>
      </c>
      <c r="D557" s="7" t="str">
        <f>"7"</f>
        <v>7</v>
      </c>
      <c r="E557" s="7" t="str">
        <f>"1"</f>
        <v>1</v>
      </c>
      <c r="F557" s="9">
        <v>9649546.8800000008</v>
      </c>
    </row>
    <row r="558" spans="1:6" x14ac:dyDescent="0.25">
      <c r="A558" s="7" t="str">
        <f t="shared" si="103"/>
        <v>2860</v>
      </c>
      <c r="B558" s="8" t="str">
        <f t="shared" si="104"/>
        <v>Прочие кредиторы по банковской деятельности</v>
      </c>
      <c r="C558" s="7" t="str">
        <f>"2"</f>
        <v>2</v>
      </c>
      <c r="D558" s="7" t="str">
        <f>"7"</f>
        <v>7</v>
      </c>
      <c r="E558" s="7" t="str">
        <f>"2"</f>
        <v>2</v>
      </c>
      <c r="F558" s="9">
        <v>44223.88</v>
      </c>
    </row>
    <row r="559" spans="1:6" x14ac:dyDescent="0.25">
      <c r="A559" s="7" t="str">
        <f t="shared" si="103"/>
        <v>2860</v>
      </c>
      <c r="B559" s="8" t="str">
        <f t="shared" si="104"/>
        <v>Прочие кредиторы по банковской деятельности</v>
      </c>
      <c r="C559" s="7" t="str">
        <f>"2"</f>
        <v>2</v>
      </c>
      <c r="D559" s="7" t="str">
        <f>"7"</f>
        <v>7</v>
      </c>
      <c r="E559" s="7" t="str">
        <f>"3"</f>
        <v>3</v>
      </c>
      <c r="F559" s="9">
        <v>359594.45</v>
      </c>
    </row>
    <row r="560" spans="1:6" x14ac:dyDescent="0.25">
      <c r="A560" s="7" t="str">
        <f t="shared" si="103"/>
        <v>2860</v>
      </c>
      <c r="B560" s="8" t="str">
        <f t="shared" si="104"/>
        <v>Прочие кредиторы по банковской деятельности</v>
      </c>
      <c r="C560" s="7" t="str">
        <f>"2"</f>
        <v>2</v>
      </c>
      <c r="D560" s="7" t="str">
        <f>"9"</f>
        <v>9</v>
      </c>
      <c r="E560" s="7" t="str">
        <f>"1"</f>
        <v>1</v>
      </c>
      <c r="F560" s="9">
        <v>9151148.2799999993</v>
      </c>
    </row>
    <row r="561" spans="1:6" x14ac:dyDescent="0.25">
      <c r="A561" s="7" t="str">
        <f>"2861"</f>
        <v>2861</v>
      </c>
      <c r="B561" s="8" t="str">
        <f>"Резерв на отпускные выплаты"</f>
        <v>Резерв на отпускные выплаты</v>
      </c>
      <c r="C561" s="7">
        <v>0</v>
      </c>
      <c r="D561" s="7">
        <v>0</v>
      </c>
      <c r="E561" s="7">
        <v>0</v>
      </c>
      <c r="F561" s="9">
        <v>2386673286.9499998</v>
      </c>
    </row>
    <row r="562" spans="1:6" x14ac:dyDescent="0.25">
      <c r="A562" s="7" t="str">
        <f>"2865"</f>
        <v>2865</v>
      </c>
      <c r="B562" s="8" t="str">
        <f>"Обязательства по выпущенным электронным деньгам"</f>
        <v>Обязательства по выпущенным электронным деньгам</v>
      </c>
      <c r="C562" s="7" t="str">
        <f t="shared" ref="C562:C575" si="106">"1"</f>
        <v>1</v>
      </c>
      <c r="D562" s="7" t="str">
        <f>"9"</f>
        <v>9</v>
      </c>
      <c r="E562" s="7" t="str">
        <f t="shared" ref="E562:E567" si="107">"1"</f>
        <v>1</v>
      </c>
      <c r="F562" s="9">
        <v>47052.160000000003</v>
      </c>
    </row>
    <row r="563" spans="1:6" x14ac:dyDescent="0.25">
      <c r="A563" s="7" t="str">
        <f>"2865"</f>
        <v>2865</v>
      </c>
      <c r="B563" s="8" t="str">
        <f>"Обязательства по выпущенным электронным деньгам"</f>
        <v>Обязательства по выпущенным электронным деньгам</v>
      </c>
      <c r="C563" s="7" t="str">
        <f t="shared" si="106"/>
        <v>1</v>
      </c>
      <c r="D563" s="7" t="str">
        <f>"7"</f>
        <v>7</v>
      </c>
      <c r="E563" s="7" t="str">
        <f t="shared" si="107"/>
        <v>1</v>
      </c>
      <c r="F563" s="9">
        <v>104735695.45999999</v>
      </c>
    </row>
    <row r="564" spans="1:6" x14ac:dyDescent="0.25">
      <c r="A564" s="7" t="str">
        <f>"2867"</f>
        <v>2867</v>
      </c>
      <c r="B564" s="8" t="str">
        <f>"Прочие кредиторы по неосновной деятельности"</f>
        <v>Прочие кредиторы по неосновной деятельности</v>
      </c>
      <c r="C564" s="7" t="str">
        <f t="shared" si="106"/>
        <v>1</v>
      </c>
      <c r="D564" s="7" t="str">
        <f>"7"</f>
        <v>7</v>
      </c>
      <c r="E564" s="7" t="str">
        <f t="shared" si="107"/>
        <v>1</v>
      </c>
      <c r="F564" s="9">
        <v>40466996.649999999</v>
      </c>
    </row>
    <row r="565" spans="1:6" x14ac:dyDescent="0.25">
      <c r="A565" s="7" t="str">
        <f>"2867"</f>
        <v>2867</v>
      </c>
      <c r="B565" s="8" t="str">
        <f>"Прочие кредиторы по неосновной деятельности"</f>
        <v>Прочие кредиторы по неосновной деятельности</v>
      </c>
      <c r="C565" s="7" t="str">
        <f t="shared" si="106"/>
        <v>1</v>
      </c>
      <c r="D565" s="7" t="str">
        <f>"9"</f>
        <v>9</v>
      </c>
      <c r="E565" s="7" t="str">
        <f t="shared" si="107"/>
        <v>1</v>
      </c>
      <c r="F565" s="9">
        <v>20000</v>
      </c>
    </row>
    <row r="566" spans="1:6" x14ac:dyDescent="0.25">
      <c r="A566" s="7" t="str">
        <f t="shared" ref="A566:A572" si="108">"2869"</f>
        <v>2869</v>
      </c>
      <c r="B566" s="8" t="str">
        <f t="shared" ref="B566:B572" si="109">"Выданные гарантии"</f>
        <v>Выданные гарантии</v>
      </c>
      <c r="C566" s="7" t="str">
        <f t="shared" si="106"/>
        <v>1</v>
      </c>
      <c r="D566" s="7" t="str">
        <f>"6"</f>
        <v>6</v>
      </c>
      <c r="E566" s="7" t="str">
        <f t="shared" si="107"/>
        <v>1</v>
      </c>
      <c r="F566" s="9">
        <v>986802.41</v>
      </c>
    </row>
    <row r="567" spans="1:6" x14ac:dyDescent="0.25">
      <c r="A567" s="7" t="str">
        <f t="shared" si="108"/>
        <v>2869</v>
      </c>
      <c r="B567" s="8" t="str">
        <f t="shared" si="109"/>
        <v>Выданные гарантии</v>
      </c>
      <c r="C567" s="7" t="str">
        <f t="shared" si="106"/>
        <v>1</v>
      </c>
      <c r="D567" s="7" t="str">
        <f>"7"</f>
        <v>7</v>
      </c>
      <c r="E567" s="7" t="str">
        <f t="shared" si="107"/>
        <v>1</v>
      </c>
      <c r="F567" s="9">
        <v>1168280098.6500001</v>
      </c>
    </row>
    <row r="568" spans="1:6" x14ac:dyDescent="0.25">
      <c r="A568" s="7" t="str">
        <f t="shared" si="108"/>
        <v>2869</v>
      </c>
      <c r="B568" s="8" t="str">
        <f t="shared" si="109"/>
        <v>Выданные гарантии</v>
      </c>
      <c r="C568" s="7" t="str">
        <f t="shared" si="106"/>
        <v>1</v>
      </c>
      <c r="D568" s="7" t="str">
        <f>"7"</f>
        <v>7</v>
      </c>
      <c r="E568" s="7" t="str">
        <f>"2"</f>
        <v>2</v>
      </c>
      <c r="F568" s="9">
        <v>622818013.52999997</v>
      </c>
    </row>
    <row r="569" spans="1:6" x14ac:dyDescent="0.25">
      <c r="A569" s="7" t="str">
        <f t="shared" si="108"/>
        <v>2869</v>
      </c>
      <c r="B569" s="8" t="str">
        <f t="shared" si="109"/>
        <v>Выданные гарантии</v>
      </c>
      <c r="C569" s="7" t="str">
        <f t="shared" si="106"/>
        <v>1</v>
      </c>
      <c r="D569" s="7" t="str">
        <f>"9"</f>
        <v>9</v>
      </c>
      <c r="E569" s="7" t="str">
        <f>"1"</f>
        <v>1</v>
      </c>
      <c r="F569" s="9">
        <v>14689744.960000001</v>
      </c>
    </row>
    <row r="570" spans="1:6" x14ac:dyDescent="0.25">
      <c r="A570" s="7" t="str">
        <f t="shared" si="108"/>
        <v>2869</v>
      </c>
      <c r="B570" s="8" t="str">
        <f t="shared" si="109"/>
        <v>Выданные гарантии</v>
      </c>
      <c r="C570" s="7" t="str">
        <f t="shared" si="106"/>
        <v>1</v>
      </c>
      <c r="D570" s="7" t="str">
        <f>"7"</f>
        <v>7</v>
      </c>
      <c r="E570" s="7" t="str">
        <f>"3"</f>
        <v>3</v>
      </c>
      <c r="F570" s="9">
        <v>23887248.579999998</v>
      </c>
    </row>
    <row r="571" spans="1:6" x14ac:dyDescent="0.25">
      <c r="A571" s="7" t="str">
        <f t="shared" si="108"/>
        <v>2869</v>
      </c>
      <c r="B571" s="8" t="str">
        <f t="shared" si="109"/>
        <v>Выданные гарантии</v>
      </c>
      <c r="C571" s="7" t="str">
        <f t="shared" si="106"/>
        <v>1</v>
      </c>
      <c r="D571" s="7" t="str">
        <f>"6"</f>
        <v>6</v>
      </c>
      <c r="E571" s="7" t="str">
        <f>"2"</f>
        <v>2</v>
      </c>
      <c r="F571" s="9">
        <v>5003171.99</v>
      </c>
    </row>
    <row r="572" spans="1:6" x14ac:dyDescent="0.25">
      <c r="A572" s="7" t="str">
        <f t="shared" si="108"/>
        <v>2869</v>
      </c>
      <c r="B572" s="8" t="str">
        <f t="shared" si="109"/>
        <v>Выданные гарантии</v>
      </c>
      <c r="C572" s="7" t="str">
        <f t="shared" si="106"/>
        <v>1</v>
      </c>
      <c r="D572" s="7" t="str">
        <f>"8"</f>
        <v>8</v>
      </c>
      <c r="E572" s="7" t="str">
        <f>"1"</f>
        <v>1</v>
      </c>
      <c r="F572" s="9">
        <v>72576.31</v>
      </c>
    </row>
    <row r="573" spans="1:6" x14ac:dyDescent="0.25">
      <c r="A573" s="7" t="str">
        <f t="shared" ref="A573:A583" si="110">"2870"</f>
        <v>2870</v>
      </c>
      <c r="B573" s="8" t="str">
        <f t="shared" ref="B573:B583" si="111">"Прочие транзитные счета"</f>
        <v>Прочие транзитные счета</v>
      </c>
      <c r="C573" s="7" t="str">
        <f t="shared" si="106"/>
        <v>1</v>
      </c>
      <c r="D573" s="7" t="str">
        <f>"3"</f>
        <v>3</v>
      </c>
      <c r="E573" s="7" t="str">
        <f>"1"</f>
        <v>1</v>
      </c>
      <c r="F573" s="9">
        <v>72148.36</v>
      </c>
    </row>
    <row r="574" spans="1:6" x14ac:dyDescent="0.25">
      <c r="A574" s="7" t="str">
        <f t="shared" si="110"/>
        <v>2870</v>
      </c>
      <c r="B574" s="8" t="str">
        <f t="shared" si="111"/>
        <v>Прочие транзитные счета</v>
      </c>
      <c r="C574" s="7" t="str">
        <f t="shared" si="106"/>
        <v>1</v>
      </c>
      <c r="D574" s="7" t="str">
        <f>"7"</f>
        <v>7</v>
      </c>
      <c r="E574" s="7" t="str">
        <f>"2"</f>
        <v>2</v>
      </c>
      <c r="F574" s="9">
        <v>7692396.2800000003</v>
      </c>
    </row>
    <row r="575" spans="1:6" x14ac:dyDescent="0.25">
      <c r="A575" s="7" t="str">
        <f t="shared" si="110"/>
        <v>2870</v>
      </c>
      <c r="B575" s="8" t="str">
        <f t="shared" si="111"/>
        <v>Прочие транзитные счета</v>
      </c>
      <c r="C575" s="7" t="str">
        <f t="shared" si="106"/>
        <v>1</v>
      </c>
      <c r="D575" s="7" t="str">
        <f>"7"</f>
        <v>7</v>
      </c>
      <c r="E575" s="7" t="str">
        <f>"3"</f>
        <v>3</v>
      </c>
      <c r="F575" s="9">
        <v>999</v>
      </c>
    </row>
    <row r="576" spans="1:6" x14ac:dyDescent="0.25">
      <c r="A576" s="7" t="str">
        <f t="shared" si="110"/>
        <v>2870</v>
      </c>
      <c r="B576" s="8" t="str">
        <f t="shared" si="111"/>
        <v>Прочие транзитные счета</v>
      </c>
      <c r="C576" s="7" t="str">
        <f>"2"</f>
        <v>2</v>
      </c>
      <c r="D576" s="7" t="str">
        <f>"4"</f>
        <v>4</v>
      </c>
      <c r="E576" s="7" t="str">
        <f>"2"</f>
        <v>2</v>
      </c>
      <c r="F576" s="9">
        <v>164923417.27000001</v>
      </c>
    </row>
    <row r="577" spans="1:6" x14ac:dyDescent="0.25">
      <c r="A577" s="7" t="str">
        <f t="shared" si="110"/>
        <v>2870</v>
      </c>
      <c r="B577" s="8" t="str">
        <f t="shared" si="111"/>
        <v>Прочие транзитные счета</v>
      </c>
      <c r="C577" s="7" t="str">
        <f>"2"</f>
        <v>2</v>
      </c>
      <c r="D577" s="7" t="str">
        <f>"4"</f>
        <v>4</v>
      </c>
      <c r="E577" s="7" t="str">
        <f>"3"</f>
        <v>3</v>
      </c>
      <c r="F577" s="9">
        <v>5847357.3200000003</v>
      </c>
    </row>
    <row r="578" spans="1:6" x14ac:dyDescent="0.25">
      <c r="A578" s="7" t="str">
        <f t="shared" si="110"/>
        <v>2870</v>
      </c>
      <c r="B578" s="8" t="str">
        <f t="shared" si="111"/>
        <v>Прочие транзитные счета</v>
      </c>
      <c r="C578" s="7" t="str">
        <f>"2"</f>
        <v>2</v>
      </c>
      <c r="D578" s="7" t="str">
        <f>"9"</f>
        <v>9</v>
      </c>
      <c r="E578" s="7" t="str">
        <f>"3"</f>
        <v>3</v>
      </c>
      <c r="F578" s="9">
        <v>6660</v>
      </c>
    </row>
    <row r="579" spans="1:6" x14ac:dyDescent="0.25">
      <c r="A579" s="7" t="str">
        <f t="shared" si="110"/>
        <v>2870</v>
      </c>
      <c r="B579" s="8" t="str">
        <f t="shared" si="111"/>
        <v>Прочие транзитные счета</v>
      </c>
      <c r="C579" s="7" t="str">
        <f>"1"</f>
        <v>1</v>
      </c>
      <c r="D579" s="7" t="str">
        <f>"9"</f>
        <v>9</v>
      </c>
      <c r="E579" s="7" t="str">
        <f>"1"</f>
        <v>1</v>
      </c>
      <c r="F579" s="9">
        <v>2300491268.4299998</v>
      </c>
    </row>
    <row r="580" spans="1:6" x14ac:dyDescent="0.25">
      <c r="A580" s="7" t="str">
        <f t="shared" si="110"/>
        <v>2870</v>
      </c>
      <c r="B580" s="8" t="str">
        <f t="shared" si="111"/>
        <v>Прочие транзитные счета</v>
      </c>
      <c r="C580" s="7" t="str">
        <f>"1"</f>
        <v>1</v>
      </c>
      <c r="D580" s="7" t="str">
        <f>"9"</f>
        <v>9</v>
      </c>
      <c r="E580" s="7" t="str">
        <f>"2"</f>
        <v>2</v>
      </c>
      <c r="F580" s="9">
        <v>277294337.58999997</v>
      </c>
    </row>
    <row r="581" spans="1:6" x14ac:dyDescent="0.25">
      <c r="A581" s="7" t="str">
        <f t="shared" si="110"/>
        <v>2870</v>
      </c>
      <c r="B581" s="8" t="str">
        <f t="shared" si="111"/>
        <v>Прочие транзитные счета</v>
      </c>
      <c r="C581" s="7" t="str">
        <f>"1"</f>
        <v>1</v>
      </c>
      <c r="D581" s="7" t="str">
        <f>"9"</f>
        <v>9</v>
      </c>
      <c r="E581" s="7" t="str">
        <f>"3"</f>
        <v>3</v>
      </c>
      <c r="F581" s="9">
        <v>1344932.69</v>
      </c>
    </row>
    <row r="582" spans="1:6" x14ac:dyDescent="0.25">
      <c r="A582" s="7" t="str">
        <f t="shared" si="110"/>
        <v>2870</v>
      </c>
      <c r="B582" s="8" t="str">
        <f t="shared" si="111"/>
        <v>Прочие транзитные счета</v>
      </c>
      <c r="C582" s="7" t="str">
        <f>"2"</f>
        <v>2</v>
      </c>
      <c r="D582" s="7" t="str">
        <f>"9"</f>
        <v>9</v>
      </c>
      <c r="E582" s="7" t="str">
        <f>"2"</f>
        <v>2</v>
      </c>
      <c r="F582" s="9">
        <v>22862769.050000001</v>
      </c>
    </row>
    <row r="583" spans="1:6" x14ac:dyDescent="0.25">
      <c r="A583" s="7" t="str">
        <f t="shared" si="110"/>
        <v>2870</v>
      </c>
      <c r="B583" s="8" t="str">
        <f t="shared" si="111"/>
        <v>Прочие транзитные счета</v>
      </c>
      <c r="C583" s="7" t="str">
        <f>"1"</f>
        <v>1</v>
      </c>
      <c r="D583" s="7" t="str">
        <f>"7"</f>
        <v>7</v>
      </c>
      <c r="E583" s="7" t="str">
        <f>"1"</f>
        <v>1</v>
      </c>
      <c r="F583" s="9">
        <v>80672535.260000005</v>
      </c>
    </row>
    <row r="584" spans="1:6" x14ac:dyDescent="0.25">
      <c r="A584" s="7" t="str">
        <f>"2874"</f>
        <v>2874</v>
      </c>
      <c r="B584" s="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4" s="7" t="str">
        <f>"1"</f>
        <v>1</v>
      </c>
      <c r="D584" s="7">
        <v>0</v>
      </c>
      <c r="E584" s="7" t="str">
        <f>"2"</f>
        <v>2</v>
      </c>
      <c r="F584" s="9">
        <v>100672.03</v>
      </c>
    </row>
    <row r="585" spans="1:6" x14ac:dyDescent="0.25">
      <c r="A585" s="7" t="str">
        <f>"2874"</f>
        <v>2874</v>
      </c>
      <c r="B585" s="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5" s="7" t="str">
        <f>"1"</f>
        <v>1</v>
      </c>
      <c r="D585" s="7">
        <v>0</v>
      </c>
      <c r="E585" s="7" t="str">
        <f>"3"</f>
        <v>3</v>
      </c>
      <c r="F585" s="9">
        <v>7485.84</v>
      </c>
    </row>
    <row r="586" spans="1:6" x14ac:dyDescent="0.25">
      <c r="A586" s="7" t="str">
        <f>"2874"</f>
        <v>2874</v>
      </c>
      <c r="B586" s="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6" s="7" t="str">
        <f>"2"</f>
        <v>2</v>
      </c>
      <c r="D586" s="7">
        <v>0</v>
      </c>
      <c r="E586" s="7" t="str">
        <f>"1"</f>
        <v>1</v>
      </c>
      <c r="F586" s="9">
        <v>12000</v>
      </c>
    </row>
    <row r="587" spans="1:6" x14ac:dyDescent="0.25">
      <c r="A587" s="7" t="str">
        <f>"2874"</f>
        <v>2874</v>
      </c>
      <c r="B587" s="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587" s="7" t="str">
        <f>"1"</f>
        <v>1</v>
      </c>
      <c r="D587" s="7">
        <v>0</v>
      </c>
      <c r="E587" s="7" t="str">
        <f>"1"</f>
        <v>1</v>
      </c>
      <c r="F587" s="9">
        <v>13686595.369999999</v>
      </c>
    </row>
    <row r="588" spans="1:6" x14ac:dyDescent="0.25">
      <c r="A588" s="7" t="str">
        <f>"2875"</f>
        <v>2875</v>
      </c>
      <c r="B588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88" s="7" t="str">
        <f>"1"</f>
        <v>1</v>
      </c>
      <c r="D588" s="7" t="str">
        <f>"7"</f>
        <v>7</v>
      </c>
      <c r="E588" s="7" t="str">
        <f>"1"</f>
        <v>1</v>
      </c>
      <c r="F588" s="9">
        <v>175298506.43000001</v>
      </c>
    </row>
    <row r="589" spans="1:6" x14ac:dyDescent="0.25">
      <c r="A589" s="7" t="str">
        <f>"2875"</f>
        <v>2875</v>
      </c>
      <c r="B589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89" s="7" t="str">
        <f>"1"</f>
        <v>1</v>
      </c>
      <c r="D589" s="7" t="str">
        <f>"5"</f>
        <v>5</v>
      </c>
      <c r="E589" s="7" t="str">
        <f>"1"</f>
        <v>1</v>
      </c>
      <c r="F589" s="9">
        <v>546793.76</v>
      </c>
    </row>
    <row r="590" spans="1:6" x14ac:dyDescent="0.25">
      <c r="A590" s="7" t="str">
        <f>"2875"</f>
        <v>2875</v>
      </c>
      <c r="B590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90" s="7" t="str">
        <f>"1"</f>
        <v>1</v>
      </c>
      <c r="D590" s="7" t="str">
        <f>"7"</f>
        <v>7</v>
      </c>
      <c r="E590" s="7" t="str">
        <f>"2"</f>
        <v>2</v>
      </c>
      <c r="F590" s="9">
        <v>103926076.8</v>
      </c>
    </row>
    <row r="591" spans="1:6" x14ac:dyDescent="0.25">
      <c r="A591" s="7" t="str">
        <f>"2875"</f>
        <v>2875</v>
      </c>
      <c r="B591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91" s="7" t="str">
        <f>"1"</f>
        <v>1</v>
      </c>
      <c r="D591" s="7" t="str">
        <f>"9"</f>
        <v>9</v>
      </c>
      <c r="E591" s="7" t="str">
        <f t="shared" ref="E591:E602" si="112">"1"</f>
        <v>1</v>
      </c>
      <c r="F591" s="9">
        <v>61704080.710000001</v>
      </c>
    </row>
    <row r="592" spans="1:6" x14ac:dyDescent="0.25">
      <c r="A592" s="7" t="str">
        <f>"2875"</f>
        <v>2875</v>
      </c>
      <c r="B592" s="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592" s="7" t="str">
        <f>"2"</f>
        <v>2</v>
      </c>
      <c r="D592" s="7" t="str">
        <f>"9"</f>
        <v>9</v>
      </c>
      <c r="E592" s="7" t="str">
        <f t="shared" si="112"/>
        <v>1</v>
      </c>
      <c r="F592" s="9">
        <v>205948.55</v>
      </c>
    </row>
    <row r="593" spans="1:6" x14ac:dyDescent="0.25">
      <c r="A593" s="7" t="str">
        <f>"2880"</f>
        <v>2880</v>
      </c>
      <c r="B593" s="8" t="str">
        <f>"Обязательства по секьюритизируемым активам"</f>
        <v>Обязательства по секьюритизируемым активам</v>
      </c>
      <c r="C593" s="7" t="str">
        <f>"1"</f>
        <v>1</v>
      </c>
      <c r="D593" s="7">
        <v>0</v>
      </c>
      <c r="E593" s="7" t="str">
        <f t="shared" si="112"/>
        <v>1</v>
      </c>
      <c r="F593" s="9">
        <v>3833401549.2399998</v>
      </c>
    </row>
    <row r="594" spans="1:6" x14ac:dyDescent="0.25">
      <c r="A594" s="7" t="str">
        <f>"2892"</f>
        <v>2892</v>
      </c>
      <c r="B594" s="8" t="str">
        <f>"Обязательства по операциям форвард"</f>
        <v>Обязательства по операциям форвард</v>
      </c>
      <c r="C594" s="7" t="str">
        <f>"1"</f>
        <v>1</v>
      </c>
      <c r="D594" s="7" t="str">
        <f>"5"</f>
        <v>5</v>
      </c>
      <c r="E594" s="7" t="str">
        <f t="shared" si="112"/>
        <v>1</v>
      </c>
      <c r="F594" s="9">
        <v>816881.04</v>
      </c>
    </row>
    <row r="595" spans="1:6" x14ac:dyDescent="0.25">
      <c r="A595" s="7" t="str">
        <f>"2892"</f>
        <v>2892</v>
      </c>
      <c r="B595" s="8" t="str">
        <f>"Обязательства по операциям форвард"</f>
        <v>Обязательства по операциям форвард</v>
      </c>
      <c r="C595" s="7" t="str">
        <f>"2"</f>
        <v>2</v>
      </c>
      <c r="D595" s="7" t="str">
        <f>"4"</f>
        <v>4</v>
      </c>
      <c r="E595" s="7" t="str">
        <f t="shared" si="112"/>
        <v>1</v>
      </c>
      <c r="F595" s="9">
        <v>211551736.56999999</v>
      </c>
    </row>
    <row r="596" spans="1:6" x14ac:dyDescent="0.25">
      <c r="A596" s="7" t="str">
        <f>"2894"</f>
        <v>2894</v>
      </c>
      <c r="B596" s="8" t="str">
        <f>"Обязательства по операциям спот"</f>
        <v>Обязательства по операциям спот</v>
      </c>
      <c r="C596" s="7" t="str">
        <f>"1"</f>
        <v>1</v>
      </c>
      <c r="D596" s="7" t="str">
        <f>"9"</f>
        <v>9</v>
      </c>
      <c r="E596" s="7" t="str">
        <f t="shared" si="112"/>
        <v>1</v>
      </c>
      <c r="F596" s="9">
        <v>1930966800</v>
      </c>
    </row>
    <row r="597" spans="1:6" x14ac:dyDescent="0.25">
      <c r="A597" s="7" t="str">
        <f>"2894"</f>
        <v>2894</v>
      </c>
      <c r="B597" s="8" t="str">
        <f>"Обязательства по операциям спот"</f>
        <v>Обязательства по операциям спот</v>
      </c>
      <c r="C597" s="7" t="str">
        <f>"1"</f>
        <v>1</v>
      </c>
      <c r="D597" s="7" t="str">
        <f>"4"</f>
        <v>4</v>
      </c>
      <c r="E597" s="7" t="str">
        <f t="shared" si="112"/>
        <v>1</v>
      </c>
      <c r="F597" s="9">
        <v>868290000</v>
      </c>
    </row>
    <row r="598" spans="1:6" x14ac:dyDescent="0.25">
      <c r="A598" s="7" t="str">
        <f>"2894"</f>
        <v>2894</v>
      </c>
      <c r="B598" s="8" t="str">
        <f>"Обязательства по операциям спот"</f>
        <v>Обязательства по операциям спот</v>
      </c>
      <c r="C598" s="7" t="str">
        <f>"1"</f>
        <v>1</v>
      </c>
      <c r="D598" s="7" t="str">
        <f>"5"</f>
        <v>5</v>
      </c>
      <c r="E598" s="7" t="str">
        <f t="shared" si="112"/>
        <v>1</v>
      </c>
      <c r="F598" s="9">
        <v>11719148.1</v>
      </c>
    </row>
    <row r="599" spans="1:6" x14ac:dyDescent="0.25">
      <c r="A599" s="7" t="str">
        <f>"2894"</f>
        <v>2894</v>
      </c>
      <c r="B599" s="8" t="str">
        <f>"Обязательства по операциям спот"</f>
        <v>Обязательства по операциям спот</v>
      </c>
      <c r="C599" s="7" t="str">
        <f>"2"</f>
        <v>2</v>
      </c>
      <c r="D599" s="7" t="str">
        <f>"5"</f>
        <v>5</v>
      </c>
      <c r="E599" s="7" t="str">
        <f t="shared" si="112"/>
        <v>1</v>
      </c>
      <c r="F599" s="9">
        <v>62062756.200000003</v>
      </c>
    </row>
    <row r="600" spans="1:6" x14ac:dyDescent="0.25">
      <c r="A600" s="7" t="str">
        <f>"2894"</f>
        <v>2894</v>
      </c>
      <c r="B600" s="8" t="str">
        <f>"Обязательства по операциям спот"</f>
        <v>Обязательства по операциям спот</v>
      </c>
      <c r="C600" s="7" t="str">
        <f>"2"</f>
        <v>2</v>
      </c>
      <c r="D600" s="7" t="str">
        <f>"4"</f>
        <v>4</v>
      </c>
      <c r="E600" s="7" t="str">
        <f t="shared" si="112"/>
        <v>1</v>
      </c>
      <c r="F600" s="9">
        <v>140550902.40000001</v>
      </c>
    </row>
    <row r="601" spans="1:6" x14ac:dyDescent="0.25">
      <c r="A601" s="7" t="str">
        <f>"2895"</f>
        <v>2895</v>
      </c>
      <c r="B601" s="8" t="str">
        <f>"Обязательства по операциям своп"</f>
        <v>Обязательства по операциям своп</v>
      </c>
      <c r="C601" s="7" t="str">
        <f>"2"</f>
        <v>2</v>
      </c>
      <c r="D601" s="7" t="str">
        <f>"4"</f>
        <v>4</v>
      </c>
      <c r="E601" s="7" t="str">
        <f t="shared" si="112"/>
        <v>1</v>
      </c>
      <c r="F601" s="9">
        <v>170787650</v>
      </c>
    </row>
    <row r="602" spans="1:6" x14ac:dyDescent="0.25">
      <c r="A602" s="7" t="str">
        <f>"2895"</f>
        <v>2895</v>
      </c>
      <c r="B602" s="8" t="str">
        <f>"Обязательства по операциям своп"</f>
        <v>Обязательства по операциям своп</v>
      </c>
      <c r="C602" s="7" t="str">
        <f>"1"</f>
        <v>1</v>
      </c>
      <c r="D602" s="7" t="str">
        <f>"5"</f>
        <v>5</v>
      </c>
      <c r="E602" s="7" t="str">
        <f t="shared" si="112"/>
        <v>1</v>
      </c>
      <c r="F602" s="9">
        <v>12243677.5</v>
      </c>
    </row>
    <row r="603" spans="1:6" x14ac:dyDescent="0.25">
      <c r="A603" s="7" t="str">
        <f>"3001"</f>
        <v>3001</v>
      </c>
      <c r="B603" s="8" t="str">
        <f>"Уставный капитал – простые акции"</f>
        <v>Уставный капитал – простые акции</v>
      </c>
      <c r="C603" s="7">
        <v>0</v>
      </c>
      <c r="D603" s="7">
        <v>0</v>
      </c>
      <c r="E603" s="7">
        <v>0</v>
      </c>
      <c r="F603" s="9">
        <v>61135196834.199997</v>
      </c>
    </row>
    <row r="604" spans="1:6" x14ac:dyDescent="0.25">
      <c r="A604" s="7" t="str">
        <f>"3101"</f>
        <v>3101</v>
      </c>
      <c r="B604" s="8" t="str">
        <f>"Дополнительный оплаченный капитал"</f>
        <v>Дополнительный оплаченный капитал</v>
      </c>
      <c r="C604" s="7">
        <v>0</v>
      </c>
      <c r="D604" s="7">
        <v>0</v>
      </c>
      <c r="E604" s="7">
        <v>0</v>
      </c>
      <c r="F604" s="9">
        <v>2025632000</v>
      </c>
    </row>
    <row r="605" spans="1:6" x14ac:dyDescent="0.25">
      <c r="A605" s="7" t="str">
        <f>"3510"</f>
        <v>3510</v>
      </c>
      <c r="B605" s="8" t="str">
        <f>"Резервный капитал"</f>
        <v>Резервный капитал</v>
      </c>
      <c r="C605" s="7">
        <v>0</v>
      </c>
      <c r="D605" s="7">
        <v>0</v>
      </c>
      <c r="E605" s="7">
        <v>0</v>
      </c>
      <c r="F605" s="9">
        <v>8616900749.1700001</v>
      </c>
    </row>
    <row r="606" spans="1:6" x14ac:dyDescent="0.25">
      <c r="A606" s="7" t="str">
        <f>"3561"</f>
        <v>3561</v>
      </c>
      <c r="B606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06" s="7" t="str">
        <f>"1"</f>
        <v>1</v>
      </c>
      <c r="D606" s="7">
        <v>0</v>
      </c>
      <c r="E606" s="7" t="str">
        <f>"1"</f>
        <v>1</v>
      </c>
      <c r="F606" s="9">
        <v>-24701006457.900002</v>
      </c>
    </row>
    <row r="607" spans="1:6" x14ac:dyDescent="0.25">
      <c r="A607" s="7" t="str">
        <f>"3561"</f>
        <v>3561</v>
      </c>
      <c r="B607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07" s="7" t="str">
        <f>"2"</f>
        <v>2</v>
      </c>
      <c r="D607" s="7">
        <v>0</v>
      </c>
      <c r="E607" s="7" t="str">
        <f>"1"</f>
        <v>1</v>
      </c>
      <c r="F607" s="9">
        <v>10412759.1</v>
      </c>
    </row>
    <row r="608" spans="1:6" x14ac:dyDescent="0.25">
      <c r="A608" s="7" t="str">
        <f>"3561"</f>
        <v>3561</v>
      </c>
      <c r="B608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08" s="7" t="str">
        <f>"1"</f>
        <v>1</v>
      </c>
      <c r="D608" s="7">
        <v>0</v>
      </c>
      <c r="E608" s="7" t="str">
        <f>"2"</f>
        <v>2</v>
      </c>
      <c r="F608" s="9">
        <v>1078341173.46</v>
      </c>
    </row>
    <row r="609" spans="1:6" x14ac:dyDescent="0.25">
      <c r="A609" s="7" t="str">
        <f>"3561"</f>
        <v>3561</v>
      </c>
      <c r="B609" s="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09" s="7" t="str">
        <f>"2"</f>
        <v>2</v>
      </c>
      <c r="D609" s="7">
        <v>0</v>
      </c>
      <c r="E609" s="7" t="str">
        <f>"2"</f>
        <v>2</v>
      </c>
      <c r="F609" s="9">
        <v>1616965375.27</v>
      </c>
    </row>
    <row r="610" spans="1:6" x14ac:dyDescent="0.25">
      <c r="A610" s="7" t="str">
        <f>"3562"</f>
        <v>3562</v>
      </c>
      <c r="B610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10" s="7" t="str">
        <f>"1"</f>
        <v>1</v>
      </c>
      <c r="D610" s="7">
        <v>0</v>
      </c>
      <c r="E610" s="7" t="str">
        <f>"2"</f>
        <v>2</v>
      </c>
      <c r="F610" s="9">
        <v>40155816.07</v>
      </c>
    </row>
    <row r="611" spans="1:6" x14ac:dyDescent="0.25">
      <c r="A611" s="7" t="str">
        <f>"3562"</f>
        <v>3562</v>
      </c>
      <c r="B611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11" s="7" t="str">
        <f>"1"</f>
        <v>1</v>
      </c>
      <c r="D611" s="7">
        <v>0</v>
      </c>
      <c r="E611" s="7" t="str">
        <f>"1"</f>
        <v>1</v>
      </c>
      <c r="F611" s="9">
        <v>30680342.09</v>
      </c>
    </row>
    <row r="612" spans="1:6" x14ac:dyDescent="0.25">
      <c r="A612" s="7" t="str">
        <f>"3562"</f>
        <v>3562</v>
      </c>
      <c r="B612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12" s="7" t="str">
        <f>"2"</f>
        <v>2</v>
      </c>
      <c r="D612" s="7">
        <v>0</v>
      </c>
      <c r="E612" s="7" t="str">
        <f>"1"</f>
        <v>1</v>
      </c>
      <c r="F612" s="9">
        <v>512266.67</v>
      </c>
    </row>
    <row r="613" spans="1:6" x14ac:dyDescent="0.25">
      <c r="A613" s="7" t="str">
        <f>"3562"</f>
        <v>3562</v>
      </c>
      <c r="B613" s="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13" s="7" t="str">
        <f>"2"</f>
        <v>2</v>
      </c>
      <c r="D613" s="7">
        <v>0</v>
      </c>
      <c r="E613" s="7" t="str">
        <f>"2"</f>
        <v>2</v>
      </c>
      <c r="F613" s="9">
        <v>8139605911.9099998</v>
      </c>
    </row>
    <row r="614" spans="1:6" x14ac:dyDescent="0.25">
      <c r="A614" s="7" t="str">
        <f>"3580"</f>
        <v>3580</v>
      </c>
      <c r="B614" s="8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614" s="7">
        <v>0</v>
      </c>
      <c r="D614" s="7">
        <v>0</v>
      </c>
      <c r="E614" s="7">
        <v>0</v>
      </c>
      <c r="F614" s="9">
        <v>317319946327.65002</v>
      </c>
    </row>
    <row r="615" spans="1:6" x14ac:dyDescent="0.25">
      <c r="A615" s="7" t="str">
        <f>"3599"</f>
        <v>3599</v>
      </c>
      <c r="B615" s="8" t="str">
        <f>"Нераспределенная чистая прибыль (непокрытый убыток)"</f>
        <v>Нераспределенная чистая прибыль (непокрытый убыток)</v>
      </c>
      <c r="C615" s="7">
        <v>0</v>
      </c>
      <c r="D615" s="7">
        <v>0</v>
      </c>
      <c r="E615" s="7">
        <v>0</v>
      </c>
      <c r="F615" s="9">
        <v>41823017467.230003</v>
      </c>
    </row>
    <row r="616" spans="1:6" x14ac:dyDescent="0.25">
      <c r="A616" s="7" t="str">
        <f>"4052"</f>
        <v>4052</v>
      </c>
      <c r="B616" s="8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616" s="7">
        <v>0</v>
      </c>
      <c r="D616" s="7">
        <v>0</v>
      </c>
      <c r="E616" s="7">
        <v>0</v>
      </c>
      <c r="F616" s="9">
        <v>1028924899.73</v>
      </c>
    </row>
    <row r="617" spans="1:6" x14ac:dyDescent="0.25">
      <c r="A617" s="7" t="str">
        <f>"4101"</f>
        <v>4101</v>
      </c>
      <c r="B617" s="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617" s="7">
        <v>0</v>
      </c>
      <c r="D617" s="7">
        <v>0</v>
      </c>
      <c r="E617" s="7">
        <v>0</v>
      </c>
      <c r="F617" s="9">
        <v>2512319444.4699998</v>
      </c>
    </row>
    <row r="618" spans="1:6" x14ac:dyDescent="0.25">
      <c r="A618" s="7" t="str">
        <f>"4103"</f>
        <v>4103</v>
      </c>
      <c r="B618" s="8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618" s="7">
        <v>0</v>
      </c>
      <c r="D618" s="7">
        <v>0</v>
      </c>
      <c r="E618" s="7">
        <v>0</v>
      </c>
      <c r="F618" s="9">
        <v>11960900465.23</v>
      </c>
    </row>
    <row r="619" spans="1:6" x14ac:dyDescent="0.25">
      <c r="A619" s="7" t="str">
        <f>"4201"</f>
        <v>4201</v>
      </c>
      <c r="B619" s="8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C619" s="7">
        <v>0</v>
      </c>
      <c r="D619" s="7">
        <v>0</v>
      </c>
      <c r="E619" s="7">
        <v>0</v>
      </c>
      <c r="F619" s="9">
        <v>55523544.600000001</v>
      </c>
    </row>
    <row r="620" spans="1:6" x14ac:dyDescent="0.25">
      <c r="A620" s="7" t="str">
        <f>"4251"</f>
        <v>4251</v>
      </c>
      <c r="B620" s="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620" s="7">
        <v>0</v>
      </c>
      <c r="D620" s="7">
        <v>0</v>
      </c>
      <c r="E620" s="7">
        <v>0</v>
      </c>
      <c r="F620" s="9">
        <v>684682116.23000002</v>
      </c>
    </row>
    <row r="621" spans="1:6" x14ac:dyDescent="0.25">
      <c r="A621" s="7" t="str">
        <f>"4253"</f>
        <v>4253</v>
      </c>
      <c r="B621" s="8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C621" s="7">
        <v>0</v>
      </c>
      <c r="D621" s="7">
        <v>0</v>
      </c>
      <c r="E621" s="7">
        <v>0</v>
      </c>
      <c r="F621" s="9">
        <v>208694269.84999999</v>
      </c>
    </row>
    <row r="622" spans="1:6" x14ac:dyDescent="0.25">
      <c r="A622" s="7" t="str">
        <f>"4254"</f>
        <v>4254</v>
      </c>
      <c r="B622" s="8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C622" s="7">
        <v>0</v>
      </c>
      <c r="D622" s="7">
        <v>0</v>
      </c>
      <c r="E622" s="7">
        <v>0</v>
      </c>
      <c r="F622" s="9">
        <v>84064802.269999996</v>
      </c>
    </row>
    <row r="623" spans="1:6" x14ac:dyDescent="0.25">
      <c r="A623" s="7" t="str">
        <f>"4267"</f>
        <v>4267</v>
      </c>
      <c r="B623" s="8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C623" s="7">
        <v>0</v>
      </c>
      <c r="D623" s="7">
        <v>0</v>
      </c>
      <c r="E623" s="7">
        <v>0</v>
      </c>
      <c r="F623" s="9">
        <v>560739437.29999995</v>
      </c>
    </row>
    <row r="624" spans="1:6" x14ac:dyDescent="0.25">
      <c r="A624" s="7" t="str">
        <f>"4403"</f>
        <v>4403</v>
      </c>
      <c r="B624" s="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624" s="7">
        <v>0</v>
      </c>
      <c r="D624" s="7">
        <v>0</v>
      </c>
      <c r="E624" s="7">
        <v>0</v>
      </c>
      <c r="F624" s="9">
        <v>306340883.50999999</v>
      </c>
    </row>
    <row r="625" spans="1:6" x14ac:dyDescent="0.25">
      <c r="A625" s="7" t="str">
        <f>"4411"</f>
        <v>4411</v>
      </c>
      <c r="B625" s="8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625" s="7">
        <v>0</v>
      </c>
      <c r="D625" s="7">
        <v>0</v>
      </c>
      <c r="E625" s="7">
        <v>0</v>
      </c>
      <c r="F625" s="9">
        <v>373561136.54000002</v>
      </c>
    </row>
    <row r="626" spans="1:6" x14ac:dyDescent="0.25">
      <c r="A626" s="7" t="str">
        <f>"4417"</f>
        <v>4417</v>
      </c>
      <c r="B626" s="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626" s="7">
        <v>0</v>
      </c>
      <c r="D626" s="7">
        <v>0</v>
      </c>
      <c r="E626" s="7">
        <v>0</v>
      </c>
      <c r="F626" s="9">
        <v>163944168068.48001</v>
      </c>
    </row>
    <row r="627" spans="1:6" x14ac:dyDescent="0.25">
      <c r="A627" s="7" t="str">
        <f>"4424"</f>
        <v>4424</v>
      </c>
      <c r="B627" s="8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627" s="7">
        <v>0</v>
      </c>
      <c r="D627" s="7">
        <v>0</v>
      </c>
      <c r="E627" s="7">
        <v>0</v>
      </c>
      <c r="F627" s="9">
        <v>462344123.22000003</v>
      </c>
    </row>
    <row r="628" spans="1:6" x14ac:dyDescent="0.25">
      <c r="A628" s="7" t="str">
        <f>"4429"</f>
        <v>4429</v>
      </c>
      <c r="B628" s="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628" s="7">
        <v>0</v>
      </c>
      <c r="D628" s="7">
        <v>0</v>
      </c>
      <c r="E628" s="7">
        <v>0</v>
      </c>
      <c r="F628" s="9">
        <v>10813964910.809999</v>
      </c>
    </row>
    <row r="629" spans="1:6" x14ac:dyDescent="0.25">
      <c r="A629" s="7" t="str">
        <f>"4430"</f>
        <v>4430</v>
      </c>
      <c r="B629" s="8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C629" s="7">
        <v>0</v>
      </c>
      <c r="D629" s="7">
        <v>0</v>
      </c>
      <c r="E629" s="7">
        <v>0</v>
      </c>
      <c r="F629" s="9">
        <v>5818483.2699999996</v>
      </c>
    </row>
    <row r="630" spans="1:6" x14ac:dyDescent="0.25">
      <c r="A630" s="7" t="str">
        <f>"4434"</f>
        <v>4434</v>
      </c>
      <c r="B630" s="8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C630" s="7">
        <v>0</v>
      </c>
      <c r="D630" s="7">
        <v>0</v>
      </c>
      <c r="E630" s="7">
        <v>0</v>
      </c>
      <c r="F630" s="9">
        <v>14723176992.18</v>
      </c>
    </row>
    <row r="631" spans="1:6" x14ac:dyDescent="0.25">
      <c r="A631" s="7" t="str">
        <f>"4436"</f>
        <v>4436</v>
      </c>
      <c r="B631" s="8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C631" s="7">
        <v>0</v>
      </c>
      <c r="D631" s="7">
        <v>0</v>
      </c>
      <c r="E631" s="7">
        <v>0</v>
      </c>
      <c r="F631" s="9">
        <v>1546041669.8099999</v>
      </c>
    </row>
    <row r="632" spans="1:6" x14ac:dyDescent="0.25">
      <c r="A632" s="7" t="str">
        <f>"4452"</f>
        <v>4452</v>
      </c>
      <c r="B632" s="8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C632" s="7">
        <v>0</v>
      </c>
      <c r="D632" s="7">
        <v>0</v>
      </c>
      <c r="E632" s="7">
        <v>0</v>
      </c>
      <c r="F632" s="9">
        <v>31818095408.290001</v>
      </c>
    </row>
    <row r="633" spans="1:6" x14ac:dyDescent="0.25">
      <c r="A633" s="7" t="str">
        <f>"4453"</f>
        <v>4453</v>
      </c>
      <c r="B633" s="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C633" s="7">
        <v>0</v>
      </c>
      <c r="D633" s="7">
        <v>0</v>
      </c>
      <c r="E633" s="7">
        <v>0</v>
      </c>
      <c r="F633" s="9">
        <v>6835511351.5600004</v>
      </c>
    </row>
    <row r="634" spans="1:6" x14ac:dyDescent="0.25">
      <c r="A634" s="7" t="str">
        <f>"4454"</f>
        <v>4454</v>
      </c>
      <c r="B634" s="8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C634" s="7">
        <v>0</v>
      </c>
      <c r="D634" s="7">
        <v>0</v>
      </c>
      <c r="E634" s="7">
        <v>0</v>
      </c>
      <c r="F634" s="9">
        <v>21598988.98</v>
      </c>
    </row>
    <row r="635" spans="1:6" x14ac:dyDescent="0.25">
      <c r="A635" s="7" t="str">
        <f>"4465"</f>
        <v>4465</v>
      </c>
      <c r="B635" s="8" t="str">
        <f>"Доходы по операциям «РЕПО» с ценными бумагами"</f>
        <v>Доходы по операциям «РЕПО» с ценными бумагами</v>
      </c>
      <c r="C635" s="7">
        <v>0</v>
      </c>
      <c r="D635" s="7">
        <v>0</v>
      </c>
      <c r="E635" s="7">
        <v>0</v>
      </c>
      <c r="F635" s="9">
        <v>108461147.01000001</v>
      </c>
    </row>
    <row r="636" spans="1:6" x14ac:dyDescent="0.25">
      <c r="A636" s="7" t="str">
        <f>"4476"</f>
        <v>4476</v>
      </c>
      <c r="B636" s="8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C636" s="7">
        <v>0</v>
      </c>
      <c r="D636" s="7">
        <v>0</v>
      </c>
      <c r="E636" s="7">
        <v>0</v>
      </c>
      <c r="F636" s="9">
        <v>25864020</v>
      </c>
    </row>
    <row r="637" spans="1:6" x14ac:dyDescent="0.25">
      <c r="A637" s="7" t="str">
        <f>"4481"</f>
        <v>4481</v>
      </c>
      <c r="B637" s="8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637" s="7">
        <v>0</v>
      </c>
      <c r="D637" s="7">
        <v>0</v>
      </c>
      <c r="E637" s="7">
        <v>0</v>
      </c>
      <c r="F637" s="9">
        <v>2802597851.0900002</v>
      </c>
    </row>
    <row r="638" spans="1:6" x14ac:dyDescent="0.25">
      <c r="A638" s="7" t="str">
        <f>"4482"</f>
        <v>4482</v>
      </c>
      <c r="B638" s="8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C638" s="7">
        <v>0</v>
      </c>
      <c r="D638" s="7">
        <v>0</v>
      </c>
      <c r="E638" s="7">
        <v>0</v>
      </c>
      <c r="F638" s="9">
        <v>79681145.469999999</v>
      </c>
    </row>
    <row r="639" spans="1:6" x14ac:dyDescent="0.25">
      <c r="A639" s="7" t="str">
        <f>"4491"</f>
        <v>4491</v>
      </c>
      <c r="B639" s="8" t="str">
        <f>"Доходы, связанные с получением вознаграждения по прочим финансовым активам, учитываемым по амортизированной стоимости"</f>
        <v>Доходы, связанные с получением вознаграждения по прочим финансовым активам, учитываемым по амортизированной стоимости</v>
      </c>
      <c r="C639" s="7">
        <v>0</v>
      </c>
      <c r="D639" s="7">
        <v>0</v>
      </c>
      <c r="E639" s="7">
        <v>0</v>
      </c>
      <c r="F639" s="9">
        <v>8155538.8300000001</v>
      </c>
    </row>
    <row r="640" spans="1:6" x14ac:dyDescent="0.25">
      <c r="A640" s="7" t="str">
        <f>"4492"</f>
        <v>4492</v>
      </c>
      <c r="B640" s="8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C640" s="7">
        <v>0</v>
      </c>
      <c r="D640" s="7">
        <v>0</v>
      </c>
      <c r="E640" s="7">
        <v>0</v>
      </c>
      <c r="F640" s="9">
        <v>19509509.609999999</v>
      </c>
    </row>
    <row r="641" spans="1:6" x14ac:dyDescent="0.25">
      <c r="A641" s="7" t="str">
        <f>"4510"</f>
        <v>4510</v>
      </c>
      <c r="B641" s="8" t="str">
        <f>"Доходы по купле-продаже ценных бумаг"</f>
        <v>Доходы по купле-продаже ценных бумаг</v>
      </c>
      <c r="C641" s="7">
        <v>0</v>
      </c>
      <c r="D641" s="7">
        <v>0</v>
      </c>
      <c r="E641" s="7">
        <v>0</v>
      </c>
      <c r="F641" s="9">
        <v>278945512.99000001</v>
      </c>
    </row>
    <row r="642" spans="1:6" x14ac:dyDescent="0.25">
      <c r="A642" s="7" t="str">
        <f>"4530"</f>
        <v>4530</v>
      </c>
      <c r="B642" s="8" t="str">
        <f>"Доходы по купле-продаже иностранной валюты"</f>
        <v>Доходы по купле-продаже иностранной валюты</v>
      </c>
      <c r="C642" s="7">
        <v>0</v>
      </c>
      <c r="D642" s="7">
        <v>0</v>
      </c>
      <c r="E642" s="7">
        <v>0</v>
      </c>
      <c r="F642" s="9">
        <v>64523034575.459999</v>
      </c>
    </row>
    <row r="643" spans="1:6" x14ac:dyDescent="0.25">
      <c r="A643" s="7" t="str">
        <f>"4540"</f>
        <v>4540</v>
      </c>
      <c r="B643" s="8" t="str">
        <f>"Доходы от продажи аффинированных драгоценных металлов"</f>
        <v>Доходы от продажи аффинированных драгоценных металлов</v>
      </c>
      <c r="C643" s="7">
        <v>0</v>
      </c>
      <c r="D643" s="7">
        <v>0</v>
      </c>
      <c r="E643" s="7">
        <v>0</v>
      </c>
      <c r="F643" s="9">
        <v>22388233.640000001</v>
      </c>
    </row>
    <row r="644" spans="1:6" x14ac:dyDescent="0.25">
      <c r="A644" s="7" t="str">
        <f>"4570"</f>
        <v>4570</v>
      </c>
      <c r="B644" s="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C644" s="7">
        <v>0</v>
      </c>
      <c r="D644" s="7">
        <v>0</v>
      </c>
      <c r="E644" s="7">
        <v>0</v>
      </c>
      <c r="F644" s="9">
        <v>211652234.21000001</v>
      </c>
    </row>
    <row r="645" spans="1:6" x14ac:dyDescent="0.25">
      <c r="A645" s="7" t="str">
        <f>"4593"</f>
        <v>4593</v>
      </c>
      <c r="B645" s="8" t="str">
        <f>"Доходы от переоценки операций своп"</f>
        <v>Доходы от переоценки операций своп</v>
      </c>
      <c r="C645" s="7">
        <v>0</v>
      </c>
      <c r="D645" s="7">
        <v>0</v>
      </c>
      <c r="E645" s="7">
        <v>0</v>
      </c>
      <c r="F645" s="9">
        <v>158159572.5</v>
      </c>
    </row>
    <row r="646" spans="1:6" x14ac:dyDescent="0.25">
      <c r="A646" s="7" t="str">
        <f>"4601"</f>
        <v>4601</v>
      </c>
      <c r="B646" s="8" t="str">
        <f>"Комиссионные доходы за услуги по переводным операциям"</f>
        <v>Комиссионные доходы за услуги по переводным операциям</v>
      </c>
      <c r="C646" s="7">
        <v>0</v>
      </c>
      <c r="D646" s="7">
        <v>0</v>
      </c>
      <c r="E646" s="7">
        <v>0</v>
      </c>
      <c r="F646" s="9">
        <v>3270588789.4899998</v>
      </c>
    </row>
    <row r="647" spans="1:6" x14ac:dyDescent="0.25">
      <c r="A647" s="7" t="str">
        <f>"4602"</f>
        <v>4602</v>
      </c>
      <c r="B647" s="8" t="str">
        <f>"Комиссионные доходы за агентские услуги"</f>
        <v>Комиссионные доходы за агентские услуги</v>
      </c>
      <c r="C647" s="7">
        <v>0</v>
      </c>
      <c r="D647" s="7">
        <v>0</v>
      </c>
      <c r="E647" s="7">
        <v>0</v>
      </c>
      <c r="F647" s="9">
        <v>6421359502.9899998</v>
      </c>
    </row>
    <row r="648" spans="1:6" x14ac:dyDescent="0.25">
      <c r="A648" s="7" t="str">
        <f>"4605"</f>
        <v>4605</v>
      </c>
      <c r="B648" s="8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C648" s="7">
        <v>0</v>
      </c>
      <c r="D648" s="7">
        <v>0</v>
      </c>
      <c r="E648" s="7">
        <v>0</v>
      </c>
      <c r="F648" s="9">
        <v>92044355.140000001</v>
      </c>
    </row>
    <row r="649" spans="1:6" x14ac:dyDescent="0.25">
      <c r="A649" s="7" t="str">
        <f>"4606"</f>
        <v>4606</v>
      </c>
      <c r="B649" s="8" t="str">
        <f>"Комиссионные доходы за услуги по операциям с гарантиями"</f>
        <v>Комиссионные доходы за услуги по операциям с гарантиями</v>
      </c>
      <c r="C649" s="7">
        <v>0</v>
      </c>
      <c r="D649" s="7">
        <v>0</v>
      </c>
      <c r="E649" s="7">
        <v>0</v>
      </c>
      <c r="F649" s="9">
        <v>944875473.46000004</v>
      </c>
    </row>
    <row r="650" spans="1:6" x14ac:dyDescent="0.25">
      <c r="A650" s="7" t="str">
        <f>"4607"</f>
        <v>4607</v>
      </c>
      <c r="B650" s="8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650" s="7">
        <v>0</v>
      </c>
      <c r="D650" s="7">
        <v>0</v>
      </c>
      <c r="E650" s="7">
        <v>0</v>
      </c>
      <c r="F650" s="9">
        <v>431957103.80000001</v>
      </c>
    </row>
    <row r="651" spans="1:6" x14ac:dyDescent="0.25">
      <c r="A651" s="7" t="str">
        <f>"4608"</f>
        <v>4608</v>
      </c>
      <c r="B651" s="8" t="str">
        <f>"Прочие комиссионные доходы"</f>
        <v>Прочие комиссионные доходы</v>
      </c>
      <c r="C651" s="7">
        <v>0</v>
      </c>
      <c r="D651" s="7">
        <v>0</v>
      </c>
      <c r="E651" s="7">
        <v>0</v>
      </c>
      <c r="F651" s="9">
        <v>7651584834.5699997</v>
      </c>
    </row>
    <row r="652" spans="1:6" x14ac:dyDescent="0.25">
      <c r="A652" s="7" t="str">
        <f>"4609"</f>
        <v>4609</v>
      </c>
      <c r="B652" s="8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652" s="7">
        <v>0</v>
      </c>
      <c r="D652" s="7">
        <v>0</v>
      </c>
      <c r="E652" s="7">
        <v>0</v>
      </c>
      <c r="F652" s="9">
        <v>273843386.42000002</v>
      </c>
    </row>
    <row r="653" spans="1:6" x14ac:dyDescent="0.25">
      <c r="A653" s="7" t="str">
        <f>"4611"</f>
        <v>4611</v>
      </c>
      <c r="B653" s="8" t="str">
        <f>"Комиссионные доходы за услуги по кассовым операциям"</f>
        <v>Комиссионные доходы за услуги по кассовым операциям</v>
      </c>
      <c r="C653" s="7">
        <v>0</v>
      </c>
      <c r="D653" s="7">
        <v>0</v>
      </c>
      <c r="E653" s="7">
        <v>0</v>
      </c>
      <c r="F653" s="9">
        <v>1308320190.98</v>
      </c>
    </row>
    <row r="654" spans="1:6" x14ac:dyDescent="0.25">
      <c r="A654" s="7" t="str">
        <f>"4612"</f>
        <v>4612</v>
      </c>
      <c r="B654" s="8" t="str">
        <f>"Комиссионные доходы по документарным расчетам"</f>
        <v>Комиссионные доходы по документарным расчетам</v>
      </c>
      <c r="C654" s="7">
        <v>0</v>
      </c>
      <c r="D654" s="7">
        <v>0</v>
      </c>
      <c r="E654" s="7">
        <v>0</v>
      </c>
      <c r="F654" s="9">
        <v>38388814.93</v>
      </c>
    </row>
    <row r="655" spans="1:6" x14ac:dyDescent="0.25">
      <c r="A655" s="7" t="str">
        <f>"4615"</f>
        <v>4615</v>
      </c>
      <c r="B655" s="8" t="str">
        <f>"Комиссионные доходы за услуги по инкассации"</f>
        <v>Комиссионные доходы за услуги по инкассации</v>
      </c>
      <c r="C655" s="7">
        <v>0</v>
      </c>
      <c r="D655" s="7">
        <v>0</v>
      </c>
      <c r="E655" s="7">
        <v>0</v>
      </c>
      <c r="F655" s="9">
        <v>13353764.210000001</v>
      </c>
    </row>
    <row r="656" spans="1:6" x14ac:dyDescent="0.25">
      <c r="A656" s="7" t="str">
        <f>"4617"</f>
        <v>4617</v>
      </c>
      <c r="B656" s="8" t="str">
        <f>"Комиссионные доходы за услуги по сейфовым операциям"</f>
        <v>Комиссионные доходы за услуги по сейфовым операциям</v>
      </c>
      <c r="C656" s="7">
        <v>0</v>
      </c>
      <c r="D656" s="7">
        <v>0</v>
      </c>
      <c r="E656" s="7">
        <v>0</v>
      </c>
      <c r="F656" s="9">
        <v>35094923.32</v>
      </c>
    </row>
    <row r="657" spans="1:6" x14ac:dyDescent="0.25">
      <c r="A657" s="7" t="str">
        <f>"4703"</f>
        <v>4703</v>
      </c>
      <c r="B657" s="8" t="str">
        <f>"Доход от переоценки иностранной валюты"</f>
        <v>Доход от переоценки иностранной валюты</v>
      </c>
      <c r="C657" s="7">
        <v>0</v>
      </c>
      <c r="D657" s="7">
        <v>0</v>
      </c>
      <c r="E657" s="7">
        <v>0</v>
      </c>
      <c r="F657" s="9">
        <v>333113318527.48999</v>
      </c>
    </row>
    <row r="658" spans="1:6" x14ac:dyDescent="0.25">
      <c r="A658" s="7" t="str">
        <f>"4704"</f>
        <v>4704</v>
      </c>
      <c r="B658" s="8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C658" s="7">
        <v>0</v>
      </c>
      <c r="D658" s="7">
        <v>0</v>
      </c>
      <c r="E658" s="7">
        <v>0</v>
      </c>
      <c r="F658" s="9">
        <v>145552387.16999999</v>
      </c>
    </row>
    <row r="659" spans="1:6" x14ac:dyDescent="0.25">
      <c r="A659" s="7" t="str">
        <f>"4709"</f>
        <v>4709</v>
      </c>
      <c r="B659" s="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C659" s="7">
        <v>0</v>
      </c>
      <c r="D659" s="7">
        <v>0</v>
      </c>
      <c r="E659" s="7">
        <v>0</v>
      </c>
      <c r="F659" s="9">
        <v>281854215.98000002</v>
      </c>
    </row>
    <row r="660" spans="1:6" x14ac:dyDescent="0.25">
      <c r="A660" s="7" t="str">
        <f>"4733"</f>
        <v>4733</v>
      </c>
      <c r="B660" s="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C660" s="7">
        <v>0</v>
      </c>
      <c r="D660" s="7">
        <v>0</v>
      </c>
      <c r="E660" s="7">
        <v>0</v>
      </c>
      <c r="F660" s="9">
        <v>2174581955.1999998</v>
      </c>
    </row>
    <row r="661" spans="1:6" x14ac:dyDescent="0.25">
      <c r="A661" s="7" t="str">
        <f>"4852"</f>
        <v>4852</v>
      </c>
      <c r="B661" s="8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661" s="7">
        <v>0</v>
      </c>
      <c r="D661" s="7">
        <v>0</v>
      </c>
      <c r="E661" s="7">
        <v>0</v>
      </c>
      <c r="F661" s="9">
        <v>82150805.349999994</v>
      </c>
    </row>
    <row r="662" spans="1:6" x14ac:dyDescent="0.25">
      <c r="A662" s="7" t="str">
        <f>"4854"</f>
        <v>4854</v>
      </c>
      <c r="B662" s="8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C662" s="7">
        <v>0</v>
      </c>
      <c r="D662" s="7">
        <v>0</v>
      </c>
      <c r="E662" s="7">
        <v>0</v>
      </c>
      <c r="F662" s="9">
        <v>3094164790.7600002</v>
      </c>
    </row>
    <row r="663" spans="1:6" x14ac:dyDescent="0.25">
      <c r="A663" s="7" t="str">
        <f>"4892"</f>
        <v>4892</v>
      </c>
      <c r="B663" s="8" t="str">
        <f>"Доходы по операциям форвард"</f>
        <v>Доходы по операциям форвард</v>
      </c>
      <c r="C663" s="7">
        <v>0</v>
      </c>
      <c r="D663" s="7">
        <v>0</v>
      </c>
      <c r="E663" s="7">
        <v>0</v>
      </c>
      <c r="F663" s="9">
        <v>6701497583.1400003</v>
      </c>
    </row>
    <row r="664" spans="1:6" x14ac:dyDescent="0.25">
      <c r="A664" s="7" t="str">
        <f>"4895"</f>
        <v>4895</v>
      </c>
      <c r="B664" s="8" t="str">
        <f>"Доходы по операциям своп"</f>
        <v>Доходы по операциям своп</v>
      </c>
      <c r="C664" s="7">
        <v>0</v>
      </c>
      <c r="D664" s="7">
        <v>0</v>
      </c>
      <c r="E664" s="7">
        <v>0</v>
      </c>
      <c r="F664" s="9">
        <v>22928680416.740002</v>
      </c>
    </row>
    <row r="665" spans="1:6" x14ac:dyDescent="0.25">
      <c r="A665" s="7" t="str">
        <f>"4900"</f>
        <v>4900</v>
      </c>
      <c r="B665" s="8" t="str">
        <f>"Неустойка (штраф, пеня)"</f>
        <v>Неустойка (штраф, пеня)</v>
      </c>
      <c r="C665" s="7">
        <v>0</v>
      </c>
      <c r="D665" s="7">
        <v>0</v>
      </c>
      <c r="E665" s="7">
        <v>0</v>
      </c>
      <c r="F665" s="9">
        <v>1996569330.54</v>
      </c>
    </row>
    <row r="666" spans="1:6" x14ac:dyDescent="0.25">
      <c r="A666" s="7" t="str">
        <f>"4921"</f>
        <v>4921</v>
      </c>
      <c r="B666" s="8" t="str">
        <f>"Прочие доходы от банковской деятельности"</f>
        <v>Прочие доходы от банковской деятельности</v>
      </c>
      <c r="C666" s="7">
        <v>0</v>
      </c>
      <c r="D666" s="7">
        <v>0</v>
      </c>
      <c r="E666" s="7">
        <v>0</v>
      </c>
      <c r="F666" s="9">
        <v>536533040.87</v>
      </c>
    </row>
    <row r="667" spans="1:6" x14ac:dyDescent="0.25">
      <c r="A667" s="7" t="str">
        <f>"4922"</f>
        <v>4922</v>
      </c>
      <c r="B667" s="8" t="str">
        <f>"Прочие доходы от неосновной деятельности"</f>
        <v>Прочие доходы от неосновной деятельности</v>
      </c>
      <c r="C667" s="7">
        <v>0</v>
      </c>
      <c r="D667" s="7">
        <v>0</v>
      </c>
      <c r="E667" s="7">
        <v>0</v>
      </c>
      <c r="F667" s="9">
        <v>407127886.13</v>
      </c>
    </row>
    <row r="668" spans="1:6" x14ac:dyDescent="0.25">
      <c r="A668" s="7" t="str">
        <f>"4951"</f>
        <v>4951</v>
      </c>
      <c r="B668" s="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C668" s="7">
        <v>0</v>
      </c>
      <c r="D668" s="7">
        <v>0</v>
      </c>
      <c r="E668" s="7">
        <v>0</v>
      </c>
      <c r="F668" s="9">
        <v>1742724.76</v>
      </c>
    </row>
    <row r="669" spans="1:6" x14ac:dyDescent="0.25">
      <c r="A669" s="7" t="str">
        <f>"4953"</f>
        <v>4953</v>
      </c>
      <c r="B669" s="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669" s="7">
        <v>0</v>
      </c>
      <c r="D669" s="7">
        <v>0</v>
      </c>
      <c r="E669" s="7">
        <v>0</v>
      </c>
      <c r="F669" s="9">
        <v>4049119332.6799998</v>
      </c>
    </row>
    <row r="670" spans="1:6" x14ac:dyDescent="0.25">
      <c r="A670" s="7" t="str">
        <f>"4954"</f>
        <v>4954</v>
      </c>
      <c r="B670" s="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670" s="7">
        <v>0</v>
      </c>
      <c r="D670" s="7">
        <v>0</v>
      </c>
      <c r="E670" s="7">
        <v>0</v>
      </c>
      <c r="F670" s="9">
        <v>417023079.95999998</v>
      </c>
    </row>
    <row r="671" spans="1:6" x14ac:dyDescent="0.25">
      <c r="A671" s="7" t="str">
        <f>"4955"</f>
        <v>4955</v>
      </c>
      <c r="B671" s="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671" s="7">
        <v>0</v>
      </c>
      <c r="D671" s="7">
        <v>0</v>
      </c>
      <c r="E671" s="7">
        <v>0</v>
      </c>
      <c r="F671" s="9">
        <v>99392906843.369995</v>
      </c>
    </row>
    <row r="672" spans="1:6" x14ac:dyDescent="0.25">
      <c r="A672" s="7" t="str">
        <f>"4956"</f>
        <v>4956</v>
      </c>
      <c r="B672" s="8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672" s="7">
        <v>0</v>
      </c>
      <c r="D672" s="7">
        <v>0</v>
      </c>
      <c r="E672" s="7">
        <v>0</v>
      </c>
      <c r="F672" s="9">
        <v>33748889.340000004</v>
      </c>
    </row>
    <row r="673" spans="1:6" x14ac:dyDescent="0.25">
      <c r="A673" s="7" t="str">
        <f>"4957"</f>
        <v>4957</v>
      </c>
      <c r="B673" s="8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673" s="7">
        <v>0</v>
      </c>
      <c r="D673" s="7">
        <v>0</v>
      </c>
      <c r="E673" s="7">
        <v>0</v>
      </c>
      <c r="F673" s="9">
        <v>193844634.18000001</v>
      </c>
    </row>
    <row r="674" spans="1:6" x14ac:dyDescent="0.25">
      <c r="A674" s="7" t="str">
        <f>"4958"</f>
        <v>4958</v>
      </c>
      <c r="B674" s="8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674" s="7">
        <v>0</v>
      </c>
      <c r="D674" s="7">
        <v>0</v>
      </c>
      <c r="E674" s="7">
        <v>0</v>
      </c>
      <c r="F674" s="9">
        <v>3609825546.1900001</v>
      </c>
    </row>
    <row r="675" spans="1:6" x14ac:dyDescent="0.25">
      <c r="A675" s="7" t="str">
        <f>"4959"</f>
        <v>4959</v>
      </c>
      <c r="B675" s="8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675" s="7">
        <v>0</v>
      </c>
      <c r="D675" s="7">
        <v>0</v>
      </c>
      <c r="E675" s="7">
        <v>0</v>
      </c>
      <c r="F675" s="9">
        <v>287754</v>
      </c>
    </row>
    <row r="676" spans="1:6" x14ac:dyDescent="0.25">
      <c r="A676" s="7" t="str">
        <f>"4963"</f>
        <v>4963</v>
      </c>
      <c r="B676" s="8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C676" s="7">
        <v>0</v>
      </c>
      <c r="D676" s="7">
        <v>0</v>
      </c>
      <c r="E676" s="7">
        <v>0</v>
      </c>
      <c r="F676" s="9">
        <v>2650456.86</v>
      </c>
    </row>
    <row r="677" spans="1:6" x14ac:dyDescent="0.25">
      <c r="A677" s="7" t="str">
        <f>"5056"</f>
        <v>5056</v>
      </c>
      <c r="B677" s="8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677" s="7">
        <v>0</v>
      </c>
      <c r="D677" s="7">
        <v>0</v>
      </c>
      <c r="E677" s="7">
        <v>0</v>
      </c>
      <c r="F677" s="9">
        <v>241153468.31</v>
      </c>
    </row>
    <row r="678" spans="1:6" x14ac:dyDescent="0.25">
      <c r="A678" s="7" t="str">
        <f>"5066"</f>
        <v>5066</v>
      </c>
      <c r="B678" s="8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678" s="7">
        <v>0</v>
      </c>
      <c r="D678" s="7">
        <v>0</v>
      </c>
      <c r="E678" s="7">
        <v>0</v>
      </c>
      <c r="F678" s="9">
        <v>607274552.54999995</v>
      </c>
    </row>
    <row r="679" spans="1:6" x14ac:dyDescent="0.25">
      <c r="A679" s="7" t="str">
        <f>"5126"</f>
        <v>5126</v>
      </c>
      <c r="B679" s="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C679" s="7">
        <v>0</v>
      </c>
      <c r="D679" s="7">
        <v>0</v>
      </c>
      <c r="E679" s="7">
        <v>0</v>
      </c>
      <c r="F679" s="9">
        <v>150576082.63</v>
      </c>
    </row>
    <row r="680" spans="1:6" x14ac:dyDescent="0.25">
      <c r="A680" s="7" t="str">
        <f>"5203"</f>
        <v>5203</v>
      </c>
      <c r="B680" s="8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C680" s="7">
        <v>0</v>
      </c>
      <c r="D680" s="7">
        <v>0</v>
      </c>
      <c r="E680" s="7">
        <v>0</v>
      </c>
      <c r="F680" s="9">
        <v>46097.49</v>
      </c>
    </row>
    <row r="681" spans="1:6" x14ac:dyDescent="0.25">
      <c r="A681" s="7" t="str">
        <f>"5211"</f>
        <v>5211</v>
      </c>
      <c r="B681" s="8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C681" s="7">
        <v>0</v>
      </c>
      <c r="D681" s="7">
        <v>0</v>
      </c>
      <c r="E681" s="7">
        <v>0</v>
      </c>
      <c r="F681" s="9">
        <v>2086145044.52</v>
      </c>
    </row>
    <row r="682" spans="1:6" x14ac:dyDescent="0.25">
      <c r="A682" s="7" t="str">
        <f>"5215"</f>
        <v>5215</v>
      </c>
      <c r="B682" s="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682" s="7">
        <v>0</v>
      </c>
      <c r="D682" s="7">
        <v>0</v>
      </c>
      <c r="E682" s="7">
        <v>0</v>
      </c>
      <c r="F682" s="9">
        <v>38056220714.879997</v>
      </c>
    </row>
    <row r="683" spans="1:6" x14ac:dyDescent="0.25">
      <c r="A683" s="7" t="str">
        <f>"5217"</f>
        <v>5217</v>
      </c>
      <c r="B683" s="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683" s="7">
        <v>0</v>
      </c>
      <c r="D683" s="7">
        <v>0</v>
      </c>
      <c r="E683" s="7">
        <v>0</v>
      </c>
      <c r="F683" s="9">
        <v>37472738207.650002</v>
      </c>
    </row>
    <row r="684" spans="1:6" x14ac:dyDescent="0.25">
      <c r="A684" s="7" t="str">
        <f>"5218"</f>
        <v>5218</v>
      </c>
      <c r="B684" s="8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684" s="7">
        <v>0</v>
      </c>
      <c r="D684" s="7">
        <v>0</v>
      </c>
      <c r="E684" s="7">
        <v>0</v>
      </c>
      <c r="F684" s="9">
        <v>39991174424.769997</v>
      </c>
    </row>
    <row r="685" spans="1:6" x14ac:dyDescent="0.25">
      <c r="A685" s="7" t="str">
        <f>"5219"</f>
        <v>5219</v>
      </c>
      <c r="B685" s="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685" s="7">
        <v>0</v>
      </c>
      <c r="D685" s="7">
        <v>0</v>
      </c>
      <c r="E685" s="7">
        <v>0</v>
      </c>
      <c r="F685" s="9">
        <v>181946.45</v>
      </c>
    </row>
    <row r="686" spans="1:6" x14ac:dyDescent="0.25">
      <c r="A686" s="7" t="str">
        <f>"5220"</f>
        <v>5220</v>
      </c>
      <c r="B686" s="8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686" s="7">
        <v>0</v>
      </c>
      <c r="D686" s="7">
        <v>0</v>
      </c>
      <c r="E686" s="7">
        <v>0</v>
      </c>
      <c r="F686" s="9">
        <v>707999470.59000003</v>
      </c>
    </row>
    <row r="687" spans="1:6" x14ac:dyDescent="0.25">
      <c r="A687" s="7" t="str">
        <f>"5223"</f>
        <v>5223</v>
      </c>
      <c r="B687" s="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687" s="7">
        <v>0</v>
      </c>
      <c r="D687" s="7">
        <v>0</v>
      </c>
      <c r="E687" s="7">
        <v>0</v>
      </c>
      <c r="F687" s="9">
        <v>4416285066.2299995</v>
      </c>
    </row>
    <row r="688" spans="1:6" x14ac:dyDescent="0.25">
      <c r="A688" s="7" t="str">
        <f>"5227"</f>
        <v>5227</v>
      </c>
      <c r="B688" s="8" t="str">
        <f>"Процентные расходы по обязательствам по аренде"</f>
        <v>Процентные расходы по обязательствам по аренде</v>
      </c>
      <c r="C688" s="7">
        <v>0</v>
      </c>
      <c r="D688" s="7">
        <v>0</v>
      </c>
      <c r="E688" s="7">
        <v>0</v>
      </c>
      <c r="F688" s="9">
        <v>504074617.81</v>
      </c>
    </row>
    <row r="689" spans="1:6" x14ac:dyDescent="0.25">
      <c r="A689" s="7" t="str">
        <f>"5232"</f>
        <v>5232</v>
      </c>
      <c r="B689" s="8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C689" s="7">
        <v>0</v>
      </c>
      <c r="D689" s="7">
        <v>0</v>
      </c>
      <c r="E689" s="7">
        <v>0</v>
      </c>
      <c r="F689" s="9">
        <v>12654792.550000001</v>
      </c>
    </row>
    <row r="690" spans="1:6" x14ac:dyDescent="0.25">
      <c r="A690" s="7" t="str">
        <f>"5240"</f>
        <v>5240</v>
      </c>
      <c r="B690" s="8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C690" s="7">
        <v>0</v>
      </c>
      <c r="D690" s="7">
        <v>0</v>
      </c>
      <c r="E690" s="7">
        <v>0</v>
      </c>
      <c r="F690" s="9">
        <v>4020067821.8400002</v>
      </c>
    </row>
    <row r="691" spans="1:6" x14ac:dyDescent="0.25">
      <c r="A691" s="7" t="str">
        <f>"5241"</f>
        <v>5241</v>
      </c>
      <c r="B691" s="8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C691" s="7">
        <v>0</v>
      </c>
      <c r="D691" s="7">
        <v>0</v>
      </c>
      <c r="E691" s="7">
        <v>0</v>
      </c>
      <c r="F691" s="9">
        <v>2801824386.5900002</v>
      </c>
    </row>
    <row r="692" spans="1:6" x14ac:dyDescent="0.25">
      <c r="A692" s="7" t="str">
        <f>"5250"</f>
        <v>5250</v>
      </c>
      <c r="B692" s="8" t="s">
        <v>6</v>
      </c>
      <c r="C692" s="7">
        <v>0</v>
      </c>
      <c r="D692" s="7">
        <v>0</v>
      </c>
      <c r="E692" s="7">
        <v>0</v>
      </c>
      <c r="F692" s="9">
        <v>13481584926.01</v>
      </c>
    </row>
    <row r="693" spans="1:6" x14ac:dyDescent="0.25">
      <c r="A693" s="7" t="str">
        <f>"5301"</f>
        <v>5301</v>
      </c>
      <c r="B693" s="8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693" s="7">
        <v>0</v>
      </c>
      <c r="D693" s="7">
        <v>0</v>
      </c>
      <c r="E693" s="7">
        <v>0</v>
      </c>
      <c r="F693" s="9">
        <v>652057939.25</v>
      </c>
    </row>
    <row r="694" spans="1:6" x14ac:dyDescent="0.25">
      <c r="A694" s="7" t="str">
        <f>"5306"</f>
        <v>5306</v>
      </c>
      <c r="B694" s="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C694" s="7">
        <v>0</v>
      </c>
      <c r="D694" s="7">
        <v>0</v>
      </c>
      <c r="E694" s="7">
        <v>0</v>
      </c>
      <c r="F694" s="9">
        <v>1089222565.1199999</v>
      </c>
    </row>
    <row r="695" spans="1:6" x14ac:dyDescent="0.25">
      <c r="A695" s="7" t="str">
        <f>"5307"</f>
        <v>5307</v>
      </c>
      <c r="B695" s="8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695" s="7">
        <v>0</v>
      </c>
      <c r="D695" s="7">
        <v>0</v>
      </c>
      <c r="E695" s="7">
        <v>0</v>
      </c>
      <c r="F695" s="9">
        <v>18375738.629999999</v>
      </c>
    </row>
    <row r="696" spans="1:6" x14ac:dyDescent="0.25">
      <c r="A696" s="7" t="str">
        <f>"5308"</f>
        <v>5308</v>
      </c>
      <c r="B696" s="8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696" s="7">
        <v>0</v>
      </c>
      <c r="D696" s="7">
        <v>0</v>
      </c>
      <c r="E696" s="7">
        <v>0</v>
      </c>
      <c r="F696" s="9">
        <v>599879874.45000005</v>
      </c>
    </row>
    <row r="697" spans="1:6" x14ac:dyDescent="0.25">
      <c r="A697" s="7" t="str">
        <f>"5309"</f>
        <v>5309</v>
      </c>
      <c r="B697" s="8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697" s="7">
        <v>0</v>
      </c>
      <c r="D697" s="7">
        <v>0</v>
      </c>
      <c r="E697" s="7">
        <v>0</v>
      </c>
      <c r="F697" s="9">
        <v>227793768.06</v>
      </c>
    </row>
    <row r="698" spans="1:6" x14ac:dyDescent="0.25">
      <c r="A698" s="7" t="str">
        <f>"5404"</f>
        <v>5404</v>
      </c>
      <c r="B698" s="8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C698" s="7">
        <v>0</v>
      </c>
      <c r="D698" s="7">
        <v>0</v>
      </c>
      <c r="E698" s="7">
        <v>0</v>
      </c>
      <c r="F698" s="9">
        <v>4280884207.73</v>
      </c>
    </row>
    <row r="699" spans="1:6" x14ac:dyDescent="0.25">
      <c r="A699" s="7" t="str">
        <f>"5406"</f>
        <v>5406</v>
      </c>
      <c r="B699" s="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C699" s="7">
        <v>0</v>
      </c>
      <c r="D699" s="7">
        <v>0</v>
      </c>
      <c r="E699" s="7">
        <v>0</v>
      </c>
      <c r="F699" s="9">
        <v>4500000000</v>
      </c>
    </row>
    <row r="700" spans="1:6" x14ac:dyDescent="0.25">
      <c r="A700" s="7" t="str">
        <f>"5451"</f>
        <v>5451</v>
      </c>
      <c r="B700" s="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700" s="7">
        <v>0</v>
      </c>
      <c r="D700" s="7">
        <v>0</v>
      </c>
      <c r="E700" s="7">
        <v>0</v>
      </c>
      <c r="F700" s="9">
        <v>84075.24</v>
      </c>
    </row>
    <row r="701" spans="1:6" x14ac:dyDescent="0.25">
      <c r="A701" s="7" t="str">
        <f>"5453"</f>
        <v>5453</v>
      </c>
      <c r="B701" s="8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701" s="7">
        <v>0</v>
      </c>
      <c r="D701" s="7">
        <v>0</v>
      </c>
      <c r="E701" s="7">
        <v>0</v>
      </c>
      <c r="F701" s="9">
        <v>4012408313.6999998</v>
      </c>
    </row>
    <row r="702" spans="1:6" x14ac:dyDescent="0.25">
      <c r="A702" s="7" t="str">
        <f>"5455"</f>
        <v>5455</v>
      </c>
      <c r="B702" s="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702" s="7">
        <v>0</v>
      </c>
      <c r="D702" s="7">
        <v>0</v>
      </c>
      <c r="E702" s="7">
        <v>0</v>
      </c>
      <c r="F702" s="9">
        <v>141978635565.69</v>
      </c>
    </row>
    <row r="703" spans="1:6" x14ac:dyDescent="0.25">
      <c r="A703" s="7" t="str">
        <f>"5456"</f>
        <v>5456</v>
      </c>
      <c r="B703" s="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703" s="7">
        <v>0</v>
      </c>
      <c r="D703" s="7">
        <v>0</v>
      </c>
      <c r="E703" s="7">
        <v>0</v>
      </c>
      <c r="F703" s="9">
        <v>204474574.55000001</v>
      </c>
    </row>
    <row r="704" spans="1:6" x14ac:dyDescent="0.25">
      <c r="A704" s="7" t="str">
        <f>"5457"</f>
        <v>5457</v>
      </c>
      <c r="B704" s="8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704" s="7">
        <v>0</v>
      </c>
      <c r="D704" s="7">
        <v>0</v>
      </c>
      <c r="E704" s="7">
        <v>0</v>
      </c>
      <c r="F704" s="9">
        <v>44458065.670000002</v>
      </c>
    </row>
    <row r="705" spans="1:6" x14ac:dyDescent="0.25">
      <c r="A705" s="7" t="str">
        <f>"5459"</f>
        <v>5459</v>
      </c>
      <c r="B705" s="8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C705" s="7">
        <v>0</v>
      </c>
      <c r="D705" s="7">
        <v>0</v>
      </c>
      <c r="E705" s="7">
        <v>0</v>
      </c>
      <c r="F705" s="9">
        <v>574023809.85000002</v>
      </c>
    </row>
    <row r="706" spans="1:6" x14ac:dyDescent="0.25">
      <c r="A706" s="7" t="str">
        <f>"5464"</f>
        <v>5464</v>
      </c>
      <c r="B706" s="8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706" s="7">
        <v>0</v>
      </c>
      <c r="D706" s="7">
        <v>0</v>
      </c>
      <c r="E706" s="7">
        <v>0</v>
      </c>
      <c r="F706" s="9">
        <v>245199185.77000001</v>
      </c>
    </row>
    <row r="707" spans="1:6" x14ac:dyDescent="0.25">
      <c r="A707" s="7" t="str">
        <f>"5465"</f>
        <v>5465</v>
      </c>
      <c r="B707" s="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707" s="7">
        <v>0</v>
      </c>
      <c r="D707" s="7">
        <v>0</v>
      </c>
      <c r="E707" s="7">
        <v>0</v>
      </c>
      <c r="F707" s="9">
        <v>1930765106.47</v>
      </c>
    </row>
    <row r="708" spans="1:6" x14ac:dyDescent="0.25">
      <c r="A708" s="7" t="str">
        <f>"5510"</f>
        <v>5510</v>
      </c>
      <c r="B708" s="8" t="str">
        <f>"Расходы по купле-продаже ценных бумаг"</f>
        <v>Расходы по купле-продаже ценных бумаг</v>
      </c>
      <c r="C708" s="7">
        <v>0</v>
      </c>
      <c r="D708" s="7">
        <v>0</v>
      </c>
      <c r="E708" s="7">
        <v>0</v>
      </c>
      <c r="F708" s="9">
        <v>402963460.39999998</v>
      </c>
    </row>
    <row r="709" spans="1:6" x14ac:dyDescent="0.25">
      <c r="A709" s="7" t="str">
        <f>"5530"</f>
        <v>5530</v>
      </c>
      <c r="B709" s="8" t="str">
        <f>"Расходы по купле-продаже иностранной валюты"</f>
        <v>Расходы по купле-продаже иностранной валюты</v>
      </c>
      <c r="C709" s="7">
        <v>0</v>
      </c>
      <c r="D709" s="7">
        <v>0</v>
      </c>
      <c r="E709" s="7">
        <v>0</v>
      </c>
      <c r="F709" s="9">
        <v>37212008065.370003</v>
      </c>
    </row>
    <row r="710" spans="1:6" x14ac:dyDescent="0.25">
      <c r="A710" s="7" t="str">
        <f>"5540"</f>
        <v>5540</v>
      </c>
      <c r="B710" s="8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C710" s="7">
        <v>0</v>
      </c>
      <c r="D710" s="7">
        <v>0</v>
      </c>
      <c r="E710" s="7">
        <v>0</v>
      </c>
      <c r="F710" s="9">
        <v>1039875.09</v>
      </c>
    </row>
    <row r="711" spans="1:6" x14ac:dyDescent="0.25">
      <c r="A711" s="7" t="str">
        <f>"5570"</f>
        <v>5570</v>
      </c>
      <c r="B711" s="8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C711" s="7">
        <v>0</v>
      </c>
      <c r="D711" s="7">
        <v>0</v>
      </c>
      <c r="E711" s="7">
        <v>0</v>
      </c>
      <c r="F711" s="9">
        <v>244148823.31</v>
      </c>
    </row>
    <row r="712" spans="1:6" x14ac:dyDescent="0.25">
      <c r="A712" s="7" t="str">
        <f>"5593"</f>
        <v>5593</v>
      </c>
      <c r="B712" s="8" t="str">
        <f>"Расходы от переоценки операций своп"</f>
        <v>Расходы от переоценки операций своп</v>
      </c>
      <c r="C712" s="7">
        <v>0</v>
      </c>
      <c r="D712" s="7">
        <v>0</v>
      </c>
      <c r="E712" s="7">
        <v>0</v>
      </c>
      <c r="F712" s="9">
        <v>274253562.88</v>
      </c>
    </row>
    <row r="713" spans="1:6" x14ac:dyDescent="0.25">
      <c r="A713" s="7" t="str">
        <f>"5601"</f>
        <v>5601</v>
      </c>
      <c r="B713" s="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713" s="7">
        <v>0</v>
      </c>
      <c r="D713" s="7">
        <v>0</v>
      </c>
      <c r="E713" s="7">
        <v>0</v>
      </c>
      <c r="F713" s="9">
        <v>417417058.95999998</v>
      </c>
    </row>
    <row r="714" spans="1:6" x14ac:dyDescent="0.25">
      <c r="A714" s="7" t="str">
        <f>"5602"</f>
        <v>5602</v>
      </c>
      <c r="B714" s="8" t="str">
        <f>"Комиссионные расходы по полученным агентским услугам"</f>
        <v>Комиссионные расходы по полученным агентским услугам</v>
      </c>
      <c r="C714" s="7">
        <v>0</v>
      </c>
      <c r="D714" s="7">
        <v>0</v>
      </c>
      <c r="E714" s="7">
        <v>0</v>
      </c>
      <c r="F714" s="9">
        <v>1268753076.3</v>
      </c>
    </row>
    <row r="715" spans="1:6" x14ac:dyDescent="0.25">
      <c r="A715" s="7" t="str">
        <f>"5603"</f>
        <v>5603</v>
      </c>
      <c r="B715" s="8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C715" s="7">
        <v>0</v>
      </c>
      <c r="D715" s="7">
        <v>0</v>
      </c>
      <c r="E715" s="7">
        <v>0</v>
      </c>
      <c r="F715" s="9">
        <v>23471180.079999998</v>
      </c>
    </row>
    <row r="716" spans="1:6" x14ac:dyDescent="0.25">
      <c r="A716" s="7" t="str">
        <f>"5604"</f>
        <v>5604</v>
      </c>
      <c r="B716" s="8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C716" s="7">
        <v>0</v>
      </c>
      <c r="D716" s="7">
        <v>0</v>
      </c>
      <c r="E716" s="7">
        <v>0</v>
      </c>
      <c r="F716" s="9">
        <v>7085441.2599999998</v>
      </c>
    </row>
    <row r="717" spans="1:6" x14ac:dyDescent="0.25">
      <c r="A717" s="7" t="str">
        <f>"5607"</f>
        <v>5607</v>
      </c>
      <c r="B717" s="8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C717" s="7">
        <v>0</v>
      </c>
      <c r="D717" s="7">
        <v>0</v>
      </c>
      <c r="E717" s="7">
        <v>0</v>
      </c>
      <c r="F717" s="9">
        <v>117529084.5</v>
      </c>
    </row>
    <row r="718" spans="1:6" x14ac:dyDescent="0.25">
      <c r="A718" s="7" t="str">
        <f>"5608"</f>
        <v>5608</v>
      </c>
      <c r="B718" s="8" t="str">
        <f>"Прочие комиссионные расходы"</f>
        <v>Прочие комиссионные расходы</v>
      </c>
      <c r="C718" s="7">
        <v>0</v>
      </c>
      <c r="D718" s="7">
        <v>0</v>
      </c>
      <c r="E718" s="7">
        <v>0</v>
      </c>
      <c r="F718" s="9">
        <v>10320383707.09</v>
      </c>
    </row>
    <row r="719" spans="1:6" x14ac:dyDescent="0.25">
      <c r="A719" s="7" t="str">
        <f>"5609"</f>
        <v>5609</v>
      </c>
      <c r="B719" s="8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719" s="7">
        <v>0</v>
      </c>
      <c r="D719" s="7">
        <v>0</v>
      </c>
      <c r="E719" s="7">
        <v>0</v>
      </c>
      <c r="F719" s="9">
        <v>229549088.5</v>
      </c>
    </row>
    <row r="720" spans="1:6" x14ac:dyDescent="0.25">
      <c r="A720" s="7" t="str">
        <f>"5703"</f>
        <v>5703</v>
      </c>
      <c r="B720" s="8" t="str">
        <f>"Расходы от переоценки иностранной валюты"</f>
        <v>Расходы от переоценки иностранной валюты</v>
      </c>
      <c r="C720" s="7">
        <v>0</v>
      </c>
      <c r="D720" s="7">
        <v>0</v>
      </c>
      <c r="E720" s="7">
        <v>0</v>
      </c>
      <c r="F720" s="9">
        <v>320694960822.79999</v>
      </c>
    </row>
    <row r="721" spans="1:6" x14ac:dyDescent="0.25">
      <c r="A721" s="7" t="str">
        <f>"5704"</f>
        <v>5704</v>
      </c>
      <c r="B721" s="8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C721" s="7">
        <v>0</v>
      </c>
      <c r="D721" s="7">
        <v>0</v>
      </c>
      <c r="E721" s="7">
        <v>0</v>
      </c>
      <c r="F721" s="9">
        <v>78343434.730000004</v>
      </c>
    </row>
    <row r="722" spans="1:6" x14ac:dyDescent="0.25">
      <c r="A722" s="7" t="str">
        <f>"5709"</f>
        <v>5709</v>
      </c>
      <c r="B722" s="8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C722" s="7">
        <v>0</v>
      </c>
      <c r="D722" s="7">
        <v>0</v>
      </c>
      <c r="E722" s="7">
        <v>0</v>
      </c>
      <c r="F722" s="9">
        <v>286617957.54000002</v>
      </c>
    </row>
    <row r="723" spans="1:6" x14ac:dyDescent="0.25">
      <c r="A723" s="7" t="str">
        <f>"5715"</f>
        <v>5715</v>
      </c>
      <c r="B723" s="8" t="str">
        <f>"Расходы от обесценения долгосрочных активов, предназначенных для продажи"</f>
        <v>Расходы от обесценения долгосрочных активов, предназначенных для продажи</v>
      </c>
      <c r="C723" s="7">
        <v>0</v>
      </c>
      <c r="D723" s="7">
        <v>0</v>
      </c>
      <c r="E723" s="7">
        <v>0</v>
      </c>
      <c r="F723" s="9">
        <v>167171000</v>
      </c>
    </row>
    <row r="724" spans="1:6" x14ac:dyDescent="0.25">
      <c r="A724" s="7" t="str">
        <f>"5721"</f>
        <v>5721</v>
      </c>
      <c r="B724" s="8" t="str">
        <f>"Расходы по оплате труда"</f>
        <v>Расходы по оплате труда</v>
      </c>
      <c r="C724" s="7">
        <v>0</v>
      </c>
      <c r="D724" s="7">
        <v>0</v>
      </c>
      <c r="E724" s="7">
        <v>0</v>
      </c>
      <c r="F724" s="9">
        <v>17687040173.349998</v>
      </c>
    </row>
    <row r="725" spans="1:6" x14ac:dyDescent="0.25">
      <c r="A725" s="7" t="str">
        <f>"5722"</f>
        <v>5722</v>
      </c>
      <c r="B725" s="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C725" s="7">
        <v>0</v>
      </c>
      <c r="D725" s="7">
        <v>0</v>
      </c>
      <c r="E725" s="7">
        <v>0</v>
      </c>
      <c r="F725" s="9">
        <v>1724168663</v>
      </c>
    </row>
    <row r="726" spans="1:6" x14ac:dyDescent="0.25">
      <c r="A726" s="7" t="str">
        <f>"5729"</f>
        <v>5729</v>
      </c>
      <c r="B726" s="8" t="str">
        <f>"Прочие выплаты"</f>
        <v>Прочие выплаты</v>
      </c>
      <c r="C726" s="7">
        <v>0</v>
      </c>
      <c r="D726" s="7">
        <v>0</v>
      </c>
      <c r="E726" s="7">
        <v>0</v>
      </c>
      <c r="F726" s="9">
        <v>433590175.30000001</v>
      </c>
    </row>
    <row r="727" spans="1:6" x14ac:dyDescent="0.25">
      <c r="A727" s="7" t="str">
        <f>"5733"</f>
        <v>5733</v>
      </c>
      <c r="B727" s="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C727" s="7">
        <v>0</v>
      </c>
      <c r="D727" s="7">
        <v>0</v>
      </c>
      <c r="E727" s="7">
        <v>0</v>
      </c>
      <c r="F727" s="9">
        <v>152463903.16</v>
      </c>
    </row>
    <row r="728" spans="1:6" x14ac:dyDescent="0.25">
      <c r="A728" s="7" t="str">
        <f>"5741"</f>
        <v>5741</v>
      </c>
      <c r="B728" s="8" t="str">
        <f>"Транспортные расходы"</f>
        <v>Транспортные расходы</v>
      </c>
      <c r="C728" s="7">
        <v>0</v>
      </c>
      <c r="D728" s="7">
        <v>0</v>
      </c>
      <c r="E728" s="7">
        <v>0</v>
      </c>
      <c r="F728" s="9">
        <v>126041663.53</v>
      </c>
    </row>
    <row r="729" spans="1:6" x14ac:dyDescent="0.25">
      <c r="A729" s="7" t="str">
        <f>"5742"</f>
        <v>5742</v>
      </c>
      <c r="B729" s="8" t="str">
        <f>"Административные расходы"</f>
        <v>Административные расходы</v>
      </c>
      <c r="C729" s="7">
        <v>0</v>
      </c>
      <c r="D729" s="7">
        <v>0</v>
      </c>
      <c r="E729" s="7">
        <v>0</v>
      </c>
      <c r="F729" s="9">
        <v>4787971906.9899998</v>
      </c>
    </row>
    <row r="730" spans="1:6" x14ac:dyDescent="0.25">
      <c r="A730" s="7" t="str">
        <f>"5743"</f>
        <v>5743</v>
      </c>
      <c r="B730" s="8" t="str">
        <f>"Расходы на инкассацию"</f>
        <v>Расходы на инкассацию</v>
      </c>
      <c r="C730" s="7">
        <v>0</v>
      </c>
      <c r="D730" s="7">
        <v>0</v>
      </c>
      <c r="E730" s="7">
        <v>0</v>
      </c>
      <c r="F730" s="9">
        <v>579970881.53999996</v>
      </c>
    </row>
    <row r="731" spans="1:6" x14ac:dyDescent="0.25">
      <c r="A731" s="7" t="str">
        <f>"5744"</f>
        <v>5744</v>
      </c>
      <c r="B731" s="8" t="str">
        <f>"Расходы на ремонт"</f>
        <v>Расходы на ремонт</v>
      </c>
      <c r="C731" s="7">
        <v>0</v>
      </c>
      <c r="D731" s="7">
        <v>0</v>
      </c>
      <c r="E731" s="7">
        <v>0</v>
      </c>
      <c r="F731" s="9">
        <v>345026990.76999998</v>
      </c>
    </row>
    <row r="732" spans="1:6" x14ac:dyDescent="0.25">
      <c r="A732" s="7" t="str">
        <f>"5745"</f>
        <v>5745</v>
      </c>
      <c r="B732" s="8" t="str">
        <f>"Расходы на рекламу"</f>
        <v>Расходы на рекламу</v>
      </c>
      <c r="C732" s="7">
        <v>0</v>
      </c>
      <c r="D732" s="7">
        <v>0</v>
      </c>
      <c r="E732" s="7">
        <v>0</v>
      </c>
      <c r="F732" s="9">
        <v>464818172.31999999</v>
      </c>
    </row>
    <row r="733" spans="1:6" x14ac:dyDescent="0.25">
      <c r="A733" s="7" t="str">
        <f>"5746"</f>
        <v>5746</v>
      </c>
      <c r="B733" s="8" t="str">
        <f>"Расходы на охрану и сигнализацию"</f>
        <v>Расходы на охрану и сигнализацию</v>
      </c>
      <c r="C733" s="7">
        <v>0</v>
      </c>
      <c r="D733" s="7">
        <v>0</v>
      </c>
      <c r="E733" s="7">
        <v>0</v>
      </c>
      <c r="F733" s="9">
        <v>1453786000.8099999</v>
      </c>
    </row>
    <row r="734" spans="1:6" x14ac:dyDescent="0.25">
      <c r="A734" s="7" t="str">
        <f>"5747"</f>
        <v>5747</v>
      </c>
      <c r="B734" s="8" t="str">
        <f>"Представительские расходы"</f>
        <v>Представительские расходы</v>
      </c>
      <c r="C734" s="7">
        <v>0</v>
      </c>
      <c r="D734" s="7">
        <v>0</v>
      </c>
      <c r="E734" s="7">
        <v>0</v>
      </c>
      <c r="F734" s="9">
        <v>600000</v>
      </c>
    </row>
    <row r="735" spans="1:6" x14ac:dyDescent="0.25">
      <c r="A735" s="7" t="str">
        <f>"5748"</f>
        <v>5748</v>
      </c>
      <c r="B735" s="8" t="str">
        <f>"Прочие общехозяйственные расходы"</f>
        <v>Прочие общехозяйственные расходы</v>
      </c>
      <c r="C735" s="7">
        <v>0</v>
      </c>
      <c r="D735" s="7">
        <v>0</v>
      </c>
      <c r="E735" s="7">
        <v>0</v>
      </c>
      <c r="F735" s="9">
        <v>3000489.78</v>
      </c>
    </row>
    <row r="736" spans="1:6" x14ac:dyDescent="0.25">
      <c r="A736" s="7" t="str">
        <f>"5749"</f>
        <v>5749</v>
      </c>
      <c r="B736" s="8" t="str">
        <f>"Расходы на служебные командировки"</f>
        <v>Расходы на служебные командировки</v>
      </c>
      <c r="C736" s="7">
        <v>0</v>
      </c>
      <c r="D736" s="7">
        <v>0</v>
      </c>
      <c r="E736" s="7">
        <v>0</v>
      </c>
      <c r="F736" s="9">
        <v>338188046.12</v>
      </c>
    </row>
    <row r="737" spans="1:6" x14ac:dyDescent="0.25">
      <c r="A737" s="7" t="str">
        <f>"5750"</f>
        <v>5750</v>
      </c>
      <c r="B737" s="8" t="str">
        <f>"Расходы по аудиту и консультационным услугам"</f>
        <v>Расходы по аудиту и консультационным услугам</v>
      </c>
      <c r="C737" s="7">
        <v>0</v>
      </c>
      <c r="D737" s="7">
        <v>0</v>
      </c>
      <c r="E737" s="7">
        <v>0</v>
      </c>
      <c r="F737" s="9">
        <v>320980221.55000001</v>
      </c>
    </row>
    <row r="738" spans="1:6" x14ac:dyDescent="0.25">
      <c r="A738" s="7" t="str">
        <f>"5752"</f>
        <v>5752</v>
      </c>
      <c r="B738" s="8" t="str">
        <f>"Расходы по страхованию"</f>
        <v>Расходы по страхованию</v>
      </c>
      <c r="C738" s="7">
        <v>0</v>
      </c>
      <c r="D738" s="7">
        <v>0</v>
      </c>
      <c r="E738" s="7">
        <v>0</v>
      </c>
      <c r="F738" s="9">
        <v>49290091.75</v>
      </c>
    </row>
    <row r="739" spans="1:6" x14ac:dyDescent="0.25">
      <c r="A739" s="7" t="str">
        <f>"5753"</f>
        <v>5753</v>
      </c>
      <c r="B739" s="8" t="str">
        <f>"Расходы по услугам связи"</f>
        <v>Расходы по услугам связи</v>
      </c>
      <c r="C739" s="7">
        <v>0</v>
      </c>
      <c r="D739" s="7">
        <v>0</v>
      </c>
      <c r="E739" s="7">
        <v>0</v>
      </c>
      <c r="F739" s="9">
        <v>1231593927.8299999</v>
      </c>
    </row>
    <row r="740" spans="1:6" x14ac:dyDescent="0.25">
      <c r="A740" s="7" t="str">
        <f>"5754"</f>
        <v>5754</v>
      </c>
      <c r="B740" s="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740" s="7">
        <v>0</v>
      </c>
      <c r="D740" s="7">
        <v>0</v>
      </c>
      <c r="E740" s="7">
        <v>0</v>
      </c>
      <c r="F740" s="9">
        <v>3575263868.1700001</v>
      </c>
    </row>
    <row r="741" spans="1:6" x14ac:dyDescent="0.25">
      <c r="A741" s="7" t="str">
        <f>"5761"</f>
        <v>5761</v>
      </c>
      <c r="B741" s="8" t="str">
        <f>"Налог на добавленную стоимость"</f>
        <v>Налог на добавленную стоимость</v>
      </c>
      <c r="C741" s="7">
        <v>0</v>
      </c>
      <c r="D741" s="7">
        <v>0</v>
      </c>
      <c r="E741" s="7">
        <v>0</v>
      </c>
      <c r="F741" s="9">
        <v>1322470322.1400001</v>
      </c>
    </row>
    <row r="742" spans="1:6" x14ac:dyDescent="0.25">
      <c r="A742" s="7" t="str">
        <f>"5763"</f>
        <v>5763</v>
      </c>
      <c r="B742" s="8" t="str">
        <f>"Социальный налог"</f>
        <v>Социальный налог</v>
      </c>
      <c r="C742" s="7">
        <v>0</v>
      </c>
      <c r="D742" s="7">
        <v>0</v>
      </c>
      <c r="E742" s="7">
        <v>0</v>
      </c>
      <c r="F742" s="9">
        <v>2151451473</v>
      </c>
    </row>
    <row r="743" spans="1:6" x14ac:dyDescent="0.25">
      <c r="A743" s="7" t="str">
        <f>"5764"</f>
        <v>5764</v>
      </c>
      <c r="B743" s="8" t="str">
        <f>"Земельный налог"</f>
        <v>Земельный налог</v>
      </c>
      <c r="C743" s="7">
        <v>0</v>
      </c>
      <c r="D743" s="7">
        <v>0</v>
      </c>
      <c r="E743" s="7">
        <v>0</v>
      </c>
      <c r="F743" s="9">
        <v>2328851.1800000002</v>
      </c>
    </row>
    <row r="744" spans="1:6" x14ac:dyDescent="0.25">
      <c r="A744" s="7" t="str">
        <f>"5765"</f>
        <v>5765</v>
      </c>
      <c r="B744" s="8" t="str">
        <f>"Налог на имущество юридических лиц"</f>
        <v>Налог на имущество юридических лиц</v>
      </c>
      <c r="C744" s="7">
        <v>0</v>
      </c>
      <c r="D744" s="7">
        <v>0</v>
      </c>
      <c r="E744" s="7">
        <v>0</v>
      </c>
      <c r="F744" s="9">
        <v>185817566.25</v>
      </c>
    </row>
    <row r="745" spans="1:6" x14ac:dyDescent="0.25">
      <c r="A745" s="7" t="str">
        <f>"5766"</f>
        <v>5766</v>
      </c>
      <c r="B745" s="8" t="str">
        <f>"Налог на транспортные средства"</f>
        <v>Налог на транспортные средства</v>
      </c>
      <c r="C745" s="7">
        <v>0</v>
      </c>
      <c r="D745" s="7">
        <v>0</v>
      </c>
      <c r="E745" s="7">
        <v>0</v>
      </c>
      <c r="F745" s="9">
        <v>3590012</v>
      </c>
    </row>
    <row r="746" spans="1:6" x14ac:dyDescent="0.25">
      <c r="A746" s="7" t="str">
        <f>"5768"</f>
        <v>5768</v>
      </c>
      <c r="B746" s="8" t="str">
        <f>"Прочие налоги и обязательные платежи в бюджет"</f>
        <v>Прочие налоги и обязательные платежи в бюджет</v>
      </c>
      <c r="C746" s="7">
        <v>0</v>
      </c>
      <c r="D746" s="7">
        <v>0</v>
      </c>
      <c r="E746" s="7">
        <v>0</v>
      </c>
      <c r="F746" s="9">
        <v>8065316.2400000002</v>
      </c>
    </row>
    <row r="747" spans="1:6" x14ac:dyDescent="0.25">
      <c r="A747" s="7" t="str">
        <f>"5781"</f>
        <v>5781</v>
      </c>
      <c r="B747" s="8" t="str">
        <f>"Расходы по амортизации зданий и сооружений"</f>
        <v>Расходы по амортизации зданий и сооружений</v>
      </c>
      <c r="C747" s="7">
        <v>0</v>
      </c>
      <c r="D747" s="7">
        <v>0</v>
      </c>
      <c r="E747" s="7">
        <v>0</v>
      </c>
      <c r="F747" s="9">
        <v>112687740</v>
      </c>
    </row>
    <row r="748" spans="1:6" x14ac:dyDescent="0.25">
      <c r="A748" s="7" t="str">
        <f>"5782"</f>
        <v>5782</v>
      </c>
      <c r="B748" s="8" t="str">
        <f>"Расходы по амортизации компьютерного оборудования"</f>
        <v>Расходы по амортизации компьютерного оборудования</v>
      </c>
      <c r="C748" s="7">
        <v>0</v>
      </c>
      <c r="D748" s="7">
        <v>0</v>
      </c>
      <c r="E748" s="7">
        <v>0</v>
      </c>
      <c r="F748" s="9">
        <v>939529897.79999995</v>
      </c>
    </row>
    <row r="749" spans="1:6" x14ac:dyDescent="0.25">
      <c r="A749" s="7" t="str">
        <f>"5783"</f>
        <v>5783</v>
      </c>
      <c r="B749" s="8" t="str">
        <f>"Расходы по амортизации прочих основных средств"</f>
        <v>Расходы по амортизации прочих основных средств</v>
      </c>
      <c r="C749" s="7">
        <v>0</v>
      </c>
      <c r="D749" s="7">
        <v>0</v>
      </c>
      <c r="E749" s="7">
        <v>0</v>
      </c>
      <c r="F749" s="9">
        <v>1202970774.05</v>
      </c>
    </row>
    <row r="750" spans="1:6" x14ac:dyDescent="0.25">
      <c r="A750" s="7" t="str">
        <f>"5784"</f>
        <v>5784</v>
      </c>
      <c r="B750" s="8" t="str">
        <f>"Расходы по амортизации активов в форме права пользования"</f>
        <v>Расходы по амортизации активов в форме права пользования</v>
      </c>
      <c r="C750" s="7">
        <v>0</v>
      </c>
      <c r="D750" s="7">
        <v>0</v>
      </c>
      <c r="E750" s="7">
        <v>0</v>
      </c>
      <c r="F750" s="9">
        <v>1517488970.8499999</v>
      </c>
    </row>
    <row r="751" spans="1:6" x14ac:dyDescent="0.25">
      <c r="A751" s="7" t="str">
        <f>"5786"</f>
        <v>5786</v>
      </c>
      <c r="B751" s="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751" s="7">
        <v>0</v>
      </c>
      <c r="D751" s="7">
        <v>0</v>
      </c>
      <c r="E751" s="7">
        <v>0</v>
      </c>
      <c r="F751" s="9">
        <v>73377</v>
      </c>
    </row>
    <row r="752" spans="1:6" x14ac:dyDescent="0.25">
      <c r="A752" s="7" t="str">
        <f>"5787"</f>
        <v>5787</v>
      </c>
      <c r="B752" s="8" t="str">
        <f>"Расходы по амортизации транспортных средств"</f>
        <v>Расходы по амортизации транспортных средств</v>
      </c>
      <c r="C752" s="7">
        <v>0</v>
      </c>
      <c r="D752" s="7">
        <v>0</v>
      </c>
      <c r="E752" s="7">
        <v>0</v>
      </c>
      <c r="F752" s="9">
        <v>130529806</v>
      </c>
    </row>
    <row r="753" spans="1:6" x14ac:dyDescent="0.25">
      <c r="A753" s="7" t="str">
        <f>"5788"</f>
        <v>5788</v>
      </c>
      <c r="B753" s="8" t="str">
        <f>"Расходы по амортизации нематериальных активов"</f>
        <v>Расходы по амортизации нематериальных активов</v>
      </c>
      <c r="C753" s="7">
        <v>0</v>
      </c>
      <c r="D753" s="7">
        <v>0</v>
      </c>
      <c r="E753" s="7">
        <v>0</v>
      </c>
      <c r="F753" s="9">
        <v>1140265895.72</v>
      </c>
    </row>
    <row r="754" spans="1:6" x14ac:dyDescent="0.25">
      <c r="A754" s="7" t="str">
        <f>"5853"</f>
        <v>5853</v>
      </c>
      <c r="B754" s="8" t="str">
        <f>"Расходы от безвозмездной передачи основных средств, нематериальных активов и запасов"</f>
        <v>Расходы от безвозмездной передачи основных средств, нематериальных активов и запасов</v>
      </c>
      <c r="C754" s="7">
        <v>0</v>
      </c>
      <c r="D754" s="7">
        <v>0</v>
      </c>
      <c r="E754" s="7">
        <v>0</v>
      </c>
      <c r="F754" s="9">
        <v>183000</v>
      </c>
    </row>
    <row r="755" spans="1:6" x14ac:dyDescent="0.25">
      <c r="A755" s="7" t="str">
        <f>"5854"</f>
        <v>5854</v>
      </c>
      <c r="B755" s="8" t="str">
        <f>"Расходы от реализации запасов"</f>
        <v>Расходы от реализации запасов</v>
      </c>
      <c r="C755" s="7">
        <v>0</v>
      </c>
      <c r="D755" s="7">
        <v>0</v>
      </c>
      <c r="E755" s="7">
        <v>0</v>
      </c>
      <c r="F755" s="9">
        <v>1130754.29</v>
      </c>
    </row>
    <row r="756" spans="1:6" x14ac:dyDescent="0.25">
      <c r="A756" s="7" t="str">
        <f>"5892"</f>
        <v>5892</v>
      </c>
      <c r="B756" s="8" t="str">
        <f>"Расходы по операциям форвард"</f>
        <v>Расходы по операциям форвард</v>
      </c>
      <c r="C756" s="7">
        <v>0</v>
      </c>
      <c r="D756" s="7">
        <v>0</v>
      </c>
      <c r="E756" s="7">
        <v>0</v>
      </c>
      <c r="F756" s="9">
        <v>6344733211.7700005</v>
      </c>
    </row>
    <row r="757" spans="1:6" x14ac:dyDescent="0.25">
      <c r="A757" s="7" t="str">
        <f>"5895"</f>
        <v>5895</v>
      </c>
      <c r="B757" s="8" t="str">
        <f>"Расходы по операциям своп"</f>
        <v>Расходы по операциям своп</v>
      </c>
      <c r="C757" s="7">
        <v>0</v>
      </c>
      <c r="D757" s="7">
        <v>0</v>
      </c>
      <c r="E757" s="7">
        <v>0</v>
      </c>
      <c r="F757" s="9">
        <v>34170272301.43</v>
      </c>
    </row>
    <row r="758" spans="1:6" x14ac:dyDescent="0.25">
      <c r="A758" s="7" t="str">
        <f>"5900"</f>
        <v>5900</v>
      </c>
      <c r="B758" s="8" t="str">
        <f>"Неустойка (штраф, пеня)"</f>
        <v>Неустойка (штраф, пеня)</v>
      </c>
      <c r="C758" s="7">
        <v>0</v>
      </c>
      <c r="D758" s="7">
        <v>0</v>
      </c>
      <c r="E758" s="7">
        <v>0</v>
      </c>
      <c r="F758" s="9">
        <v>2179717.35</v>
      </c>
    </row>
    <row r="759" spans="1:6" x14ac:dyDescent="0.25">
      <c r="A759" s="7" t="str">
        <f>"5921"</f>
        <v>5921</v>
      </c>
      <c r="B759" s="8" t="str">
        <f>"Прочие расходы от банковской деятельности"</f>
        <v>Прочие расходы от банковской деятельности</v>
      </c>
      <c r="C759" s="7">
        <v>0</v>
      </c>
      <c r="D759" s="7">
        <v>0</v>
      </c>
      <c r="E759" s="7">
        <v>0</v>
      </c>
      <c r="F759" s="9">
        <v>3770632079.8499999</v>
      </c>
    </row>
    <row r="760" spans="1:6" x14ac:dyDescent="0.25">
      <c r="A760" s="7" t="str">
        <f>"5922"</f>
        <v>5922</v>
      </c>
      <c r="B760" s="8" t="str">
        <f>"Прочие расходы от неосновной деятельности"</f>
        <v>Прочие расходы от неосновной деятельности</v>
      </c>
      <c r="C760" s="7">
        <v>0</v>
      </c>
      <c r="D760" s="7">
        <v>0</v>
      </c>
      <c r="E760" s="7">
        <v>0</v>
      </c>
      <c r="F760" s="9">
        <v>690003466.85000002</v>
      </c>
    </row>
    <row r="761" spans="1:6" x14ac:dyDescent="0.25">
      <c r="A761" s="7" t="str">
        <f>"5923"</f>
        <v>5923</v>
      </c>
      <c r="B761" s="8" t="str">
        <f>"Расходы по аренде"</f>
        <v>Расходы по аренде</v>
      </c>
      <c r="C761" s="7">
        <v>0</v>
      </c>
      <c r="D761" s="7">
        <v>0</v>
      </c>
      <c r="E761" s="7">
        <v>0</v>
      </c>
      <c r="F761" s="9">
        <v>510097582.32999998</v>
      </c>
    </row>
    <row r="762" spans="1:6" x14ac:dyDescent="0.25">
      <c r="A762" s="7" t="str">
        <f>"5999"</f>
        <v>5999</v>
      </c>
      <c r="B762" s="8" t="str">
        <f>"Корпоративный подоходный налог"</f>
        <v>Корпоративный подоходный налог</v>
      </c>
      <c r="C762" s="7">
        <v>0</v>
      </c>
      <c r="D762" s="7">
        <v>0</v>
      </c>
      <c r="E762" s="7">
        <v>0</v>
      </c>
      <c r="F762" s="9">
        <v>9872236868</v>
      </c>
    </row>
    <row r="763" spans="1:6" x14ac:dyDescent="0.25">
      <c r="A763" s="7" t="str">
        <f>"6020"</f>
        <v>6020</v>
      </c>
      <c r="B763" s="8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C763" s="7">
        <v>0</v>
      </c>
      <c r="D763" s="7">
        <v>0</v>
      </c>
      <c r="E763" s="7">
        <v>0</v>
      </c>
      <c r="F763" s="9">
        <v>375649336.99000001</v>
      </c>
    </row>
    <row r="764" spans="1:6" x14ac:dyDescent="0.25">
      <c r="A764" s="7" t="str">
        <f>"6055"</f>
        <v>6055</v>
      </c>
      <c r="B764" s="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764" s="7">
        <v>0</v>
      </c>
      <c r="D764" s="7">
        <v>0</v>
      </c>
      <c r="E764" s="7">
        <v>0</v>
      </c>
      <c r="F764" s="9">
        <v>51682270085.449997</v>
      </c>
    </row>
    <row r="765" spans="1:6" x14ac:dyDescent="0.25">
      <c r="A765" s="7" t="str">
        <f>"6075"</f>
        <v>6075</v>
      </c>
      <c r="B765" s="8" t="str">
        <f>"Возможные требования по принятым гарантиям"</f>
        <v>Возможные требования по принятым гарантиям</v>
      </c>
      <c r="C765" s="7">
        <v>0</v>
      </c>
      <c r="D765" s="7">
        <v>0</v>
      </c>
      <c r="E765" s="7">
        <v>0</v>
      </c>
      <c r="F765" s="9">
        <v>4192764810603.9302</v>
      </c>
    </row>
    <row r="766" spans="1:6" x14ac:dyDescent="0.25">
      <c r="A766" s="7" t="str">
        <f>"6125"</f>
        <v>6125</v>
      </c>
      <c r="B766" s="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766" s="7">
        <v>0</v>
      </c>
      <c r="D766" s="7">
        <v>0</v>
      </c>
      <c r="E766" s="7">
        <v>0</v>
      </c>
      <c r="F766" s="9">
        <v>284443215</v>
      </c>
    </row>
    <row r="767" spans="1:6" x14ac:dyDescent="0.25">
      <c r="A767" s="7" t="str">
        <f>"6126"</f>
        <v>6126</v>
      </c>
      <c r="B767" s="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767" s="7">
        <v>0</v>
      </c>
      <c r="D767" s="7">
        <v>0</v>
      </c>
      <c r="E767" s="7">
        <v>0</v>
      </c>
      <c r="F767" s="9">
        <v>368003973233.25</v>
      </c>
    </row>
    <row r="768" spans="1:6" x14ac:dyDescent="0.25">
      <c r="A768" s="7" t="str">
        <f>"6130"</f>
        <v>6130</v>
      </c>
      <c r="B768" s="8" t="str">
        <f>"Неподвижные вклады клиентов"</f>
        <v>Неподвижные вклады клиентов</v>
      </c>
      <c r="C768" s="7">
        <v>0</v>
      </c>
      <c r="D768" s="7">
        <v>0</v>
      </c>
      <c r="E768" s="7">
        <v>0</v>
      </c>
      <c r="F768" s="9">
        <v>44461544.259999998</v>
      </c>
    </row>
    <row r="769" spans="1:6" x14ac:dyDescent="0.25">
      <c r="A769" s="7" t="str">
        <f>"6155"</f>
        <v>6155</v>
      </c>
      <c r="B769" s="8" t="str">
        <f>"Условные требования по получению вкладов в будущем"</f>
        <v>Условные требования по получению вкладов в будущем</v>
      </c>
      <c r="C769" s="7">
        <v>0</v>
      </c>
      <c r="D769" s="7">
        <v>0</v>
      </c>
      <c r="E769" s="7">
        <v>0</v>
      </c>
      <c r="F769" s="9">
        <v>9681419025.7099991</v>
      </c>
    </row>
    <row r="770" spans="1:6" x14ac:dyDescent="0.25">
      <c r="A770" s="7" t="str">
        <f>"6405"</f>
        <v>6405</v>
      </c>
      <c r="B770" s="8" t="str">
        <f>"Условные требования по купле-продаже иностранной валюты"</f>
        <v>Условные требования по купле-продаже иностранной валюты</v>
      </c>
      <c r="C770" s="7">
        <v>0</v>
      </c>
      <c r="D770" s="7">
        <v>0</v>
      </c>
      <c r="E770" s="7">
        <v>0</v>
      </c>
      <c r="F770" s="9">
        <v>357954738634.27002</v>
      </c>
    </row>
    <row r="771" spans="1:6" x14ac:dyDescent="0.25">
      <c r="A771" s="7" t="str">
        <f>"6520"</f>
        <v>6520</v>
      </c>
      <c r="B771" s="8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C771" s="7">
        <v>0</v>
      </c>
      <c r="D771" s="7">
        <v>0</v>
      </c>
      <c r="E771" s="7">
        <v>0</v>
      </c>
      <c r="F771" s="9">
        <v>375649336.99000001</v>
      </c>
    </row>
    <row r="772" spans="1:6" x14ac:dyDescent="0.25">
      <c r="A772" s="7" t="str">
        <f>"6555"</f>
        <v>6555</v>
      </c>
      <c r="B772" s="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772" s="7">
        <v>0</v>
      </c>
      <c r="D772" s="7">
        <v>0</v>
      </c>
      <c r="E772" s="7">
        <v>0</v>
      </c>
      <c r="F772" s="9">
        <v>51682270085.449997</v>
      </c>
    </row>
    <row r="773" spans="1:6" x14ac:dyDescent="0.25">
      <c r="A773" s="7" t="str">
        <f>"6575"</f>
        <v>6575</v>
      </c>
      <c r="B773" s="8" t="str">
        <f>"Возможное уменьшение требований по принятым гарантиям"</f>
        <v>Возможное уменьшение требований по принятым гарантиям</v>
      </c>
      <c r="C773" s="7">
        <v>0</v>
      </c>
      <c r="D773" s="7">
        <v>0</v>
      </c>
      <c r="E773" s="7">
        <v>0</v>
      </c>
      <c r="F773" s="9">
        <v>4192764810603.9302</v>
      </c>
    </row>
    <row r="774" spans="1:6" x14ac:dyDescent="0.25">
      <c r="A774" s="7" t="str">
        <f>"6625"</f>
        <v>6625</v>
      </c>
      <c r="B774" s="8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774" s="7">
        <v>0</v>
      </c>
      <c r="D774" s="7">
        <v>0</v>
      </c>
      <c r="E774" s="7">
        <v>0</v>
      </c>
      <c r="F774" s="9">
        <v>284443215</v>
      </c>
    </row>
    <row r="775" spans="1:6" x14ac:dyDescent="0.25">
      <c r="A775" s="7" t="str">
        <f>"6626"</f>
        <v>6626</v>
      </c>
      <c r="B775" s="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775" s="7">
        <v>0</v>
      </c>
      <c r="D775" s="7">
        <v>0</v>
      </c>
      <c r="E775" s="7">
        <v>0</v>
      </c>
      <c r="F775" s="9">
        <v>368003973233.25</v>
      </c>
    </row>
    <row r="776" spans="1:6" x14ac:dyDescent="0.25">
      <c r="A776" s="7" t="str">
        <f>"6630"</f>
        <v>6630</v>
      </c>
      <c r="B776" s="8" t="str">
        <f>"Обязательства по неподвижным вкладам клиентов"</f>
        <v>Обязательства по неподвижным вкладам клиентов</v>
      </c>
      <c r="C776" s="7">
        <v>0</v>
      </c>
      <c r="D776" s="7">
        <v>0</v>
      </c>
      <c r="E776" s="7">
        <v>0</v>
      </c>
      <c r="F776" s="9">
        <v>44461544.259999998</v>
      </c>
    </row>
    <row r="777" spans="1:6" x14ac:dyDescent="0.25">
      <c r="A777" s="7" t="str">
        <f>"6655"</f>
        <v>6655</v>
      </c>
      <c r="B777" s="8" t="str">
        <f>"Будущие обязательства по получаемым вкладам"</f>
        <v>Будущие обязательства по получаемым вкладам</v>
      </c>
      <c r="C777" s="7">
        <v>0</v>
      </c>
      <c r="D777" s="7">
        <v>0</v>
      </c>
      <c r="E777" s="7">
        <v>0</v>
      </c>
      <c r="F777" s="9">
        <v>9681419025.7099991</v>
      </c>
    </row>
    <row r="778" spans="1:6" x14ac:dyDescent="0.25">
      <c r="A778" s="7" t="str">
        <f>"6905"</f>
        <v>6905</v>
      </c>
      <c r="B778" s="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778" s="7">
        <v>0</v>
      </c>
      <c r="D778" s="7">
        <v>0</v>
      </c>
      <c r="E778" s="7">
        <v>0</v>
      </c>
      <c r="F778" s="9">
        <v>358181267573.04999</v>
      </c>
    </row>
    <row r="779" spans="1:6" x14ac:dyDescent="0.25">
      <c r="A779" s="7" t="str">
        <f>"6999"</f>
        <v>6999</v>
      </c>
      <c r="B779" s="8" t="str">
        <f>"Позиция по сделкам с иностранной валютой"</f>
        <v>Позиция по сделкам с иностранной валютой</v>
      </c>
      <c r="C779" s="7">
        <v>0</v>
      </c>
      <c r="D779" s="7">
        <v>0</v>
      </c>
      <c r="E779" s="7">
        <v>0</v>
      </c>
      <c r="F779" s="9">
        <v>-226528938.78</v>
      </c>
    </row>
    <row r="780" spans="1:6" x14ac:dyDescent="0.25">
      <c r="A780" s="7" t="str">
        <f>"7150"</f>
        <v>7150</v>
      </c>
      <c r="B780" s="8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C780" s="7">
        <v>0</v>
      </c>
      <c r="D780" s="7">
        <v>0</v>
      </c>
      <c r="E780" s="7">
        <v>0</v>
      </c>
      <c r="F780" s="9">
        <v>1564581.47</v>
      </c>
    </row>
    <row r="781" spans="1:6" x14ac:dyDescent="0.25">
      <c r="A781" s="7" t="str">
        <f>"7160"</f>
        <v>7160</v>
      </c>
      <c r="B781" s="8" t="str">
        <f>"Имущество, переданное в обеспечение (залог) обязательств"</f>
        <v>Имущество, переданное в обеспечение (залог) обязательств</v>
      </c>
      <c r="C781" s="7">
        <v>0</v>
      </c>
      <c r="D781" s="7">
        <v>0</v>
      </c>
      <c r="E781" s="7">
        <v>0</v>
      </c>
      <c r="F781" s="9">
        <v>13766442521</v>
      </c>
    </row>
    <row r="782" spans="1:6" x14ac:dyDescent="0.25">
      <c r="A782" s="7" t="str">
        <f>"7220"</f>
        <v>7220</v>
      </c>
      <c r="B782" s="8" t="str">
        <f>"Арендованные активы"</f>
        <v>Арендованные активы</v>
      </c>
      <c r="C782" s="7">
        <v>0</v>
      </c>
      <c r="D782" s="7">
        <v>0</v>
      </c>
      <c r="E782" s="7">
        <v>0</v>
      </c>
      <c r="F782" s="9">
        <v>382471485.10000002</v>
      </c>
    </row>
    <row r="783" spans="1:6" x14ac:dyDescent="0.25">
      <c r="A783" s="7" t="str">
        <f>"7240"</f>
        <v>7240</v>
      </c>
      <c r="B783" s="8" t="str">
        <f>"Документы и ценности, принятые на инкассо"</f>
        <v>Документы и ценности, принятые на инкассо</v>
      </c>
      <c r="C783" s="7">
        <v>0</v>
      </c>
      <c r="D783" s="7">
        <v>0</v>
      </c>
      <c r="E783" s="7">
        <v>0</v>
      </c>
      <c r="F783" s="9">
        <v>44688267</v>
      </c>
    </row>
    <row r="784" spans="1:6" x14ac:dyDescent="0.25">
      <c r="A784" s="7" t="str">
        <f>"7250"</f>
        <v>7250</v>
      </c>
      <c r="B784" s="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784" s="7">
        <v>0</v>
      </c>
      <c r="D784" s="7">
        <v>0</v>
      </c>
      <c r="E784" s="7">
        <v>0</v>
      </c>
      <c r="F784" s="9">
        <v>1724498212831.46</v>
      </c>
    </row>
    <row r="785" spans="1:6" x14ac:dyDescent="0.25">
      <c r="A785" s="7" t="str">
        <f>"7303"</f>
        <v>7303</v>
      </c>
      <c r="B785" s="8" t="str">
        <f>"Платежные документы, не оплаченные в срок"</f>
        <v>Платежные документы, не оплаченные в срок</v>
      </c>
      <c r="C785" s="7">
        <v>0</v>
      </c>
      <c r="D785" s="7">
        <v>0</v>
      </c>
      <c r="E785" s="7">
        <v>0</v>
      </c>
      <c r="F785" s="9">
        <v>1910623321379.48</v>
      </c>
    </row>
    <row r="786" spans="1:6" x14ac:dyDescent="0.25">
      <c r="A786" s="7" t="str">
        <f>"7339"</f>
        <v>7339</v>
      </c>
      <c r="B786" s="8" t="str">
        <f>"Разные ценности и документы"</f>
        <v>Разные ценности и документы</v>
      </c>
      <c r="C786" s="7">
        <v>0</v>
      </c>
      <c r="D786" s="7">
        <v>0</v>
      </c>
      <c r="E786" s="7">
        <v>0</v>
      </c>
      <c r="F786" s="9">
        <v>127521</v>
      </c>
    </row>
    <row r="787" spans="1:6" x14ac:dyDescent="0.25">
      <c r="A787" s="7" t="str">
        <f>"7342"</f>
        <v>7342</v>
      </c>
      <c r="B787" s="8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787" s="7">
        <v>0</v>
      </c>
      <c r="D787" s="7">
        <v>0</v>
      </c>
      <c r="E787" s="7">
        <v>0</v>
      </c>
      <c r="F787" s="9">
        <v>1624408</v>
      </c>
    </row>
    <row r="788" spans="1:6" x14ac:dyDescent="0.25">
      <c r="A788" s="7" t="str">
        <f>"7363"</f>
        <v>7363</v>
      </c>
      <c r="B788" s="8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C788" s="7">
        <v>0</v>
      </c>
      <c r="D788" s="7">
        <v>0</v>
      </c>
      <c r="E788" s="7">
        <v>0</v>
      </c>
      <c r="F788" s="9">
        <v>483996540435.34998</v>
      </c>
    </row>
    <row r="789" spans="1:6" x14ac:dyDescent="0.25">
      <c r="A789" s="7" t="str">
        <f>"7535"</f>
        <v>7535</v>
      </c>
      <c r="B789" s="8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C789" s="7">
        <v>0</v>
      </c>
      <c r="D789" s="7">
        <v>0</v>
      </c>
      <c r="E789" s="7">
        <v>0</v>
      </c>
      <c r="F789" s="9">
        <v>3827180312.25</v>
      </c>
    </row>
    <row r="790" spans="1:6" x14ac:dyDescent="0.25">
      <c r="A790" s="7" t="str">
        <f>"7536"</f>
        <v>7536</v>
      </c>
      <c r="B790" s="8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C790" s="7">
        <v>0</v>
      </c>
      <c r="D790" s="7">
        <v>0</v>
      </c>
      <c r="E790" s="7">
        <v>0</v>
      </c>
      <c r="F790" s="9">
        <v>1191258.1499999999</v>
      </c>
    </row>
    <row r="791" spans="1:6" x14ac:dyDescent="0.25">
      <c r="A791" s="7" t="str">
        <f>"7542"</f>
        <v>7542</v>
      </c>
      <c r="B791" s="8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C791" s="7">
        <v>0</v>
      </c>
      <c r="D791" s="7">
        <v>0</v>
      </c>
      <c r="E791" s="7">
        <v>0</v>
      </c>
      <c r="F791" s="9">
        <v>16741480.560000001</v>
      </c>
    </row>
    <row r="792" spans="1:6" x14ac:dyDescent="0.25">
      <c r="A792" s="7" t="str">
        <f>"7543"</f>
        <v>7543</v>
      </c>
      <c r="B792" s="8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C792" s="7">
        <v>0</v>
      </c>
      <c r="D792" s="7">
        <v>0</v>
      </c>
      <c r="E792" s="7">
        <v>0</v>
      </c>
      <c r="F792" s="9">
        <v>6021.96</v>
      </c>
    </row>
    <row r="793" spans="1:6" x14ac:dyDescent="0.25">
      <c r="A793" s="7" t="str">
        <f>"7544"</f>
        <v>7544</v>
      </c>
      <c r="B793" s="8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C793" s="7">
        <v>0</v>
      </c>
      <c r="D793" s="7">
        <v>0</v>
      </c>
      <c r="E793" s="7">
        <v>0</v>
      </c>
      <c r="F793" s="9">
        <v>1708022.87</v>
      </c>
    </row>
    <row r="794" spans="1:6" x14ac:dyDescent="0.25">
      <c r="A794" s="7" t="str">
        <f>"7701"</f>
        <v>7701</v>
      </c>
      <c r="B794" s="8" t="str">
        <f>"Ценные бумаги"</f>
        <v>Ценные бумаги</v>
      </c>
      <c r="C794" s="7">
        <v>0</v>
      </c>
      <c r="D794" s="7">
        <v>0</v>
      </c>
      <c r="E794" s="7">
        <v>0</v>
      </c>
      <c r="F794" s="9">
        <v>80173869834.089996</v>
      </c>
    </row>
    <row r="795" spans="1:6" x14ac:dyDescent="0.25">
      <c r="A795" s="7" t="str">
        <f>"7702"</f>
        <v>7702</v>
      </c>
      <c r="B795" s="8" t="str">
        <f>"Вклады в других банках"</f>
        <v>Вклады в других банках</v>
      </c>
      <c r="C795" s="7">
        <v>0</v>
      </c>
      <c r="D795" s="7">
        <v>0</v>
      </c>
      <c r="E795" s="7">
        <v>0</v>
      </c>
      <c r="F795" s="9">
        <v>350656990</v>
      </c>
    </row>
    <row r="796" spans="1:6" x14ac:dyDescent="0.25">
      <c r="A796" s="7" t="str">
        <f>"7704"</f>
        <v>7704</v>
      </c>
      <c r="B796" s="8" t="str">
        <f>"Операции «обратное РЕПО»"</f>
        <v>Операции «обратное РЕПО»</v>
      </c>
      <c r="C796" s="7">
        <v>0</v>
      </c>
      <c r="D796" s="7">
        <v>0</v>
      </c>
      <c r="E796" s="7">
        <v>0</v>
      </c>
      <c r="F796" s="9">
        <v>10117438888.030001</v>
      </c>
    </row>
    <row r="797" spans="1:6" x14ac:dyDescent="0.25">
      <c r="A797" s="7" t="str">
        <f>"7707"</f>
        <v>7707</v>
      </c>
      <c r="B797" s="8" t="str">
        <f>"Инвестиции в капитал"</f>
        <v>Инвестиции в капитал</v>
      </c>
      <c r="C797" s="7">
        <v>0</v>
      </c>
      <c r="D797" s="7">
        <v>0</v>
      </c>
      <c r="E797" s="7">
        <v>0</v>
      </c>
      <c r="F797" s="9">
        <v>4408288135.4499998</v>
      </c>
    </row>
    <row r="798" spans="1:6" x14ac:dyDescent="0.25">
      <c r="A798" s="7" t="str">
        <f>"7708"</f>
        <v>7708</v>
      </c>
      <c r="B798" s="8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C798" s="7">
        <v>0</v>
      </c>
      <c r="D798" s="7">
        <v>0</v>
      </c>
      <c r="E798" s="7">
        <v>0</v>
      </c>
      <c r="F798" s="9">
        <v>12015488725</v>
      </c>
    </row>
    <row r="799" spans="1:6" x14ac:dyDescent="0.25">
      <c r="A799" s="7" t="str">
        <f>"7711"</f>
        <v>7711</v>
      </c>
      <c r="B799" s="8" t="str">
        <f>"Вознаграждение"</f>
        <v>Вознаграждение</v>
      </c>
      <c r="C799" s="7">
        <v>0</v>
      </c>
      <c r="D799" s="7">
        <v>0</v>
      </c>
      <c r="E799" s="7">
        <v>0</v>
      </c>
      <c r="F799" s="9">
        <v>994938813.28999996</v>
      </c>
    </row>
    <row r="800" spans="1:6" x14ac:dyDescent="0.25">
      <c r="A800" s="7" t="str">
        <f>"7713"</f>
        <v>7713</v>
      </c>
      <c r="B800" s="8" t="str">
        <f>"Прочие требования"</f>
        <v>Прочие требования</v>
      </c>
      <c r="C800" s="7">
        <v>0</v>
      </c>
      <c r="D800" s="7">
        <v>0</v>
      </c>
      <c r="E800" s="7">
        <v>0</v>
      </c>
      <c r="F800" s="9">
        <v>7882152678.1000004</v>
      </c>
    </row>
    <row r="801" spans="1:7" x14ac:dyDescent="0.25">
      <c r="A801" s="2"/>
      <c r="B801" s="2"/>
      <c r="C801" s="4"/>
      <c r="D801" s="4"/>
      <c r="E801" s="4"/>
      <c r="F801" s="3"/>
    </row>
    <row r="802" spans="1:7" x14ac:dyDescent="0.25">
      <c r="A802" s="2"/>
      <c r="B802" s="2"/>
      <c r="C802" s="2"/>
      <c r="D802" s="2"/>
      <c r="E802" s="2"/>
      <c r="F802" s="3"/>
    </row>
    <row r="804" spans="1:7" x14ac:dyDescent="0.25">
      <c r="A804" t="s">
        <v>10</v>
      </c>
      <c r="F804" s="1" t="s">
        <v>11</v>
      </c>
      <c r="G804" t="s">
        <v>12</v>
      </c>
    </row>
    <row r="807" spans="1:7" x14ac:dyDescent="0.25">
      <c r="A807" t="s">
        <v>13</v>
      </c>
      <c r="F807" s="1" t="s">
        <v>14</v>
      </c>
      <c r="G807" t="s">
        <v>15</v>
      </c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11.03.2025 18:28:22</timestamp>
  <userName>System</userName>
  <computerName>GB-W-5026.EUB.KZ</computerName>
  <guid>{d031584b-2f6d-44ff-a6af-e7a424933a4a}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E4E80BC9-5599-4464-875E-EEFD8227C3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Тыныбаева Гульмира Турсыновна</dc:creator>
  <cp:keywords>ClassificationData:&lt;GTB_Classification:ВНУТРЕННЯЯ ИНФОРМАЦИЯ&gt;</cp:keywords>
  <cp:lastModifiedBy>Алимғазы Рания Маратқызы</cp:lastModifiedBy>
  <dcterms:created xsi:type="dcterms:W3CDTF">2024-01-08T09:19:06Z</dcterms:created>
  <dcterms:modified xsi:type="dcterms:W3CDTF">2025-10-13T05:34:46Z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GB-W-5026.EUB.KZ</vt:lpwstr>
  </property>
  <property fmtid="{D5CDD505-2E9C-101B-9397-08002B2CF9AE}" pid="5" name="ClassificationDate">
    <vt:lpwstr> 11.03.2025 18:28:22</vt:lpwstr>
  </property>
  <property fmtid="{D5CDD505-2E9C-101B-9397-08002B2CF9AE}" pid="6" name="ClassificationGUID">
    <vt:lpwstr>{d031584b-2f6d-44ff-a6af-e7a424933a4a}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2025-10-13T05:34:46Z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363aa535-f49b-4abf-bd36-19a91371f432</vt:lpwstr>
  </property>
  <property fmtid="{D5CDD505-2E9C-101B-9397-08002B2CF9AE}" pid="13" name="MSIP_Label_5667e166-4b10-4d44-9951-ddc92040c9bd_ContentBits">
    <vt:lpwstr>1</vt:lpwstr>
  </property>
</Properties>
</file>