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kmuhambet_00561\Desktop\KASE\01072024\"/>
    </mc:Choice>
  </mc:AlternateContent>
  <xr:revisionPtr revIDLastSave="0" documentId="8_{7D14BC4D-8A50-4113-9526-C4BB62FDD2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VREP_700_ND_RESPONDENTundefined!$A$6:$I$544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D12" i="1"/>
  <c r="E12" i="1"/>
  <c r="F12" i="1"/>
  <c r="G12" i="1"/>
  <c r="H12" i="1"/>
  <c r="D22" i="1"/>
  <c r="E22" i="1"/>
  <c r="F22" i="1"/>
  <c r="G22" i="1"/>
  <c r="H22" i="1"/>
  <c r="D14" i="1"/>
  <c r="E14" i="1"/>
  <c r="F14" i="1"/>
  <c r="G14" i="1"/>
  <c r="H14" i="1"/>
  <c r="D23" i="1"/>
  <c r="E23" i="1"/>
  <c r="F23" i="1"/>
  <c r="G23" i="1"/>
  <c r="H23" i="1"/>
  <c r="D29" i="1"/>
  <c r="E29" i="1"/>
  <c r="F29" i="1"/>
  <c r="G29" i="1"/>
  <c r="H29" i="1"/>
  <c r="D24" i="1"/>
  <c r="E24" i="1"/>
  <c r="F24" i="1"/>
  <c r="G24" i="1"/>
  <c r="H24" i="1"/>
  <c r="D32" i="1"/>
  <c r="E32" i="1"/>
  <c r="F32" i="1"/>
  <c r="G32" i="1"/>
  <c r="H32" i="1"/>
  <c r="D28" i="1"/>
  <c r="E28" i="1"/>
  <c r="F28" i="1"/>
  <c r="G28" i="1"/>
  <c r="H28" i="1"/>
  <c r="D30" i="1"/>
  <c r="E30" i="1"/>
  <c r="F30" i="1"/>
  <c r="G30" i="1"/>
  <c r="H30" i="1"/>
  <c r="D37" i="1"/>
  <c r="E37" i="1"/>
  <c r="F37" i="1"/>
  <c r="G37" i="1"/>
  <c r="H37" i="1"/>
  <c r="D10" i="1"/>
  <c r="E10" i="1"/>
  <c r="F10" i="1"/>
  <c r="G10" i="1"/>
  <c r="H10" i="1"/>
  <c r="D48" i="1"/>
  <c r="E48" i="1"/>
  <c r="F48" i="1"/>
  <c r="G48" i="1"/>
  <c r="H48" i="1"/>
  <c r="D13" i="1"/>
  <c r="E13" i="1"/>
  <c r="F13" i="1"/>
  <c r="G13" i="1"/>
  <c r="H13" i="1"/>
  <c r="D44" i="1"/>
  <c r="E44" i="1"/>
  <c r="F44" i="1"/>
  <c r="G44" i="1"/>
  <c r="H44" i="1"/>
  <c r="D55" i="1"/>
  <c r="E55" i="1"/>
  <c r="F55" i="1"/>
  <c r="G55" i="1"/>
  <c r="H55" i="1"/>
  <c r="D56" i="1"/>
  <c r="E56" i="1"/>
  <c r="F56" i="1"/>
  <c r="G56" i="1"/>
  <c r="H56" i="1"/>
  <c r="D45" i="1"/>
  <c r="E45" i="1"/>
  <c r="F45" i="1"/>
  <c r="G45" i="1"/>
  <c r="H45" i="1"/>
  <c r="D58" i="1"/>
  <c r="E58" i="1"/>
  <c r="F58" i="1"/>
  <c r="G58" i="1"/>
  <c r="H58" i="1"/>
  <c r="D18" i="1"/>
  <c r="E18" i="1"/>
  <c r="F18" i="1"/>
  <c r="G18" i="1"/>
  <c r="H18" i="1"/>
  <c r="D25" i="1"/>
  <c r="E25" i="1"/>
  <c r="F25" i="1"/>
  <c r="G25" i="1"/>
  <c r="H25" i="1"/>
  <c r="D15" i="1"/>
  <c r="E15" i="1"/>
  <c r="F15" i="1"/>
  <c r="G15" i="1"/>
  <c r="H15" i="1"/>
  <c r="D46" i="1"/>
  <c r="E46" i="1"/>
  <c r="F46" i="1"/>
  <c r="G46" i="1"/>
  <c r="H46" i="1"/>
  <c r="D35" i="1"/>
  <c r="E35" i="1"/>
  <c r="F35" i="1"/>
  <c r="G35" i="1"/>
  <c r="H35" i="1"/>
  <c r="D33" i="1"/>
  <c r="E33" i="1"/>
  <c r="F33" i="1"/>
  <c r="G33" i="1"/>
  <c r="H33" i="1"/>
  <c r="D49" i="1"/>
  <c r="E49" i="1"/>
  <c r="F49" i="1"/>
  <c r="G49" i="1"/>
  <c r="H49" i="1"/>
  <c r="D11" i="1"/>
  <c r="E11" i="1"/>
  <c r="F11" i="1"/>
  <c r="G11" i="1"/>
  <c r="H11" i="1"/>
  <c r="D38" i="1"/>
  <c r="E38" i="1"/>
  <c r="F38" i="1"/>
  <c r="G38" i="1"/>
  <c r="H38" i="1"/>
  <c r="D16" i="1"/>
  <c r="E16" i="1"/>
  <c r="F16" i="1"/>
  <c r="G16" i="1"/>
  <c r="H16" i="1"/>
  <c r="D52" i="1"/>
  <c r="E52" i="1"/>
  <c r="F52" i="1"/>
  <c r="G52" i="1"/>
  <c r="H52" i="1"/>
  <c r="D19" i="1"/>
  <c r="E19" i="1"/>
  <c r="F19" i="1"/>
  <c r="G19" i="1"/>
  <c r="H19" i="1"/>
  <c r="D57" i="1"/>
  <c r="E57" i="1"/>
  <c r="F57" i="1"/>
  <c r="G57" i="1"/>
  <c r="H57" i="1"/>
  <c r="D34" i="1"/>
  <c r="E34" i="1"/>
  <c r="F34" i="1"/>
  <c r="G34" i="1"/>
  <c r="H34" i="1"/>
  <c r="D50" i="1"/>
  <c r="E50" i="1"/>
  <c r="F50" i="1"/>
  <c r="G50" i="1"/>
  <c r="H50" i="1"/>
  <c r="D20" i="1"/>
  <c r="E20" i="1"/>
  <c r="F20" i="1"/>
  <c r="G20" i="1"/>
  <c r="H20" i="1"/>
  <c r="D40" i="1"/>
  <c r="E40" i="1"/>
  <c r="F40" i="1"/>
  <c r="G40" i="1"/>
  <c r="H40" i="1"/>
  <c r="D26" i="1"/>
  <c r="E26" i="1"/>
  <c r="F26" i="1"/>
  <c r="G26" i="1"/>
  <c r="H26" i="1"/>
  <c r="D31" i="1"/>
  <c r="E31" i="1"/>
  <c r="F31" i="1"/>
  <c r="G31" i="1"/>
  <c r="H31" i="1"/>
  <c r="D51" i="1"/>
  <c r="E51" i="1"/>
  <c r="F51" i="1"/>
  <c r="G51" i="1"/>
  <c r="H51" i="1"/>
  <c r="D36" i="1"/>
  <c r="E36" i="1"/>
  <c r="F36" i="1"/>
  <c r="G36" i="1"/>
  <c r="H36" i="1"/>
  <c r="D47" i="1"/>
  <c r="E47" i="1"/>
  <c r="F47" i="1"/>
  <c r="G47" i="1"/>
  <c r="H47" i="1"/>
  <c r="D7" i="1"/>
  <c r="E7" i="1"/>
  <c r="F7" i="1"/>
  <c r="G7" i="1"/>
  <c r="H7" i="1"/>
  <c r="D59" i="1"/>
  <c r="E59" i="1"/>
  <c r="F59" i="1"/>
  <c r="G59" i="1"/>
  <c r="H59" i="1"/>
  <c r="D8" i="1"/>
  <c r="E8" i="1"/>
  <c r="F8" i="1"/>
  <c r="G8" i="1"/>
  <c r="H8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41" i="1"/>
  <c r="E41" i="1"/>
  <c r="F41" i="1"/>
  <c r="G41" i="1"/>
  <c r="H41" i="1"/>
  <c r="D53" i="1"/>
  <c r="E53" i="1"/>
  <c r="F53" i="1"/>
  <c r="G53" i="1"/>
  <c r="H53" i="1"/>
  <c r="D27" i="1"/>
  <c r="E27" i="1"/>
  <c r="F27" i="1"/>
  <c r="G27" i="1"/>
  <c r="H27" i="1"/>
  <c r="D39" i="1"/>
  <c r="E39" i="1"/>
  <c r="F39" i="1"/>
  <c r="G39" i="1"/>
  <c r="H39" i="1"/>
  <c r="D42" i="1"/>
  <c r="E42" i="1"/>
  <c r="F42" i="1"/>
  <c r="G42" i="1"/>
  <c r="H42" i="1"/>
  <c r="D63" i="1"/>
  <c r="E63" i="1"/>
  <c r="F63" i="1"/>
  <c r="G63" i="1"/>
  <c r="H63" i="1"/>
  <c r="D43" i="1"/>
  <c r="E43" i="1"/>
  <c r="F43" i="1"/>
  <c r="G43" i="1"/>
  <c r="H43" i="1"/>
  <c r="D21" i="1"/>
  <c r="E21" i="1"/>
  <c r="F21" i="1"/>
  <c r="G21" i="1"/>
  <c r="H21" i="1"/>
  <c r="D64" i="1"/>
  <c r="E64" i="1"/>
  <c r="F64" i="1"/>
  <c r="G64" i="1"/>
  <c r="H64" i="1"/>
  <c r="D65" i="1"/>
  <c r="E65" i="1"/>
  <c r="F65" i="1"/>
  <c r="G65" i="1"/>
  <c r="H65" i="1"/>
  <c r="D70" i="1"/>
  <c r="E70" i="1"/>
  <c r="F70" i="1"/>
  <c r="G70" i="1"/>
  <c r="H70" i="1"/>
  <c r="D66" i="1"/>
  <c r="E66" i="1"/>
  <c r="F66" i="1"/>
  <c r="G66" i="1"/>
  <c r="H66" i="1"/>
  <c r="D9" i="1"/>
  <c r="E9" i="1"/>
  <c r="F9" i="1"/>
  <c r="G9" i="1"/>
  <c r="H9" i="1"/>
  <c r="D67" i="1"/>
  <c r="E67" i="1"/>
  <c r="F67" i="1"/>
  <c r="G67" i="1"/>
  <c r="H67" i="1"/>
  <c r="D68" i="1"/>
  <c r="E68" i="1"/>
  <c r="F68" i="1"/>
  <c r="G68" i="1"/>
  <c r="H68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69" i="1"/>
  <c r="E69" i="1"/>
  <c r="F69" i="1"/>
  <c r="G69" i="1"/>
  <c r="H69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81" i="1"/>
  <c r="E81" i="1"/>
  <c r="F81" i="1"/>
  <c r="G81" i="1"/>
  <c r="H81" i="1"/>
  <c r="D82" i="1"/>
  <c r="E82" i="1"/>
  <c r="F82" i="1"/>
  <c r="G82" i="1"/>
  <c r="H82" i="1"/>
  <c r="D79" i="1"/>
  <c r="E79" i="1"/>
  <c r="F79" i="1"/>
  <c r="G79" i="1"/>
  <c r="H79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0" i="1"/>
  <c r="E80" i="1"/>
  <c r="F80" i="1"/>
  <c r="G80" i="1"/>
  <c r="H80" i="1"/>
  <c r="D54" i="1"/>
  <c r="E54" i="1"/>
  <c r="F54" i="1"/>
  <c r="G54" i="1"/>
  <c r="H54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6" i="1"/>
  <c r="E96" i="1"/>
  <c r="F96" i="1"/>
  <c r="G96" i="1"/>
  <c r="H96" i="1"/>
  <c r="D97" i="1"/>
  <c r="E97" i="1"/>
  <c r="F97" i="1"/>
  <c r="G97" i="1"/>
  <c r="H97" i="1"/>
  <c r="D92" i="1"/>
  <c r="E92" i="1"/>
  <c r="F92" i="1"/>
  <c r="G92" i="1"/>
  <c r="H92" i="1"/>
  <c r="D93" i="1"/>
  <c r="E93" i="1"/>
  <c r="F93" i="1"/>
  <c r="G93" i="1"/>
  <c r="H93" i="1"/>
  <c r="D98" i="1"/>
  <c r="E98" i="1"/>
  <c r="F98" i="1"/>
  <c r="G98" i="1"/>
  <c r="H98" i="1"/>
  <c r="D86" i="1"/>
  <c r="E86" i="1"/>
  <c r="F86" i="1"/>
  <c r="G86" i="1"/>
  <c r="H86" i="1"/>
  <c r="D99" i="1"/>
  <c r="E99" i="1"/>
  <c r="F99" i="1"/>
  <c r="G99" i="1"/>
  <c r="H99" i="1"/>
  <c r="D100" i="1"/>
  <c r="E100" i="1"/>
  <c r="F100" i="1"/>
  <c r="G100" i="1"/>
  <c r="H100" i="1"/>
  <c r="D110" i="1"/>
  <c r="E110" i="1"/>
  <c r="F110" i="1"/>
  <c r="G110" i="1"/>
  <c r="H110" i="1"/>
  <c r="D94" i="1"/>
  <c r="E94" i="1"/>
  <c r="F94" i="1"/>
  <c r="G94" i="1"/>
  <c r="H94" i="1"/>
  <c r="D101" i="1"/>
  <c r="E101" i="1"/>
  <c r="F101" i="1"/>
  <c r="G101" i="1"/>
  <c r="H101" i="1"/>
  <c r="D111" i="1"/>
  <c r="E111" i="1"/>
  <c r="F111" i="1"/>
  <c r="G111" i="1"/>
  <c r="H111" i="1"/>
  <c r="D113" i="1"/>
  <c r="E113" i="1"/>
  <c r="F113" i="1"/>
  <c r="G113" i="1"/>
  <c r="H113" i="1"/>
  <c r="D102" i="1"/>
  <c r="E102" i="1"/>
  <c r="F102" i="1"/>
  <c r="G102" i="1"/>
  <c r="H102" i="1"/>
  <c r="D103" i="1"/>
  <c r="E103" i="1"/>
  <c r="F103" i="1"/>
  <c r="G103" i="1"/>
  <c r="H103" i="1"/>
  <c r="D114" i="1"/>
  <c r="E114" i="1"/>
  <c r="F114" i="1"/>
  <c r="G114" i="1"/>
  <c r="H114" i="1"/>
  <c r="D108" i="1"/>
  <c r="E108" i="1"/>
  <c r="F108" i="1"/>
  <c r="G108" i="1"/>
  <c r="H108" i="1"/>
  <c r="D107" i="1"/>
  <c r="E107" i="1"/>
  <c r="F107" i="1"/>
  <c r="G107" i="1"/>
  <c r="H107" i="1"/>
  <c r="D104" i="1"/>
  <c r="E104" i="1"/>
  <c r="F104" i="1"/>
  <c r="G104" i="1"/>
  <c r="H104" i="1"/>
  <c r="D118" i="1"/>
  <c r="E118" i="1"/>
  <c r="F118" i="1"/>
  <c r="G118" i="1"/>
  <c r="H118" i="1"/>
  <c r="D117" i="1"/>
  <c r="E117" i="1"/>
  <c r="F117" i="1"/>
  <c r="G117" i="1"/>
  <c r="H117" i="1"/>
  <c r="D95" i="1"/>
  <c r="E95" i="1"/>
  <c r="F95" i="1"/>
  <c r="G95" i="1"/>
  <c r="H95" i="1"/>
  <c r="D115" i="1"/>
  <c r="E115" i="1"/>
  <c r="F115" i="1"/>
  <c r="G115" i="1"/>
  <c r="H115" i="1"/>
  <c r="D109" i="1"/>
  <c r="E109" i="1"/>
  <c r="F109" i="1"/>
  <c r="G109" i="1"/>
  <c r="H109" i="1"/>
  <c r="D121" i="1"/>
  <c r="E121" i="1"/>
  <c r="F121" i="1"/>
  <c r="G121" i="1"/>
  <c r="H121" i="1"/>
  <c r="D120" i="1"/>
  <c r="E120" i="1"/>
  <c r="F120" i="1"/>
  <c r="G120" i="1"/>
  <c r="H120" i="1"/>
  <c r="D122" i="1"/>
  <c r="E122" i="1"/>
  <c r="F122" i="1"/>
  <c r="G122" i="1"/>
  <c r="H122" i="1"/>
  <c r="D119" i="1"/>
  <c r="E119" i="1"/>
  <c r="F119" i="1"/>
  <c r="G119" i="1"/>
  <c r="H119" i="1"/>
  <c r="D124" i="1"/>
  <c r="E124" i="1"/>
  <c r="F124" i="1"/>
  <c r="G124" i="1"/>
  <c r="H124" i="1"/>
  <c r="D123" i="1"/>
  <c r="E123" i="1"/>
  <c r="F123" i="1"/>
  <c r="G123" i="1"/>
  <c r="H123" i="1"/>
  <c r="D126" i="1"/>
  <c r="E126" i="1"/>
  <c r="F126" i="1"/>
  <c r="G126" i="1"/>
  <c r="H126" i="1"/>
  <c r="D127" i="1"/>
  <c r="E127" i="1"/>
  <c r="F127" i="1"/>
  <c r="G127" i="1"/>
  <c r="H127" i="1"/>
  <c r="D129" i="1"/>
  <c r="E129" i="1"/>
  <c r="F129" i="1"/>
  <c r="G129" i="1"/>
  <c r="H129" i="1"/>
  <c r="D125" i="1"/>
  <c r="E125" i="1"/>
  <c r="F125" i="1"/>
  <c r="G125" i="1"/>
  <c r="H125" i="1"/>
  <c r="D130" i="1"/>
  <c r="E130" i="1"/>
  <c r="F130" i="1"/>
  <c r="G130" i="1"/>
  <c r="H130" i="1"/>
  <c r="D128" i="1"/>
  <c r="E128" i="1"/>
  <c r="F128" i="1"/>
  <c r="G128" i="1"/>
  <c r="H128" i="1"/>
  <c r="D132" i="1"/>
  <c r="E132" i="1"/>
  <c r="F132" i="1"/>
  <c r="G132" i="1"/>
  <c r="H132" i="1"/>
  <c r="D133" i="1"/>
  <c r="E133" i="1"/>
  <c r="F133" i="1"/>
  <c r="G133" i="1"/>
  <c r="H133" i="1"/>
  <c r="D131" i="1"/>
  <c r="E131" i="1"/>
  <c r="F131" i="1"/>
  <c r="G131" i="1"/>
  <c r="H131" i="1"/>
  <c r="D134" i="1"/>
  <c r="E134" i="1"/>
  <c r="F134" i="1"/>
  <c r="G134" i="1"/>
  <c r="H134" i="1"/>
  <c r="D116" i="1"/>
  <c r="E116" i="1"/>
  <c r="F116" i="1"/>
  <c r="G116" i="1"/>
  <c r="H116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05" i="1"/>
  <c r="E105" i="1"/>
  <c r="F105" i="1"/>
  <c r="G105" i="1"/>
  <c r="H105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06" i="1"/>
  <c r="E106" i="1"/>
  <c r="F106" i="1"/>
  <c r="G106" i="1"/>
  <c r="H106" i="1"/>
  <c r="D148" i="1"/>
  <c r="E148" i="1"/>
  <c r="F148" i="1"/>
  <c r="G148" i="1"/>
  <c r="H148" i="1"/>
  <c r="D145" i="1"/>
  <c r="E145" i="1"/>
  <c r="F145" i="1"/>
  <c r="G145" i="1"/>
  <c r="H145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9" i="1"/>
  <c r="E159" i="1"/>
  <c r="F159" i="1"/>
  <c r="G159" i="1"/>
  <c r="H159" i="1"/>
  <c r="D156" i="1"/>
  <c r="E156" i="1"/>
  <c r="F156" i="1"/>
  <c r="G156" i="1"/>
  <c r="H156" i="1"/>
  <c r="D157" i="1"/>
  <c r="E157" i="1"/>
  <c r="F157" i="1"/>
  <c r="G157" i="1"/>
  <c r="H157" i="1"/>
  <c r="D161" i="1"/>
  <c r="E161" i="1"/>
  <c r="F161" i="1"/>
  <c r="G161" i="1"/>
  <c r="H161" i="1"/>
  <c r="D163" i="1"/>
  <c r="E163" i="1"/>
  <c r="F163" i="1"/>
  <c r="G163" i="1"/>
  <c r="H163" i="1"/>
  <c r="D164" i="1"/>
  <c r="E164" i="1"/>
  <c r="F164" i="1"/>
  <c r="G164" i="1"/>
  <c r="H164" i="1"/>
  <c r="D162" i="1"/>
  <c r="E162" i="1"/>
  <c r="F162" i="1"/>
  <c r="G162" i="1"/>
  <c r="H162" i="1"/>
  <c r="D165" i="1"/>
  <c r="E165" i="1"/>
  <c r="F165" i="1"/>
  <c r="G165" i="1"/>
  <c r="H165" i="1"/>
  <c r="D155" i="1"/>
  <c r="E155" i="1"/>
  <c r="F155" i="1"/>
  <c r="G155" i="1"/>
  <c r="H155" i="1"/>
  <c r="D173" i="1"/>
  <c r="E173" i="1"/>
  <c r="F173" i="1"/>
  <c r="G173" i="1"/>
  <c r="H173" i="1"/>
  <c r="D112" i="1"/>
  <c r="E112" i="1"/>
  <c r="F112" i="1"/>
  <c r="G112" i="1"/>
  <c r="H112" i="1"/>
  <c r="D167" i="1"/>
  <c r="E167" i="1"/>
  <c r="F167" i="1"/>
  <c r="G167" i="1"/>
  <c r="H167" i="1"/>
  <c r="D168" i="1"/>
  <c r="E168" i="1"/>
  <c r="F168" i="1"/>
  <c r="G168" i="1"/>
  <c r="H168" i="1"/>
  <c r="D170" i="1"/>
  <c r="E170" i="1"/>
  <c r="F170" i="1"/>
  <c r="G170" i="1"/>
  <c r="H170" i="1"/>
  <c r="D171" i="1"/>
  <c r="E171" i="1"/>
  <c r="F171" i="1"/>
  <c r="G171" i="1"/>
  <c r="H171" i="1"/>
  <c r="D169" i="1"/>
  <c r="E169" i="1"/>
  <c r="F169" i="1"/>
  <c r="G169" i="1"/>
  <c r="H169" i="1"/>
  <c r="D172" i="1"/>
  <c r="E172" i="1"/>
  <c r="F172" i="1"/>
  <c r="G172" i="1"/>
  <c r="H172" i="1"/>
  <c r="D174" i="1"/>
  <c r="E174" i="1"/>
  <c r="F174" i="1"/>
  <c r="G174" i="1"/>
  <c r="H174" i="1"/>
  <c r="D175" i="1"/>
  <c r="E175" i="1"/>
  <c r="F175" i="1"/>
  <c r="G175" i="1"/>
  <c r="H175" i="1"/>
  <c r="D177" i="1"/>
  <c r="E177" i="1"/>
  <c r="F177" i="1"/>
  <c r="G177" i="1"/>
  <c r="H177" i="1"/>
  <c r="D178" i="1"/>
  <c r="E178" i="1"/>
  <c r="F178" i="1"/>
  <c r="G178" i="1"/>
  <c r="H178" i="1"/>
  <c r="D176" i="1"/>
  <c r="E176" i="1"/>
  <c r="F176" i="1"/>
  <c r="G176" i="1"/>
  <c r="H176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47" i="1"/>
  <c r="F147" i="1"/>
  <c r="G147" i="1"/>
  <c r="H147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58" i="1"/>
  <c r="E158" i="1"/>
  <c r="F158" i="1"/>
  <c r="G158" i="1"/>
  <c r="H158" i="1"/>
  <c r="D160" i="1"/>
  <c r="E160" i="1"/>
  <c r="F160" i="1"/>
  <c r="G160" i="1"/>
  <c r="H160" i="1"/>
  <c r="D166" i="1"/>
  <c r="E166" i="1"/>
  <c r="F166" i="1"/>
  <c r="G166" i="1"/>
  <c r="H166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5" i="1"/>
  <c r="E215" i="1"/>
  <c r="F215" i="1"/>
  <c r="G215" i="1"/>
  <c r="H215" i="1"/>
  <c r="D198" i="1"/>
  <c r="E198" i="1"/>
  <c r="F198" i="1"/>
  <c r="G198" i="1"/>
  <c r="H198" i="1"/>
  <c r="D199" i="1"/>
  <c r="E199" i="1"/>
  <c r="F199" i="1"/>
  <c r="G199" i="1"/>
  <c r="H199" i="1"/>
  <c r="D214" i="1"/>
  <c r="E214" i="1"/>
  <c r="F214" i="1"/>
  <c r="G214" i="1"/>
  <c r="H214" i="1"/>
  <c r="D219" i="1"/>
  <c r="E219" i="1"/>
  <c r="F219" i="1"/>
  <c r="G219" i="1"/>
  <c r="H219" i="1"/>
  <c r="D216" i="1"/>
  <c r="E216" i="1"/>
  <c r="F216" i="1"/>
  <c r="G216" i="1"/>
  <c r="H216" i="1"/>
  <c r="D217" i="1"/>
  <c r="E217" i="1"/>
  <c r="F217" i="1"/>
  <c r="G217" i="1"/>
  <c r="H217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0" i="1"/>
  <c r="E220" i="1"/>
  <c r="F220" i="1"/>
  <c r="G220" i="1"/>
  <c r="H220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146" i="1"/>
  <c r="E146" i="1"/>
  <c r="F146" i="1"/>
  <c r="G146" i="1"/>
  <c r="H146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41" i="1"/>
  <c r="E241" i="1"/>
  <c r="F241" i="1"/>
  <c r="G241" i="1"/>
  <c r="H241" i="1"/>
  <c r="D213" i="1"/>
  <c r="E213" i="1"/>
  <c r="F213" i="1"/>
  <c r="G213" i="1"/>
  <c r="H213" i="1"/>
  <c r="D242" i="1"/>
  <c r="E242" i="1"/>
  <c r="F242" i="1"/>
  <c r="G242" i="1"/>
  <c r="H242" i="1"/>
  <c r="D239" i="1"/>
  <c r="E239" i="1"/>
  <c r="F239" i="1"/>
  <c r="G239" i="1"/>
  <c r="H239" i="1"/>
  <c r="D243" i="1"/>
  <c r="E243" i="1"/>
  <c r="F243" i="1"/>
  <c r="G243" i="1"/>
  <c r="H243" i="1"/>
  <c r="D240" i="1"/>
  <c r="E240" i="1"/>
  <c r="F240" i="1"/>
  <c r="G240" i="1"/>
  <c r="H240" i="1"/>
  <c r="D247" i="1"/>
  <c r="E247" i="1"/>
  <c r="F247" i="1"/>
  <c r="G247" i="1"/>
  <c r="H247" i="1"/>
  <c r="D244" i="1"/>
  <c r="E244" i="1"/>
  <c r="F244" i="1"/>
  <c r="G244" i="1"/>
  <c r="H244" i="1"/>
  <c r="D218" i="1"/>
  <c r="E218" i="1"/>
  <c r="F218" i="1"/>
  <c r="G218" i="1"/>
  <c r="H218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2" i="1"/>
  <c r="E252" i="1"/>
  <c r="F252" i="1"/>
  <c r="G252" i="1"/>
  <c r="H252" i="1"/>
  <c r="D251" i="1"/>
  <c r="E251" i="1"/>
  <c r="F251" i="1"/>
  <c r="G251" i="1"/>
  <c r="H251" i="1"/>
  <c r="D253" i="1"/>
  <c r="E253" i="1"/>
  <c r="F253" i="1"/>
  <c r="G253" i="1"/>
  <c r="H253" i="1"/>
  <c r="D254" i="1"/>
  <c r="E254" i="1"/>
  <c r="F254" i="1"/>
  <c r="G254" i="1"/>
  <c r="H254" i="1"/>
  <c r="D256" i="1"/>
  <c r="E256" i="1"/>
  <c r="F256" i="1"/>
  <c r="G256" i="1"/>
  <c r="H256" i="1"/>
  <c r="D255" i="1"/>
  <c r="E255" i="1"/>
  <c r="F255" i="1"/>
  <c r="G255" i="1"/>
  <c r="H255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45" i="1"/>
  <c r="E245" i="1"/>
  <c r="F245" i="1"/>
  <c r="G245" i="1"/>
  <c r="H245" i="1"/>
  <c r="D264" i="1"/>
  <c r="E264" i="1"/>
  <c r="F264" i="1"/>
  <c r="G264" i="1"/>
  <c r="H264" i="1"/>
  <c r="D265" i="1"/>
  <c r="E265" i="1"/>
  <c r="F265" i="1"/>
  <c r="G265" i="1"/>
  <c r="H265" i="1"/>
  <c r="D261" i="1"/>
  <c r="E261" i="1"/>
  <c r="F261" i="1"/>
  <c r="G261" i="1"/>
  <c r="H261" i="1"/>
  <c r="D266" i="1"/>
  <c r="E266" i="1"/>
  <c r="F266" i="1"/>
  <c r="G266" i="1"/>
  <c r="H266" i="1"/>
  <c r="D269" i="1"/>
  <c r="E269" i="1"/>
  <c r="F269" i="1"/>
  <c r="G269" i="1"/>
  <c r="H269" i="1"/>
  <c r="D270" i="1"/>
  <c r="E270" i="1"/>
  <c r="F270" i="1"/>
  <c r="G270" i="1"/>
  <c r="H270" i="1"/>
  <c r="D246" i="1"/>
  <c r="E246" i="1"/>
  <c r="F246" i="1"/>
  <c r="G246" i="1"/>
  <c r="H246" i="1"/>
  <c r="D267" i="1"/>
  <c r="E267" i="1"/>
  <c r="F267" i="1"/>
  <c r="G267" i="1"/>
  <c r="H267" i="1"/>
  <c r="D268" i="1"/>
  <c r="E268" i="1"/>
  <c r="F268" i="1"/>
  <c r="G268" i="1"/>
  <c r="H268" i="1"/>
  <c r="D272" i="1"/>
  <c r="E272" i="1"/>
  <c r="F272" i="1"/>
  <c r="G272" i="1"/>
  <c r="H272" i="1"/>
  <c r="D273" i="1"/>
  <c r="E273" i="1"/>
  <c r="F273" i="1"/>
  <c r="G273" i="1"/>
  <c r="H273" i="1"/>
  <c r="D271" i="1"/>
  <c r="E271" i="1"/>
  <c r="F271" i="1"/>
  <c r="G271" i="1"/>
  <c r="H271" i="1"/>
  <c r="D263" i="1"/>
  <c r="E263" i="1"/>
  <c r="F263" i="1"/>
  <c r="G263" i="1"/>
  <c r="H263" i="1"/>
  <c r="D274" i="1"/>
  <c r="E274" i="1"/>
  <c r="F274" i="1"/>
  <c r="G274" i="1"/>
  <c r="H274" i="1"/>
  <c r="D276" i="1"/>
  <c r="E276" i="1"/>
  <c r="F276" i="1"/>
  <c r="G276" i="1"/>
  <c r="H276" i="1"/>
  <c r="D275" i="1"/>
  <c r="E275" i="1"/>
  <c r="F275" i="1"/>
  <c r="G275" i="1"/>
  <c r="H275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62" i="1"/>
  <c r="E262" i="1"/>
  <c r="F262" i="1"/>
  <c r="G262" i="1"/>
  <c r="H262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7" i="1"/>
  <c r="E287" i="1"/>
  <c r="F287" i="1"/>
  <c r="G287" i="1"/>
  <c r="H287" i="1"/>
  <c r="D285" i="1"/>
  <c r="E285" i="1"/>
  <c r="F285" i="1"/>
  <c r="G285" i="1"/>
  <c r="H285" i="1"/>
  <c r="D286" i="1"/>
  <c r="E286" i="1"/>
  <c r="F286" i="1"/>
  <c r="G286" i="1"/>
  <c r="H286" i="1"/>
  <c r="D288" i="1"/>
  <c r="E288" i="1"/>
  <c r="F288" i="1"/>
  <c r="G288" i="1"/>
  <c r="H288" i="1"/>
  <c r="D293" i="1"/>
  <c r="E293" i="1"/>
  <c r="F293" i="1"/>
  <c r="G293" i="1"/>
  <c r="H293" i="1"/>
  <c r="D289" i="1"/>
  <c r="E289" i="1"/>
  <c r="F289" i="1"/>
  <c r="G289" i="1"/>
  <c r="H289" i="1"/>
  <c r="D290" i="1"/>
  <c r="E290" i="1"/>
  <c r="F290" i="1"/>
  <c r="G290" i="1"/>
  <c r="H290" i="1"/>
  <c r="D294" i="1"/>
  <c r="E294" i="1"/>
  <c r="F294" i="1"/>
  <c r="G294" i="1"/>
  <c r="H294" i="1"/>
  <c r="D291" i="1"/>
  <c r="E291" i="1"/>
  <c r="F291" i="1"/>
  <c r="G291" i="1"/>
  <c r="H291" i="1"/>
  <c r="D295" i="1"/>
  <c r="E295" i="1"/>
  <c r="F295" i="1"/>
  <c r="G295" i="1"/>
  <c r="H295" i="1"/>
  <c r="D297" i="1"/>
  <c r="E297" i="1"/>
  <c r="F297" i="1"/>
  <c r="G297" i="1"/>
  <c r="H297" i="1"/>
  <c r="D298" i="1"/>
  <c r="E298" i="1"/>
  <c r="F298" i="1"/>
  <c r="G298" i="1"/>
  <c r="H298" i="1"/>
  <c r="D292" i="1"/>
  <c r="E292" i="1"/>
  <c r="F292" i="1"/>
  <c r="G292" i="1"/>
  <c r="H292" i="1"/>
  <c r="D303" i="1"/>
  <c r="E303" i="1"/>
  <c r="F303" i="1"/>
  <c r="G303" i="1"/>
  <c r="H303" i="1"/>
  <c r="D304" i="1"/>
  <c r="E304" i="1"/>
  <c r="F304" i="1"/>
  <c r="G304" i="1"/>
  <c r="H304" i="1"/>
  <c r="D299" i="1"/>
  <c r="E299" i="1"/>
  <c r="F299" i="1"/>
  <c r="G299" i="1"/>
  <c r="H299" i="1"/>
  <c r="D300" i="1"/>
  <c r="E300" i="1"/>
  <c r="F300" i="1"/>
  <c r="G300" i="1"/>
  <c r="H300" i="1"/>
  <c r="D296" i="1"/>
  <c r="E296" i="1"/>
  <c r="F296" i="1"/>
  <c r="G296" i="1"/>
  <c r="H296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1" i="1"/>
  <c r="E301" i="1"/>
  <c r="F301" i="1"/>
  <c r="G301" i="1"/>
  <c r="H301" i="1"/>
  <c r="D302" i="1"/>
  <c r="E302" i="1"/>
  <c r="F302" i="1"/>
  <c r="G302" i="1"/>
  <c r="H302" i="1"/>
  <c r="D308" i="1"/>
  <c r="E308" i="1"/>
  <c r="F308" i="1"/>
  <c r="G308" i="1"/>
  <c r="H308" i="1"/>
  <c r="D309" i="1"/>
  <c r="E309" i="1"/>
  <c r="F309" i="1"/>
  <c r="G309" i="1"/>
  <c r="H309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9" i="1"/>
  <c r="E319" i="1"/>
  <c r="F319" i="1"/>
  <c r="G319" i="1"/>
  <c r="H319" i="1"/>
  <c r="D320" i="1"/>
  <c r="E320" i="1"/>
  <c r="F320" i="1"/>
  <c r="G320" i="1"/>
  <c r="H320" i="1"/>
  <c r="D322" i="1"/>
  <c r="E322" i="1"/>
  <c r="F322" i="1"/>
  <c r="G322" i="1"/>
  <c r="H322" i="1"/>
  <c r="D324" i="1"/>
  <c r="E324" i="1"/>
  <c r="F324" i="1"/>
  <c r="G324" i="1"/>
  <c r="H324" i="1"/>
  <c r="D323" i="1"/>
  <c r="E323" i="1"/>
  <c r="F323" i="1"/>
  <c r="G323" i="1"/>
  <c r="H323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25" i="1"/>
  <c r="E325" i="1"/>
  <c r="F325" i="1"/>
  <c r="G325" i="1"/>
  <c r="H325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5" i="1"/>
  <c r="E335" i="1"/>
  <c r="F335" i="1"/>
  <c r="G335" i="1"/>
  <c r="H335" i="1"/>
  <c r="D333" i="1"/>
  <c r="E333" i="1"/>
  <c r="F333" i="1"/>
  <c r="G333" i="1"/>
  <c r="H333" i="1"/>
  <c r="D336" i="1"/>
  <c r="E336" i="1"/>
  <c r="F336" i="1"/>
  <c r="G336" i="1"/>
  <c r="H336" i="1"/>
  <c r="D321" i="1"/>
  <c r="E321" i="1"/>
  <c r="F321" i="1"/>
  <c r="G321" i="1"/>
  <c r="H321" i="1"/>
  <c r="D326" i="1"/>
  <c r="E326" i="1"/>
  <c r="F326" i="1"/>
  <c r="G326" i="1"/>
  <c r="H326" i="1"/>
  <c r="D342" i="1"/>
  <c r="E342" i="1"/>
  <c r="F342" i="1"/>
  <c r="G342" i="1"/>
  <c r="H342" i="1"/>
  <c r="D337" i="1"/>
  <c r="E337" i="1"/>
  <c r="F337" i="1"/>
  <c r="G337" i="1"/>
  <c r="H337" i="1"/>
  <c r="D338" i="1"/>
  <c r="E338" i="1"/>
  <c r="F338" i="1"/>
  <c r="G338" i="1"/>
  <c r="H338" i="1"/>
  <c r="D334" i="1"/>
  <c r="E334" i="1"/>
  <c r="F334" i="1"/>
  <c r="G334" i="1"/>
  <c r="H334" i="1"/>
  <c r="D339" i="1"/>
  <c r="E339" i="1"/>
  <c r="F339" i="1"/>
  <c r="G339" i="1"/>
  <c r="H339" i="1"/>
  <c r="D343" i="1"/>
  <c r="E343" i="1"/>
  <c r="F343" i="1"/>
  <c r="G343" i="1"/>
  <c r="H343" i="1"/>
  <c r="D347" i="1"/>
  <c r="E347" i="1"/>
  <c r="F347" i="1"/>
  <c r="G347" i="1"/>
  <c r="H347" i="1"/>
  <c r="D340" i="1"/>
  <c r="E340" i="1"/>
  <c r="F340" i="1"/>
  <c r="G340" i="1"/>
  <c r="H340" i="1"/>
  <c r="D345" i="1"/>
  <c r="E345" i="1"/>
  <c r="F345" i="1"/>
  <c r="G345" i="1"/>
  <c r="H345" i="1"/>
  <c r="D344" i="1"/>
  <c r="E344" i="1"/>
  <c r="F344" i="1"/>
  <c r="G344" i="1"/>
  <c r="H344" i="1"/>
  <c r="D341" i="1"/>
  <c r="E341" i="1"/>
  <c r="F341" i="1"/>
  <c r="G341" i="1"/>
  <c r="H341" i="1"/>
  <c r="D355" i="1"/>
  <c r="E355" i="1"/>
  <c r="F355" i="1"/>
  <c r="G355" i="1"/>
  <c r="H355" i="1"/>
  <c r="D357" i="1"/>
  <c r="E357" i="1"/>
  <c r="F357" i="1"/>
  <c r="G357" i="1"/>
  <c r="H357" i="1"/>
  <c r="D349" i="1"/>
  <c r="E349" i="1"/>
  <c r="F349" i="1"/>
  <c r="G349" i="1"/>
  <c r="H349" i="1"/>
  <c r="D351" i="1"/>
  <c r="E351" i="1"/>
  <c r="F351" i="1"/>
  <c r="G351" i="1"/>
  <c r="H351" i="1"/>
  <c r="D348" i="1"/>
  <c r="E348" i="1"/>
  <c r="F348" i="1"/>
  <c r="G348" i="1"/>
  <c r="H348" i="1"/>
  <c r="D352" i="1"/>
  <c r="E352" i="1"/>
  <c r="F352" i="1"/>
  <c r="G352" i="1"/>
  <c r="H352" i="1"/>
  <c r="D350" i="1"/>
  <c r="E350" i="1"/>
  <c r="F350" i="1"/>
  <c r="G350" i="1"/>
  <c r="H350" i="1"/>
  <c r="D356" i="1"/>
  <c r="E356" i="1"/>
  <c r="F356" i="1"/>
  <c r="G356" i="1"/>
  <c r="H356" i="1"/>
  <c r="D353" i="1"/>
  <c r="E353" i="1"/>
  <c r="F353" i="1"/>
  <c r="G353" i="1"/>
  <c r="H353" i="1"/>
  <c r="D354" i="1"/>
  <c r="E354" i="1"/>
  <c r="F354" i="1"/>
  <c r="G354" i="1"/>
  <c r="H354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76" i="1"/>
  <c r="E376" i="1"/>
  <c r="F376" i="1"/>
  <c r="G376" i="1"/>
  <c r="H376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74" i="1"/>
  <c r="E374" i="1"/>
  <c r="F374" i="1"/>
  <c r="G374" i="1"/>
  <c r="H374" i="1"/>
  <c r="D392" i="1"/>
  <c r="E392" i="1"/>
  <c r="F392" i="1"/>
  <c r="G392" i="1"/>
  <c r="H392" i="1"/>
  <c r="D383" i="1"/>
  <c r="E383" i="1"/>
  <c r="F383" i="1"/>
  <c r="G383" i="1"/>
  <c r="H383" i="1"/>
  <c r="D346" i="1"/>
  <c r="E346" i="1"/>
  <c r="F346" i="1"/>
  <c r="G346" i="1"/>
  <c r="H346" i="1"/>
  <c r="D384" i="1"/>
  <c r="E384" i="1"/>
  <c r="F384" i="1"/>
  <c r="G384" i="1"/>
  <c r="H384" i="1"/>
  <c r="D393" i="1"/>
  <c r="E393" i="1"/>
  <c r="F393" i="1"/>
  <c r="G393" i="1"/>
  <c r="H393" i="1"/>
  <c r="D394" i="1"/>
  <c r="E394" i="1"/>
  <c r="F394" i="1"/>
  <c r="G394" i="1"/>
  <c r="H394" i="1"/>
  <c r="D382" i="1"/>
  <c r="E382" i="1"/>
  <c r="F382" i="1"/>
  <c r="G382" i="1"/>
  <c r="H382" i="1"/>
  <c r="D395" i="1"/>
  <c r="E395" i="1"/>
  <c r="F395" i="1"/>
  <c r="G395" i="1"/>
  <c r="H395" i="1"/>
  <c r="D397" i="1"/>
  <c r="E397" i="1"/>
  <c r="F397" i="1"/>
  <c r="G397" i="1"/>
  <c r="H397" i="1"/>
  <c r="D385" i="1"/>
  <c r="E385" i="1"/>
  <c r="F385" i="1"/>
  <c r="G385" i="1"/>
  <c r="H385" i="1"/>
  <c r="D389" i="1"/>
  <c r="E389" i="1"/>
  <c r="F389" i="1"/>
  <c r="G389" i="1"/>
  <c r="H389" i="1"/>
  <c r="D391" i="1"/>
  <c r="E391" i="1"/>
  <c r="F391" i="1"/>
  <c r="G391" i="1"/>
  <c r="H391" i="1"/>
  <c r="D398" i="1"/>
  <c r="E398" i="1"/>
  <c r="F398" i="1"/>
  <c r="G398" i="1"/>
  <c r="H398" i="1"/>
  <c r="D403" i="1"/>
  <c r="E403" i="1"/>
  <c r="F403" i="1"/>
  <c r="G403" i="1"/>
  <c r="H403" i="1"/>
  <c r="D390" i="1"/>
  <c r="E390" i="1"/>
  <c r="F390" i="1"/>
  <c r="G390" i="1"/>
  <c r="H390" i="1"/>
  <c r="D400" i="1"/>
  <c r="E400" i="1"/>
  <c r="F400" i="1"/>
  <c r="G400" i="1"/>
  <c r="H400" i="1"/>
  <c r="D404" i="1"/>
  <c r="E404" i="1"/>
  <c r="F404" i="1"/>
  <c r="G404" i="1"/>
  <c r="H404" i="1"/>
  <c r="D402" i="1"/>
  <c r="E402" i="1"/>
  <c r="F402" i="1"/>
  <c r="G402" i="1"/>
  <c r="H402" i="1"/>
  <c r="D399" i="1"/>
  <c r="E399" i="1"/>
  <c r="F399" i="1"/>
  <c r="G399" i="1"/>
  <c r="H399" i="1"/>
  <c r="D406" i="1"/>
  <c r="E406" i="1"/>
  <c r="F406" i="1"/>
  <c r="G406" i="1"/>
  <c r="H406" i="1"/>
  <c r="D405" i="1"/>
  <c r="E405" i="1"/>
  <c r="F405" i="1"/>
  <c r="G405" i="1"/>
  <c r="H405" i="1"/>
  <c r="D401" i="1"/>
  <c r="E401" i="1"/>
  <c r="F401" i="1"/>
  <c r="G401" i="1"/>
  <c r="H401" i="1"/>
  <c r="D386" i="1"/>
  <c r="E386" i="1"/>
  <c r="F386" i="1"/>
  <c r="G386" i="1"/>
  <c r="H386" i="1"/>
  <c r="D407" i="1"/>
  <c r="E407" i="1"/>
  <c r="F407" i="1"/>
  <c r="G407" i="1"/>
  <c r="H407" i="1"/>
  <c r="D409" i="1"/>
  <c r="E409" i="1"/>
  <c r="F409" i="1"/>
  <c r="G409" i="1"/>
  <c r="H409" i="1"/>
  <c r="D408" i="1"/>
  <c r="E408" i="1"/>
  <c r="F408" i="1"/>
  <c r="G408" i="1"/>
  <c r="H408" i="1"/>
  <c r="D410" i="1"/>
  <c r="E410" i="1"/>
  <c r="F410" i="1"/>
  <c r="G410" i="1"/>
  <c r="H410" i="1"/>
  <c r="D412" i="1"/>
  <c r="E412" i="1"/>
  <c r="F412" i="1"/>
  <c r="G412" i="1"/>
  <c r="H412" i="1"/>
  <c r="D413" i="1"/>
  <c r="E413" i="1"/>
  <c r="F413" i="1"/>
  <c r="G413" i="1"/>
  <c r="H413" i="1"/>
  <c r="D411" i="1"/>
  <c r="E411" i="1"/>
  <c r="F411" i="1"/>
  <c r="G411" i="1"/>
  <c r="H411" i="1"/>
  <c r="D414" i="1"/>
  <c r="E414" i="1"/>
  <c r="F414" i="1"/>
  <c r="G414" i="1"/>
  <c r="H414" i="1"/>
  <c r="D387" i="1"/>
  <c r="E387" i="1"/>
  <c r="F387" i="1"/>
  <c r="G387" i="1"/>
  <c r="H387" i="1"/>
  <c r="D416" i="1"/>
  <c r="E416" i="1"/>
  <c r="F416" i="1"/>
  <c r="G416" i="1"/>
  <c r="H416" i="1"/>
  <c r="D417" i="1"/>
  <c r="E417" i="1"/>
  <c r="F417" i="1"/>
  <c r="G417" i="1"/>
  <c r="H417" i="1"/>
  <c r="D415" i="1"/>
  <c r="E415" i="1"/>
  <c r="F415" i="1"/>
  <c r="G415" i="1"/>
  <c r="H415" i="1"/>
  <c r="D419" i="1"/>
  <c r="E419" i="1"/>
  <c r="F419" i="1"/>
  <c r="G419" i="1"/>
  <c r="H419" i="1"/>
  <c r="D418" i="1"/>
  <c r="E418" i="1"/>
  <c r="F418" i="1"/>
  <c r="G418" i="1"/>
  <c r="H418" i="1"/>
  <c r="D375" i="1"/>
  <c r="E375" i="1"/>
  <c r="F375" i="1"/>
  <c r="G375" i="1"/>
  <c r="H375" i="1"/>
  <c r="D424" i="1"/>
  <c r="E424" i="1"/>
  <c r="F424" i="1"/>
  <c r="G424" i="1"/>
  <c r="H424" i="1"/>
  <c r="D420" i="1"/>
  <c r="E420" i="1"/>
  <c r="F420" i="1"/>
  <c r="G420" i="1"/>
  <c r="H420" i="1"/>
  <c r="D423" i="1"/>
  <c r="E423" i="1"/>
  <c r="F423" i="1"/>
  <c r="G423" i="1"/>
  <c r="H423" i="1"/>
  <c r="D425" i="1"/>
  <c r="E425" i="1"/>
  <c r="F425" i="1"/>
  <c r="G425" i="1"/>
  <c r="H425" i="1"/>
  <c r="D422" i="1"/>
  <c r="E422" i="1"/>
  <c r="F422" i="1"/>
  <c r="G422" i="1"/>
  <c r="H422" i="1"/>
  <c r="D427" i="1"/>
  <c r="E427" i="1"/>
  <c r="F427" i="1"/>
  <c r="G427" i="1"/>
  <c r="H427" i="1"/>
  <c r="D428" i="1"/>
  <c r="E428" i="1"/>
  <c r="F428" i="1"/>
  <c r="G428" i="1"/>
  <c r="H428" i="1"/>
  <c r="D430" i="1"/>
  <c r="E430" i="1"/>
  <c r="F430" i="1"/>
  <c r="G430" i="1"/>
  <c r="H430" i="1"/>
  <c r="D426" i="1"/>
  <c r="E426" i="1"/>
  <c r="F426" i="1"/>
  <c r="G426" i="1"/>
  <c r="H426" i="1"/>
  <c r="D429" i="1"/>
  <c r="E429" i="1"/>
  <c r="F429" i="1"/>
  <c r="G429" i="1"/>
  <c r="H429" i="1"/>
  <c r="D421" i="1"/>
  <c r="E421" i="1"/>
  <c r="F421" i="1"/>
  <c r="G421" i="1"/>
  <c r="H421" i="1"/>
  <c r="D434" i="1"/>
  <c r="E434" i="1"/>
  <c r="F434" i="1"/>
  <c r="G434" i="1"/>
  <c r="H434" i="1"/>
  <c r="D388" i="1"/>
  <c r="E388" i="1"/>
  <c r="F388" i="1"/>
  <c r="G388" i="1"/>
  <c r="H388" i="1"/>
  <c r="D433" i="1"/>
  <c r="E433" i="1"/>
  <c r="F433" i="1"/>
  <c r="G433" i="1"/>
  <c r="H433" i="1"/>
  <c r="D436" i="1"/>
  <c r="E436" i="1"/>
  <c r="F436" i="1"/>
  <c r="G436" i="1"/>
  <c r="H436" i="1"/>
  <c r="D432" i="1"/>
  <c r="E432" i="1"/>
  <c r="F432" i="1"/>
  <c r="G432" i="1"/>
  <c r="H432" i="1"/>
  <c r="D435" i="1"/>
  <c r="E435" i="1"/>
  <c r="F435" i="1"/>
  <c r="G435" i="1"/>
  <c r="H435" i="1"/>
  <c r="D431" i="1"/>
  <c r="E431" i="1"/>
  <c r="F431" i="1"/>
  <c r="G431" i="1"/>
  <c r="H431" i="1"/>
  <c r="D438" i="1"/>
  <c r="E438" i="1"/>
  <c r="F438" i="1"/>
  <c r="G438" i="1"/>
  <c r="H438" i="1"/>
  <c r="D439" i="1"/>
  <c r="E439" i="1"/>
  <c r="F439" i="1"/>
  <c r="G439" i="1"/>
  <c r="H439" i="1"/>
  <c r="D437" i="1"/>
  <c r="E437" i="1"/>
  <c r="F437" i="1"/>
  <c r="G437" i="1"/>
  <c r="H437" i="1"/>
  <c r="D443" i="1"/>
  <c r="E443" i="1"/>
  <c r="F443" i="1"/>
  <c r="G443" i="1"/>
  <c r="H443" i="1"/>
  <c r="D442" i="1"/>
  <c r="E442" i="1"/>
  <c r="F442" i="1"/>
  <c r="G442" i="1"/>
  <c r="H442" i="1"/>
  <c r="D396" i="1"/>
  <c r="E396" i="1"/>
  <c r="F396" i="1"/>
  <c r="G396" i="1"/>
  <c r="H396" i="1"/>
  <c r="D444" i="1"/>
  <c r="E444" i="1"/>
  <c r="F444" i="1"/>
  <c r="G444" i="1"/>
  <c r="H444" i="1"/>
  <c r="D445" i="1"/>
  <c r="E445" i="1"/>
  <c r="F445" i="1"/>
  <c r="G445" i="1"/>
  <c r="H445" i="1"/>
  <c r="D440" i="1"/>
  <c r="E440" i="1"/>
  <c r="F440" i="1"/>
  <c r="G440" i="1"/>
  <c r="H440" i="1"/>
  <c r="D448" i="1"/>
  <c r="E448" i="1"/>
  <c r="F448" i="1"/>
  <c r="G448" i="1"/>
  <c r="H448" i="1"/>
  <c r="D450" i="1"/>
  <c r="E450" i="1"/>
  <c r="F450" i="1"/>
  <c r="G450" i="1"/>
  <c r="H450" i="1"/>
  <c r="D446" i="1"/>
  <c r="E446" i="1"/>
  <c r="F446" i="1"/>
  <c r="G446" i="1"/>
  <c r="H446" i="1"/>
  <c r="D451" i="1"/>
  <c r="E451" i="1"/>
  <c r="F451" i="1"/>
  <c r="G451" i="1"/>
  <c r="H451" i="1"/>
  <c r="D453" i="1"/>
  <c r="E453" i="1"/>
  <c r="F453" i="1"/>
  <c r="G453" i="1"/>
  <c r="H453" i="1"/>
  <c r="D455" i="1"/>
  <c r="E455" i="1"/>
  <c r="F455" i="1"/>
  <c r="G455" i="1"/>
  <c r="H455" i="1"/>
  <c r="D454" i="1"/>
  <c r="E454" i="1"/>
  <c r="F454" i="1"/>
  <c r="G454" i="1"/>
  <c r="H454" i="1"/>
  <c r="D452" i="1"/>
  <c r="E452" i="1"/>
  <c r="F452" i="1"/>
  <c r="G452" i="1"/>
  <c r="H452" i="1"/>
  <c r="D458" i="1"/>
  <c r="E458" i="1"/>
  <c r="F458" i="1"/>
  <c r="G458" i="1"/>
  <c r="H458" i="1"/>
  <c r="D457" i="1"/>
  <c r="E457" i="1"/>
  <c r="F457" i="1"/>
  <c r="G457" i="1"/>
  <c r="H457" i="1"/>
  <c r="D456" i="1"/>
  <c r="E456" i="1"/>
  <c r="F456" i="1"/>
  <c r="G456" i="1"/>
  <c r="H456" i="1"/>
  <c r="D461" i="1"/>
  <c r="E461" i="1"/>
  <c r="F461" i="1"/>
  <c r="G461" i="1"/>
  <c r="H461" i="1"/>
  <c r="D463" i="1"/>
  <c r="E463" i="1"/>
  <c r="F463" i="1"/>
  <c r="G463" i="1"/>
  <c r="H463" i="1"/>
  <c r="D462" i="1"/>
  <c r="F462" i="1"/>
  <c r="G462" i="1"/>
  <c r="H462" i="1"/>
  <c r="D464" i="1"/>
  <c r="E464" i="1"/>
  <c r="F464" i="1"/>
  <c r="G464" i="1"/>
  <c r="H464" i="1"/>
  <c r="D466" i="1"/>
  <c r="E466" i="1"/>
  <c r="F466" i="1"/>
  <c r="G466" i="1"/>
  <c r="H466" i="1"/>
  <c r="D467" i="1"/>
  <c r="E467" i="1"/>
  <c r="F467" i="1"/>
  <c r="G467" i="1"/>
  <c r="H467" i="1"/>
  <c r="D460" i="1"/>
  <c r="E460" i="1"/>
  <c r="F460" i="1"/>
  <c r="G460" i="1"/>
  <c r="H460" i="1"/>
  <c r="D468" i="1"/>
  <c r="E468" i="1"/>
  <c r="F468" i="1"/>
  <c r="G468" i="1"/>
  <c r="H468" i="1"/>
  <c r="D441" i="1"/>
  <c r="E441" i="1"/>
  <c r="F441" i="1"/>
  <c r="G441" i="1"/>
  <c r="H441" i="1"/>
  <c r="D471" i="1"/>
  <c r="E471" i="1"/>
  <c r="F471" i="1"/>
  <c r="G471" i="1"/>
  <c r="H471" i="1"/>
  <c r="D470" i="1"/>
  <c r="E470" i="1"/>
  <c r="F470" i="1"/>
  <c r="G470" i="1"/>
  <c r="H470" i="1"/>
  <c r="D473" i="1"/>
  <c r="E473" i="1"/>
  <c r="F473" i="1"/>
  <c r="G473" i="1"/>
  <c r="H473" i="1"/>
  <c r="D472" i="1"/>
  <c r="E472" i="1"/>
  <c r="F472" i="1"/>
  <c r="G472" i="1"/>
  <c r="H472" i="1"/>
  <c r="D469" i="1"/>
  <c r="E469" i="1"/>
  <c r="F469" i="1"/>
  <c r="G469" i="1"/>
  <c r="H469" i="1"/>
  <c r="D475" i="1"/>
  <c r="E475" i="1"/>
  <c r="F475" i="1"/>
  <c r="G475" i="1"/>
  <c r="H475" i="1"/>
  <c r="D474" i="1"/>
  <c r="E474" i="1"/>
  <c r="F474" i="1"/>
  <c r="G474" i="1"/>
  <c r="H474" i="1"/>
  <c r="D476" i="1"/>
  <c r="E476" i="1"/>
  <c r="F476" i="1"/>
  <c r="G476" i="1"/>
  <c r="H476" i="1"/>
  <c r="D477" i="1"/>
  <c r="E477" i="1"/>
  <c r="F477" i="1"/>
  <c r="G477" i="1"/>
  <c r="H477" i="1"/>
  <c r="D449" i="1"/>
  <c r="E449" i="1"/>
  <c r="F449" i="1"/>
  <c r="G449" i="1"/>
  <c r="H449" i="1"/>
  <c r="D465" i="1"/>
  <c r="E465" i="1"/>
  <c r="F465" i="1"/>
  <c r="G465" i="1"/>
  <c r="H465" i="1"/>
  <c r="D478" i="1"/>
  <c r="E478" i="1"/>
  <c r="F478" i="1"/>
  <c r="G478" i="1"/>
  <c r="H478" i="1"/>
  <c r="D481" i="1"/>
  <c r="E481" i="1"/>
  <c r="F481" i="1"/>
  <c r="G481" i="1"/>
  <c r="H481" i="1"/>
  <c r="D482" i="1"/>
  <c r="E482" i="1"/>
  <c r="F482" i="1"/>
  <c r="G482" i="1"/>
  <c r="H482" i="1"/>
  <c r="D484" i="1"/>
  <c r="E484" i="1"/>
  <c r="F484" i="1"/>
  <c r="G484" i="1"/>
  <c r="H484" i="1"/>
  <c r="D479" i="1"/>
  <c r="E479" i="1"/>
  <c r="F479" i="1"/>
  <c r="G479" i="1"/>
  <c r="H479" i="1"/>
  <c r="D486" i="1"/>
  <c r="E486" i="1"/>
  <c r="F486" i="1"/>
  <c r="G486" i="1"/>
  <c r="H486" i="1"/>
  <c r="D485" i="1"/>
  <c r="E485" i="1"/>
  <c r="F485" i="1"/>
  <c r="G485" i="1"/>
  <c r="H485" i="1"/>
  <c r="D459" i="1"/>
  <c r="E459" i="1"/>
  <c r="F459" i="1"/>
  <c r="G459" i="1"/>
  <c r="H459" i="1"/>
  <c r="D447" i="1"/>
  <c r="E447" i="1"/>
  <c r="F447" i="1"/>
  <c r="G447" i="1"/>
  <c r="H447" i="1"/>
  <c r="D487" i="1"/>
  <c r="E487" i="1"/>
  <c r="F487" i="1"/>
  <c r="G487" i="1"/>
  <c r="H487" i="1"/>
  <c r="D489" i="1"/>
  <c r="E489" i="1"/>
  <c r="F489" i="1"/>
  <c r="G489" i="1"/>
  <c r="H489" i="1"/>
  <c r="D488" i="1"/>
  <c r="E488" i="1"/>
  <c r="F488" i="1"/>
  <c r="G488" i="1"/>
  <c r="H488" i="1"/>
  <c r="D491" i="1"/>
  <c r="E491" i="1"/>
  <c r="F491" i="1"/>
  <c r="G491" i="1"/>
  <c r="H491" i="1"/>
  <c r="D493" i="1"/>
  <c r="E493" i="1"/>
  <c r="F493" i="1"/>
  <c r="G493" i="1"/>
  <c r="H493" i="1"/>
  <c r="D496" i="1"/>
  <c r="E496" i="1"/>
  <c r="F496" i="1"/>
  <c r="G496" i="1"/>
  <c r="H496" i="1"/>
  <c r="D492" i="1"/>
  <c r="E492" i="1"/>
  <c r="F492" i="1"/>
  <c r="G492" i="1"/>
  <c r="H492" i="1"/>
  <c r="D495" i="1"/>
  <c r="E495" i="1"/>
  <c r="F495" i="1"/>
  <c r="G495" i="1"/>
  <c r="H495" i="1"/>
  <c r="D497" i="1"/>
  <c r="E497" i="1"/>
  <c r="F497" i="1"/>
  <c r="G497" i="1"/>
  <c r="H497" i="1"/>
  <c r="D490" i="1"/>
  <c r="E490" i="1"/>
  <c r="F490" i="1"/>
  <c r="G490" i="1"/>
  <c r="H490" i="1"/>
  <c r="D494" i="1"/>
  <c r="E494" i="1"/>
  <c r="F494" i="1"/>
  <c r="G494" i="1"/>
  <c r="H494" i="1"/>
  <c r="D499" i="1"/>
  <c r="E499" i="1"/>
  <c r="F499" i="1"/>
  <c r="G499" i="1"/>
  <c r="H499" i="1"/>
  <c r="D498" i="1"/>
  <c r="E498" i="1"/>
  <c r="F498" i="1"/>
  <c r="G498" i="1"/>
  <c r="H498" i="1"/>
  <c r="D483" i="1"/>
  <c r="E483" i="1"/>
  <c r="F483" i="1"/>
  <c r="G483" i="1"/>
  <c r="H483" i="1"/>
  <c r="D501" i="1"/>
  <c r="E501" i="1"/>
  <c r="F501" i="1"/>
  <c r="G501" i="1"/>
  <c r="H501" i="1"/>
  <c r="D500" i="1"/>
  <c r="E500" i="1"/>
  <c r="F500" i="1"/>
  <c r="G500" i="1"/>
  <c r="H500" i="1"/>
  <c r="D504" i="1"/>
  <c r="E504" i="1"/>
  <c r="F504" i="1"/>
  <c r="G504" i="1"/>
  <c r="H504" i="1"/>
  <c r="D502" i="1"/>
  <c r="E502" i="1"/>
  <c r="F502" i="1"/>
  <c r="G502" i="1"/>
  <c r="H502" i="1"/>
  <c r="D506" i="1"/>
  <c r="E506" i="1"/>
  <c r="F506" i="1"/>
  <c r="G506" i="1"/>
  <c r="H506" i="1"/>
  <c r="D505" i="1"/>
  <c r="E505" i="1"/>
  <c r="F505" i="1"/>
  <c r="G505" i="1"/>
  <c r="H505" i="1"/>
  <c r="D503" i="1"/>
  <c r="E503" i="1"/>
  <c r="F503" i="1"/>
  <c r="G503" i="1"/>
  <c r="H503" i="1"/>
  <c r="D507" i="1"/>
  <c r="E507" i="1"/>
  <c r="F507" i="1"/>
  <c r="G507" i="1"/>
  <c r="H507" i="1"/>
  <c r="D509" i="1"/>
  <c r="E509" i="1"/>
  <c r="F509" i="1"/>
  <c r="G509" i="1"/>
  <c r="H509" i="1"/>
  <c r="D510" i="1"/>
  <c r="E510" i="1"/>
  <c r="F510" i="1"/>
  <c r="G510" i="1"/>
  <c r="H510" i="1"/>
  <c r="D508" i="1"/>
  <c r="E508" i="1"/>
  <c r="F508" i="1"/>
  <c r="G508" i="1"/>
  <c r="H508" i="1"/>
  <c r="D514" i="1"/>
  <c r="E514" i="1"/>
  <c r="F514" i="1"/>
  <c r="G514" i="1"/>
  <c r="H514" i="1"/>
  <c r="D515" i="1"/>
  <c r="E515" i="1"/>
  <c r="F515" i="1"/>
  <c r="G515" i="1"/>
  <c r="H515" i="1"/>
  <c r="D480" i="1"/>
  <c r="E480" i="1"/>
  <c r="F480" i="1"/>
  <c r="G480" i="1"/>
  <c r="H480" i="1"/>
  <c r="D513" i="1"/>
  <c r="E513" i="1"/>
  <c r="F513" i="1"/>
  <c r="G513" i="1"/>
  <c r="H513" i="1"/>
  <c r="D511" i="1"/>
  <c r="E511" i="1"/>
  <c r="F511" i="1"/>
  <c r="G511" i="1"/>
  <c r="H511" i="1"/>
  <c r="D512" i="1"/>
  <c r="E512" i="1"/>
  <c r="F512" i="1"/>
  <c r="G512" i="1"/>
  <c r="H512" i="1"/>
  <c r="D516" i="1"/>
  <c r="E516" i="1"/>
  <c r="F516" i="1"/>
  <c r="G516" i="1"/>
  <c r="H516" i="1"/>
  <c r="D519" i="1"/>
  <c r="E519" i="1"/>
  <c r="F519" i="1"/>
  <c r="G519" i="1"/>
  <c r="H519" i="1"/>
  <c r="D517" i="1"/>
  <c r="E517" i="1"/>
  <c r="F517" i="1"/>
  <c r="G517" i="1"/>
  <c r="H517" i="1"/>
  <c r="D520" i="1"/>
  <c r="E520" i="1"/>
  <c r="F520" i="1"/>
  <c r="G520" i="1"/>
  <c r="H520" i="1"/>
  <c r="D521" i="1"/>
  <c r="E521" i="1"/>
  <c r="F521" i="1"/>
  <c r="G521" i="1"/>
  <c r="H521" i="1"/>
  <c r="D518" i="1"/>
  <c r="E518" i="1"/>
  <c r="F518" i="1"/>
  <c r="G518" i="1"/>
  <c r="H518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8" i="1"/>
  <c r="E528" i="1"/>
  <c r="F528" i="1"/>
  <c r="G528" i="1"/>
  <c r="H528" i="1"/>
  <c r="D527" i="1"/>
  <c r="E527" i="1"/>
  <c r="F527" i="1"/>
  <c r="G527" i="1"/>
  <c r="H527" i="1"/>
  <c r="D530" i="1"/>
  <c r="E530" i="1"/>
  <c r="F530" i="1"/>
  <c r="G530" i="1"/>
  <c r="H530" i="1"/>
  <c r="D529" i="1"/>
  <c r="E529" i="1"/>
  <c r="F529" i="1"/>
  <c r="G529" i="1"/>
  <c r="H529" i="1"/>
  <c r="D531" i="1"/>
  <c r="E531" i="1"/>
  <c r="F531" i="1"/>
  <c r="G531" i="1"/>
  <c r="H531" i="1"/>
  <c r="D533" i="1"/>
  <c r="E533" i="1"/>
  <c r="F533" i="1"/>
  <c r="G533" i="1"/>
  <c r="H533" i="1"/>
  <c r="D534" i="1"/>
  <c r="E534" i="1"/>
  <c r="F534" i="1"/>
  <c r="G534" i="1"/>
  <c r="H534" i="1"/>
  <c r="D532" i="1"/>
  <c r="E532" i="1"/>
  <c r="F532" i="1"/>
  <c r="G532" i="1"/>
  <c r="H532" i="1"/>
  <c r="D536" i="1"/>
  <c r="E536" i="1"/>
  <c r="F536" i="1"/>
  <c r="G536" i="1"/>
  <c r="H536" i="1"/>
  <c r="D535" i="1"/>
  <c r="E535" i="1"/>
  <c r="F535" i="1"/>
  <c r="G535" i="1"/>
  <c r="H535" i="1"/>
  <c r="D539" i="1"/>
  <c r="E539" i="1"/>
  <c r="F539" i="1"/>
  <c r="G539" i="1"/>
  <c r="H539" i="1"/>
  <c r="D538" i="1"/>
  <c r="E538" i="1"/>
  <c r="F538" i="1"/>
  <c r="G538" i="1"/>
  <c r="H538" i="1"/>
  <c r="D540" i="1"/>
  <c r="E540" i="1"/>
  <c r="F540" i="1"/>
  <c r="G540" i="1"/>
  <c r="H540" i="1"/>
  <c r="D541" i="1"/>
  <c r="E541" i="1"/>
  <c r="F541" i="1"/>
  <c r="G541" i="1"/>
  <c r="H541" i="1"/>
  <c r="D543" i="1"/>
  <c r="E543" i="1"/>
  <c r="F543" i="1"/>
  <c r="G543" i="1"/>
  <c r="H543" i="1"/>
  <c r="D544" i="1"/>
  <c r="E544" i="1"/>
  <c r="F544" i="1"/>
  <c r="G544" i="1"/>
  <c r="H544" i="1"/>
  <c r="D542" i="1"/>
  <c r="E542" i="1"/>
  <c r="F542" i="1"/>
  <c r="G542" i="1"/>
  <c r="H542" i="1"/>
  <c r="D537" i="1"/>
  <c r="E537" i="1"/>
  <c r="F537" i="1"/>
  <c r="G537" i="1"/>
  <c r="H537" i="1"/>
</calcChain>
</file>

<file path=xl/sharedStrings.xml><?xml version="1.0" encoding="utf-8"?>
<sst xmlns="http://schemas.openxmlformats.org/spreadsheetml/2006/main" count="15" uniqueCount="15">
  <si>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</si>
  <si>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</si>
  <si>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</si>
  <si>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</si>
  <si>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</si>
  <si>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</si>
  <si>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</si>
  <si>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</si>
  <si>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</si>
  <si>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</si>
  <si>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</si>
  <si>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10296344796610,35</t>
  </si>
  <si>
    <t xml:space="preserve"> Отчет об остатках на балансовых и внебалансовых счетах банков второго уровня</t>
  </si>
  <si>
    <t>АО 'KASPI BANK'</t>
  </si>
  <si>
    <t>за 28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</si>
</sst>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18" fillId="0" borderId="0" xfId="0" applyFont="1"/>
    <xf numFmtId="4" fontId="18" fillId="0" borderId="0" xfId="0" applyNumberFormat="1" applyFont="1" applyAlignment="1">
      <alignment horizontal="right"/>
    </xf>
    <xf numFmtId="14" fontId="18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4"/>
  <sheetViews>
    <sheetView tabSelected="1" workbookViewId="0"/>
  </sheetViews>
  <sheetFormatPr defaultRowHeight="15" x14ac:dyDescent="0.25"/>
  <cols>
    <col min="2" max="2" width="13.5703125" bestFit="1" customWidth="1"/>
    <col min="9" max="9" width="17.85546875" style="2" bestFit="1" customWidth="1"/>
  </cols>
  <sheetData>
    <row r="1" spans="1:9" x14ac:dyDescent="0.25">
      <c r="E1" s="1" t="s">
        <v>12</v>
      </c>
      <c r="I1"/>
    </row>
    <row r="2" spans="1:9" x14ac:dyDescent="0.25">
      <c r="E2" s="1" t="s">
        <v>13</v>
      </c>
      <c r="I2"/>
    </row>
    <row r="3" spans="1:9" x14ac:dyDescent="0.25">
      <c r="E3" s="1" t="s">
        <v>14</v>
      </c>
      <c r="I3"/>
    </row>
    <row r="6" spans="1:9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8</v>
      </c>
    </row>
    <row r="7" spans="1:9" x14ac:dyDescent="0.25">
      <c r="A7" s="3">
        <v>42</v>
      </c>
      <c r="B7" s="5">
        <v>45471</v>
      </c>
      <c r="C7" s="3">
        <v>19</v>
      </c>
      <c r="D7" s="3" t="str">
        <f>"1001"</f>
        <v>1001</v>
      </c>
      <c r="E7" s="3" t="str">
        <f>"Наличность в кассе"</f>
        <v>Наличность в кассе</v>
      </c>
      <c r="F7" s="3" t="str">
        <f>"2"</f>
        <v>2</v>
      </c>
      <c r="G7" s="3" t="str">
        <f>"3"</f>
        <v>3</v>
      </c>
      <c r="H7" s="3" t="str">
        <f>"3"</f>
        <v>3</v>
      </c>
      <c r="I7" s="4">
        <v>12411819.560000001</v>
      </c>
    </row>
    <row r="8" spans="1:9" x14ac:dyDescent="0.25">
      <c r="A8" s="3">
        <v>44</v>
      </c>
      <c r="B8" s="5">
        <v>45471</v>
      </c>
      <c r="C8" s="3">
        <v>19</v>
      </c>
      <c r="D8" s="3" t="str">
        <f>"1001"</f>
        <v>1001</v>
      </c>
      <c r="E8" s="3" t="str">
        <f>"Наличность в кассе"</f>
        <v>Наличность в кассе</v>
      </c>
      <c r="F8" s="3" t="str">
        <f>"1"</f>
        <v>1</v>
      </c>
      <c r="G8" s="3" t="str">
        <f t="shared" ref="G8:G17" si="0">"3"</f>
        <v>3</v>
      </c>
      <c r="H8" s="3" t="str">
        <f>"1"</f>
        <v>1</v>
      </c>
      <c r="I8" s="4">
        <v>12977851002</v>
      </c>
    </row>
    <row r="9" spans="1:9" x14ac:dyDescent="0.25">
      <c r="A9" s="3">
        <v>60</v>
      </c>
      <c r="B9" s="5">
        <v>45471</v>
      </c>
      <c r="C9" s="3">
        <v>19</v>
      </c>
      <c r="D9" s="3" t="str">
        <f>"1001"</f>
        <v>1001</v>
      </c>
      <c r="E9" s="3" t="str">
        <f>"Наличность в кассе"</f>
        <v>Наличность в кассе</v>
      </c>
      <c r="F9" s="3" t="str">
        <f>"2"</f>
        <v>2</v>
      </c>
      <c r="G9" s="3" t="str">
        <f t="shared" si="0"/>
        <v>3</v>
      </c>
      <c r="H9" s="3" t="str">
        <f>"2"</f>
        <v>2</v>
      </c>
      <c r="I9" s="4">
        <v>57655653653.690002</v>
      </c>
    </row>
    <row r="10" spans="1:9" x14ac:dyDescent="0.25">
      <c r="A10" s="3">
        <v>12</v>
      </c>
      <c r="B10" s="5">
        <v>45471</v>
      </c>
      <c r="C10" s="3">
        <v>19</v>
      </c>
      <c r="D10" s="3" t="str">
        <f>"1002"</f>
        <v>1002</v>
      </c>
      <c r="E10" s="3" t="str">
        <f>"Банкноты и монеты в пути"</f>
        <v>Банкноты и монеты в пути</v>
      </c>
      <c r="F10" s="3" t="str">
        <f>"1"</f>
        <v>1</v>
      </c>
      <c r="G10" s="3" t="str">
        <f t="shared" si="0"/>
        <v>3</v>
      </c>
      <c r="H10" s="3" t="str">
        <f>"1"</f>
        <v>1</v>
      </c>
      <c r="I10" s="4">
        <v>42026208152</v>
      </c>
    </row>
    <row r="11" spans="1:9" x14ac:dyDescent="0.25">
      <c r="A11" s="3">
        <v>27</v>
      </c>
      <c r="B11" s="5">
        <v>45471</v>
      </c>
      <c r="C11" s="3">
        <v>19</v>
      </c>
      <c r="D11" s="3" t="str">
        <f>"1002"</f>
        <v>1002</v>
      </c>
      <c r="E11" s="3" t="str">
        <f>"Банкноты и монеты в пути"</f>
        <v>Банкноты и монеты в пути</v>
      </c>
      <c r="F11" s="3" t="str">
        <f>"2"</f>
        <v>2</v>
      </c>
      <c r="G11" s="3" t="str">
        <f t="shared" si="0"/>
        <v>3</v>
      </c>
      <c r="H11" s="3" t="str">
        <f>"2"</f>
        <v>2</v>
      </c>
      <c r="I11" s="4">
        <v>10316494728.540001</v>
      </c>
    </row>
    <row r="12" spans="1:9" x14ac:dyDescent="0.25">
      <c r="A12" s="3">
        <v>2</v>
      </c>
      <c r="B12" s="5">
        <v>45471</v>
      </c>
      <c r="C12" s="3">
        <v>19</v>
      </c>
      <c r="D12" s="3" t="str">
        <f>"1005"</f>
        <v>1005</v>
      </c>
      <c r="E12" s="3" t="str">
        <f>"Наличность в банкоматах и электронных терминалах"</f>
        <v>Наличность в банкоматах и электронных терминалах</v>
      </c>
      <c r="F12" s="3" t="str">
        <f>"2"</f>
        <v>2</v>
      </c>
      <c r="G12" s="3" t="str">
        <f t="shared" si="0"/>
        <v>3</v>
      </c>
      <c r="H12" s="3" t="str">
        <f>"2"</f>
        <v>2</v>
      </c>
      <c r="I12" s="4">
        <v>17916894.379999999</v>
      </c>
    </row>
    <row r="13" spans="1:9" x14ac:dyDescent="0.25">
      <c r="A13" s="3">
        <v>14</v>
      </c>
      <c r="B13" s="5">
        <v>45471</v>
      </c>
      <c r="C13" s="3">
        <v>19</v>
      </c>
      <c r="D13" s="3" t="str">
        <f>"1005"</f>
        <v>1005</v>
      </c>
      <c r="E13" s="3" t="str">
        <f>"Наличность в банкоматах и электронных терминалах"</f>
        <v>Наличность в банкоматах и электронных терминалах</v>
      </c>
      <c r="F13" s="3" t="str">
        <f>"1"</f>
        <v>1</v>
      </c>
      <c r="G13" s="3" t="str">
        <f t="shared" si="0"/>
        <v>3</v>
      </c>
      <c r="H13" s="3" t="str">
        <f>"1"</f>
        <v>1</v>
      </c>
      <c r="I13" s="4">
        <v>77553858700</v>
      </c>
    </row>
    <row r="14" spans="1:9" x14ac:dyDescent="0.25">
      <c r="A14" s="3">
        <v>4</v>
      </c>
      <c r="B14" s="5">
        <v>45471</v>
      </c>
      <c r="C14" s="3">
        <v>19</v>
      </c>
      <c r="D14" s="3" t="str">
        <f>"1051"</f>
        <v>1051</v>
      </c>
      <c r="E14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3" t="str">
        <f>"1"</f>
        <v>1</v>
      </c>
      <c r="G14" s="3" t="str">
        <f t="shared" si="0"/>
        <v>3</v>
      </c>
      <c r="H14" s="3" t="str">
        <f>"3"</f>
        <v>3</v>
      </c>
      <c r="I14" s="4">
        <v>5530000</v>
      </c>
    </row>
    <row r="15" spans="1:9" x14ac:dyDescent="0.25">
      <c r="A15" s="3">
        <v>22</v>
      </c>
      <c r="B15" s="5">
        <v>45471</v>
      </c>
      <c r="C15" s="3">
        <v>19</v>
      </c>
      <c r="D15" s="3" t="str">
        <f>"1051"</f>
        <v>1051</v>
      </c>
      <c r="E15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3" t="str">
        <f>"1"</f>
        <v>1</v>
      </c>
      <c r="G15" s="3" t="str">
        <f t="shared" si="0"/>
        <v>3</v>
      </c>
      <c r="H15" s="3" t="str">
        <f>"2"</f>
        <v>2</v>
      </c>
      <c r="I15" s="4">
        <v>357282995.92000002</v>
      </c>
    </row>
    <row r="16" spans="1:9" x14ac:dyDescent="0.25">
      <c r="A16" s="3">
        <v>29</v>
      </c>
      <c r="B16" s="5">
        <v>45471</v>
      </c>
      <c r="C16" s="3">
        <v>19</v>
      </c>
      <c r="D16" s="3" t="str">
        <f>"1051"</f>
        <v>1051</v>
      </c>
      <c r="E16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3" t="str">
        <f>"1"</f>
        <v>1</v>
      </c>
      <c r="G16" s="3" t="str">
        <f t="shared" si="0"/>
        <v>3</v>
      </c>
      <c r="H16" s="3" t="str">
        <f>"1"</f>
        <v>1</v>
      </c>
      <c r="I16" s="4">
        <v>26787471899.66</v>
      </c>
    </row>
    <row r="17" spans="1:9" x14ac:dyDescent="0.25">
      <c r="A17" s="3">
        <v>1</v>
      </c>
      <c r="B17" s="5">
        <v>45471</v>
      </c>
      <c r="C17" s="3">
        <v>19</v>
      </c>
      <c r="D17" s="3" t="str">
        <f>"1052"</f>
        <v>1052</v>
      </c>
      <c r="E17" s="3" t="str">
        <f>"Корреспондентские счета в других банках"</f>
        <v>Корреспондентские счета в других банках</v>
      </c>
      <c r="F17" s="3" t="str">
        <f>"2"</f>
        <v>2</v>
      </c>
      <c r="G17" s="3" t="str">
        <f t="shared" si="0"/>
        <v>3</v>
      </c>
      <c r="H17" s="3" t="str">
        <f>"3"</f>
        <v>3</v>
      </c>
      <c r="I17" s="4">
        <v>281014182.91000003</v>
      </c>
    </row>
    <row r="18" spans="1:9" x14ac:dyDescent="0.25">
      <c r="A18" s="3">
        <v>20</v>
      </c>
      <c r="B18" s="5">
        <v>45471</v>
      </c>
      <c r="C18" s="3">
        <v>19</v>
      </c>
      <c r="D18" s="3" t="str">
        <f>"1052"</f>
        <v>1052</v>
      </c>
      <c r="E18" s="3" t="str">
        <f>"Корреспондентские счета в других банках"</f>
        <v>Корреспондентские счета в других банках</v>
      </c>
      <c r="F18" s="3" t="str">
        <f>"1"</f>
        <v>1</v>
      </c>
      <c r="G18" s="3" t="str">
        <f>"4"</f>
        <v>4</v>
      </c>
      <c r="H18" s="3" t="str">
        <f>"1"</f>
        <v>1</v>
      </c>
      <c r="I18" s="4">
        <v>17424.099999999999</v>
      </c>
    </row>
    <row r="19" spans="1:9" x14ac:dyDescent="0.25">
      <c r="A19" s="3">
        <v>31</v>
      </c>
      <c r="B19" s="5">
        <v>45471</v>
      </c>
      <c r="C19" s="3">
        <v>19</v>
      </c>
      <c r="D19" s="3" t="str">
        <f>"1052"</f>
        <v>1052</v>
      </c>
      <c r="E19" s="3" t="str">
        <f>"Корреспондентские счета в других банках"</f>
        <v>Корреспондентские счета в других банках</v>
      </c>
      <c r="F19" s="3" t="str">
        <f>"1"</f>
        <v>1</v>
      </c>
      <c r="G19" s="3" t="str">
        <f>"4"</f>
        <v>4</v>
      </c>
      <c r="H19" s="3" t="str">
        <f>"2"</f>
        <v>2</v>
      </c>
      <c r="I19" s="4">
        <v>1050004120.64</v>
      </c>
    </row>
    <row r="20" spans="1:9" x14ac:dyDescent="0.25">
      <c r="A20" s="3">
        <v>35</v>
      </c>
      <c r="B20" s="5">
        <v>45471</v>
      </c>
      <c r="C20" s="3">
        <v>19</v>
      </c>
      <c r="D20" s="3" t="str">
        <f>"1052"</f>
        <v>1052</v>
      </c>
      <c r="E20" s="3" t="str">
        <f>"Корреспондентские счета в других банках"</f>
        <v>Корреспондентские счета в других банках</v>
      </c>
      <c r="F20" s="3" t="str">
        <f>"2"</f>
        <v>2</v>
      </c>
      <c r="G20" s="3" t="str">
        <f>"4"</f>
        <v>4</v>
      </c>
      <c r="H20" s="3" t="str">
        <f>"2"</f>
        <v>2</v>
      </c>
      <c r="I20" s="4">
        <v>112966721361.77</v>
      </c>
    </row>
    <row r="21" spans="1:9" x14ac:dyDescent="0.25">
      <c r="A21" s="3">
        <v>55</v>
      </c>
      <c r="B21" s="5">
        <v>45471</v>
      </c>
      <c r="C21" s="3">
        <v>19</v>
      </c>
      <c r="D21" s="3" t="str">
        <f>"1052"</f>
        <v>1052</v>
      </c>
      <c r="E21" s="3" t="str">
        <f>"Корреспондентские счета в других банках"</f>
        <v>Корреспондентские счета в других банках</v>
      </c>
      <c r="F21" s="3" t="str">
        <f>"2"</f>
        <v>2</v>
      </c>
      <c r="G21" s="3" t="str">
        <f>"4"</f>
        <v>4</v>
      </c>
      <c r="H21" s="3" t="str">
        <f>"3"</f>
        <v>3</v>
      </c>
      <c r="I21" s="4">
        <v>1617948529.03</v>
      </c>
    </row>
    <row r="22" spans="1:9" x14ac:dyDescent="0.25">
      <c r="A22" s="3">
        <v>3</v>
      </c>
      <c r="B22" s="5">
        <v>45471</v>
      </c>
      <c r="C22" s="3">
        <v>19</v>
      </c>
      <c r="D22" s="3" t="str">
        <f t="shared" ref="D22:D27" si="1">"1054"</f>
        <v>1054</v>
      </c>
      <c r="E22" s="3" t="str">
        <f t="shared" ref="E22:E27" si="2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3" t="str">
        <f>"1"</f>
        <v>1</v>
      </c>
      <c r="G22" s="3" t="str">
        <f>"3"</f>
        <v>3</v>
      </c>
      <c r="H22" s="3" t="str">
        <f>"1"</f>
        <v>1</v>
      </c>
      <c r="I22" s="4">
        <v>-120543.62</v>
      </c>
    </row>
    <row r="23" spans="1:9" x14ac:dyDescent="0.25">
      <c r="A23" s="3">
        <v>5</v>
      </c>
      <c r="B23" s="5">
        <v>45471</v>
      </c>
      <c r="C23" s="3">
        <v>19</v>
      </c>
      <c r="D23" s="3" t="str">
        <f t="shared" si="1"/>
        <v>1054</v>
      </c>
      <c r="E23" s="3" t="str">
        <f t="shared" si="2"/>
        <v>Резервы (провизии) по корреспондентским счетам в других банках и текущим счетам ипотечных организаций</v>
      </c>
      <c r="F23" s="3" t="str">
        <f>"1"</f>
        <v>1</v>
      </c>
      <c r="G23" s="3" t="str">
        <f>"3"</f>
        <v>3</v>
      </c>
      <c r="H23" s="3" t="str">
        <f>"2"</f>
        <v>2</v>
      </c>
      <c r="I23" s="4">
        <v>-1566.03</v>
      </c>
    </row>
    <row r="24" spans="1:9" x14ac:dyDescent="0.25">
      <c r="A24" s="3">
        <v>7</v>
      </c>
      <c r="B24" s="5">
        <v>45471</v>
      </c>
      <c r="C24" s="3">
        <v>19</v>
      </c>
      <c r="D24" s="3" t="str">
        <f t="shared" si="1"/>
        <v>1054</v>
      </c>
      <c r="E24" s="3" t="str">
        <f t="shared" si="2"/>
        <v>Резервы (провизии) по корреспондентским счетам в других банках и текущим счетам ипотечных организаций</v>
      </c>
      <c r="F24" s="3" t="str">
        <f>"2"</f>
        <v>2</v>
      </c>
      <c r="G24" s="3" t="str">
        <f>"3"</f>
        <v>3</v>
      </c>
      <c r="H24" s="3" t="str">
        <f>"3"</f>
        <v>3</v>
      </c>
      <c r="I24" s="4">
        <v>-11330.64</v>
      </c>
    </row>
    <row r="25" spans="1:9" x14ac:dyDescent="0.25">
      <c r="A25" s="3">
        <v>21</v>
      </c>
      <c r="B25" s="5">
        <v>45471</v>
      </c>
      <c r="C25" s="3">
        <v>19</v>
      </c>
      <c r="D25" s="3" t="str">
        <f t="shared" si="1"/>
        <v>1054</v>
      </c>
      <c r="E25" s="3" t="str">
        <f t="shared" si="2"/>
        <v>Резервы (провизии) по корреспондентским счетам в других банках и текущим счетам ипотечных организаций</v>
      </c>
      <c r="F25" s="3" t="str">
        <f>"1"</f>
        <v>1</v>
      </c>
      <c r="G25" s="3" t="str">
        <f>"4"</f>
        <v>4</v>
      </c>
      <c r="H25" s="3" t="str">
        <f>"2"</f>
        <v>2</v>
      </c>
      <c r="I25" s="4">
        <v>-15043.21</v>
      </c>
    </row>
    <row r="26" spans="1:9" x14ac:dyDescent="0.25">
      <c r="A26" s="3">
        <v>37</v>
      </c>
      <c r="B26" s="5">
        <v>45471</v>
      </c>
      <c r="C26" s="3">
        <v>19</v>
      </c>
      <c r="D26" s="3" t="str">
        <f t="shared" si="1"/>
        <v>1054</v>
      </c>
      <c r="E26" s="3" t="str">
        <f t="shared" si="2"/>
        <v>Резервы (провизии) по корреспондентским счетам в других банках и текущим счетам ипотечных организаций</v>
      </c>
      <c r="F26" s="3" t="str">
        <f>"2"</f>
        <v>2</v>
      </c>
      <c r="G26" s="3" t="str">
        <f>"4"</f>
        <v>4</v>
      </c>
      <c r="H26" s="3" t="str">
        <f>"2"</f>
        <v>2</v>
      </c>
      <c r="I26" s="4">
        <v>-986266.23</v>
      </c>
    </row>
    <row r="27" spans="1:9" x14ac:dyDescent="0.25">
      <c r="A27" s="3">
        <v>50</v>
      </c>
      <c r="B27" s="5">
        <v>45471</v>
      </c>
      <c r="C27" s="3">
        <v>19</v>
      </c>
      <c r="D27" s="3" t="str">
        <f t="shared" si="1"/>
        <v>1054</v>
      </c>
      <c r="E27" s="3" t="str">
        <f t="shared" si="2"/>
        <v>Резервы (провизии) по корреспондентским счетам в других банках и текущим счетам ипотечных организаций</v>
      </c>
      <c r="F27" s="3" t="str">
        <f>"2"</f>
        <v>2</v>
      </c>
      <c r="G27" s="3" t="str">
        <f>"4"</f>
        <v>4</v>
      </c>
      <c r="H27" s="3" t="str">
        <f>"3"</f>
        <v>3</v>
      </c>
      <c r="I27" s="4">
        <v>-54294.94</v>
      </c>
    </row>
    <row r="28" spans="1:9" x14ac:dyDescent="0.25">
      <c r="A28" s="3">
        <v>9</v>
      </c>
      <c r="B28" s="5">
        <v>45471</v>
      </c>
      <c r="C28" s="3">
        <v>19</v>
      </c>
      <c r="D28" s="3" t="str">
        <f>"1101"</f>
        <v>1101</v>
      </c>
      <c r="E28" s="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" s="3" t="str">
        <f>"1"</f>
        <v>1</v>
      </c>
      <c r="G28" s="3" t="str">
        <f>"3"</f>
        <v>3</v>
      </c>
      <c r="H28" s="3" t="str">
        <f>"1"</f>
        <v>1</v>
      </c>
      <c r="I28" s="4">
        <v>82000000000</v>
      </c>
    </row>
    <row r="29" spans="1:9" x14ac:dyDescent="0.25">
      <c r="A29" s="3">
        <v>6</v>
      </c>
      <c r="B29" s="5">
        <v>45471</v>
      </c>
      <c r="C29" s="3">
        <v>19</v>
      </c>
      <c r="D29" s="3" t="str">
        <f>"1103"</f>
        <v>1103</v>
      </c>
      <c r="E29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9" s="3" t="str">
        <f>"1"</f>
        <v>1</v>
      </c>
      <c r="G29" s="3" t="str">
        <f>"3"</f>
        <v>3</v>
      </c>
      <c r="H29" s="3" t="str">
        <f>"1"</f>
        <v>1</v>
      </c>
      <c r="I29" s="4">
        <v>100000000000</v>
      </c>
    </row>
    <row r="30" spans="1:9" x14ac:dyDescent="0.25">
      <c r="A30" s="3">
        <v>10</v>
      </c>
      <c r="B30" s="5">
        <v>45471</v>
      </c>
      <c r="C30" s="3">
        <v>19</v>
      </c>
      <c r="D30" s="3" t="str">
        <f>"1253"</f>
        <v>1253</v>
      </c>
      <c r="E30" s="3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0" s="3" t="str">
        <f>"2"</f>
        <v>2</v>
      </c>
      <c r="G30" s="3" t="str">
        <f>"4"</f>
        <v>4</v>
      </c>
      <c r="H30" s="3" t="str">
        <f>"2"</f>
        <v>2</v>
      </c>
      <c r="I30" s="4">
        <v>47146000000</v>
      </c>
    </row>
    <row r="31" spans="1:9" x14ac:dyDescent="0.25">
      <c r="A31" s="3">
        <v>38</v>
      </c>
      <c r="B31" s="5">
        <v>45471</v>
      </c>
      <c r="C31" s="3">
        <v>19</v>
      </c>
      <c r="D31" s="3" t="str">
        <f>"1254"</f>
        <v>1254</v>
      </c>
      <c r="E31" s="3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31" s="3" t="str">
        <f>"2"</f>
        <v>2</v>
      </c>
      <c r="G31" s="3" t="str">
        <f>"4"</f>
        <v>4</v>
      </c>
      <c r="H31" s="3" t="str">
        <f>"2"</f>
        <v>2</v>
      </c>
      <c r="I31" s="4">
        <v>47146000000</v>
      </c>
    </row>
    <row r="32" spans="1:9" x14ac:dyDescent="0.25">
      <c r="A32" s="3">
        <v>8</v>
      </c>
      <c r="B32" s="5">
        <v>45471</v>
      </c>
      <c r="C32" s="3">
        <v>19</v>
      </c>
      <c r="D32" s="3" t="str">
        <f>"1259"</f>
        <v>1259</v>
      </c>
      <c r="E32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2" s="3" t="str">
        <f>"1"</f>
        <v>1</v>
      </c>
      <c r="G32" s="3" t="str">
        <f>"3"</f>
        <v>3</v>
      </c>
      <c r="H32" s="3" t="str">
        <f>"1"</f>
        <v>1</v>
      </c>
      <c r="I32" s="4">
        <v>-615600.84</v>
      </c>
    </row>
    <row r="33" spans="1:9" x14ac:dyDescent="0.25">
      <c r="A33" s="3">
        <v>25</v>
      </c>
      <c r="B33" s="5">
        <v>45471</v>
      </c>
      <c r="C33" s="3">
        <v>19</v>
      </c>
      <c r="D33" s="3" t="str">
        <f>"1259"</f>
        <v>1259</v>
      </c>
      <c r="E33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s="3" t="str">
        <f>"2"</f>
        <v>2</v>
      </c>
      <c r="G33" s="3" t="str">
        <f>"4"</f>
        <v>4</v>
      </c>
      <c r="H33" s="3" t="str">
        <f>"2"</f>
        <v>2</v>
      </c>
      <c r="I33" s="4">
        <v>-5935719.0999999996</v>
      </c>
    </row>
    <row r="34" spans="1:9" x14ac:dyDescent="0.25">
      <c r="A34" s="3">
        <v>33</v>
      </c>
      <c r="B34" s="5">
        <v>45471</v>
      </c>
      <c r="C34" s="3">
        <v>19</v>
      </c>
      <c r="D34" s="3" t="str">
        <f>"1264"</f>
        <v>1264</v>
      </c>
      <c r="E34" s="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4" s="3" t="str">
        <f>"2"</f>
        <v>2</v>
      </c>
      <c r="G34" s="3" t="str">
        <f>"4"</f>
        <v>4</v>
      </c>
      <c r="H34" s="3" t="str">
        <f>"2"</f>
        <v>2</v>
      </c>
      <c r="I34" s="4">
        <v>33667020733.709999</v>
      </c>
    </row>
    <row r="35" spans="1:9" x14ac:dyDescent="0.25">
      <c r="A35" s="3">
        <v>24</v>
      </c>
      <c r="B35" s="5">
        <v>45471</v>
      </c>
      <c r="C35" s="3">
        <v>19</v>
      </c>
      <c r="D35" s="3" t="str">
        <f>"1401"</f>
        <v>1401</v>
      </c>
      <c r="E35" s="3" t="str">
        <f>"Займы овердрафт, предоставленные клиентам"</f>
        <v>Займы овердрафт, предоставленные клиентам</v>
      </c>
      <c r="F35" s="3" t="str">
        <f>"1"</f>
        <v>1</v>
      </c>
      <c r="G35" s="3" t="str">
        <f>"9"</f>
        <v>9</v>
      </c>
      <c r="H35" s="3" t="str">
        <f t="shared" ref="H35:H46" si="3">"1"</f>
        <v>1</v>
      </c>
      <c r="I35" s="4">
        <v>30835409196.34</v>
      </c>
    </row>
    <row r="36" spans="1:9" x14ac:dyDescent="0.25">
      <c r="A36" s="3">
        <v>40</v>
      </c>
      <c r="B36" s="5">
        <v>45471</v>
      </c>
      <c r="C36" s="3">
        <v>19</v>
      </c>
      <c r="D36" s="3" t="str">
        <f>"1401"</f>
        <v>1401</v>
      </c>
      <c r="E36" s="3" t="str">
        <f>"Займы овердрафт, предоставленные клиентам"</f>
        <v>Займы овердрафт, предоставленные клиентам</v>
      </c>
      <c r="F36" s="3" t="str">
        <f>"2"</f>
        <v>2</v>
      </c>
      <c r="G36" s="3" t="str">
        <f>"9"</f>
        <v>9</v>
      </c>
      <c r="H36" s="3" t="str">
        <f t="shared" si="3"/>
        <v>1</v>
      </c>
      <c r="I36" s="4">
        <v>2966564.11</v>
      </c>
    </row>
    <row r="37" spans="1:9" x14ac:dyDescent="0.25">
      <c r="A37" s="3">
        <v>11</v>
      </c>
      <c r="B37" s="5">
        <v>45471</v>
      </c>
      <c r="C37" s="3">
        <v>19</v>
      </c>
      <c r="D37" s="3" t="str">
        <f>"1403"</f>
        <v>1403</v>
      </c>
      <c r="E37" s="3" t="str">
        <f>"Счета по кредитным карточкам клиентов"</f>
        <v>Счета по кредитным карточкам клиентов</v>
      </c>
      <c r="F37" s="3" t="str">
        <f>"1"</f>
        <v>1</v>
      </c>
      <c r="G37" s="3" t="str">
        <f>"7"</f>
        <v>7</v>
      </c>
      <c r="H37" s="3" t="str">
        <f t="shared" si="3"/>
        <v>1</v>
      </c>
      <c r="I37" s="4">
        <v>31039695973.139999</v>
      </c>
    </row>
    <row r="38" spans="1:9" x14ac:dyDescent="0.25">
      <c r="A38" s="3">
        <v>28</v>
      </c>
      <c r="B38" s="5">
        <v>45471</v>
      </c>
      <c r="C38" s="3">
        <v>19</v>
      </c>
      <c r="D38" s="3" t="str">
        <f>"1403"</f>
        <v>1403</v>
      </c>
      <c r="E38" s="3" t="str">
        <f>"Счета по кредитным карточкам клиентов"</f>
        <v>Счета по кредитным карточкам клиентов</v>
      </c>
      <c r="F38" s="3" t="str">
        <f>"1"</f>
        <v>1</v>
      </c>
      <c r="G38" s="3" t="str">
        <f>"9"</f>
        <v>9</v>
      </c>
      <c r="H38" s="3" t="str">
        <f t="shared" si="3"/>
        <v>1</v>
      </c>
      <c r="I38" s="4">
        <v>4746844394459.9697</v>
      </c>
    </row>
    <row r="39" spans="1:9" x14ac:dyDescent="0.25">
      <c r="A39" s="3">
        <v>51</v>
      </c>
      <c r="B39" s="5">
        <v>45471</v>
      </c>
      <c r="C39" s="3">
        <v>19</v>
      </c>
      <c r="D39" s="3" t="str">
        <f>"1403"</f>
        <v>1403</v>
      </c>
      <c r="E39" s="3" t="str">
        <f>"Счета по кредитным карточкам клиентов"</f>
        <v>Счета по кредитным карточкам клиентов</v>
      </c>
      <c r="F39" s="3" t="str">
        <f>"2"</f>
        <v>2</v>
      </c>
      <c r="G39" s="3" t="str">
        <f>"9"</f>
        <v>9</v>
      </c>
      <c r="H39" s="3" t="str">
        <f t="shared" si="3"/>
        <v>1</v>
      </c>
      <c r="I39" s="4">
        <v>123105698.66</v>
      </c>
    </row>
    <row r="40" spans="1:9" x14ac:dyDescent="0.25">
      <c r="A40" s="3">
        <v>36</v>
      </c>
      <c r="B40" s="5">
        <v>45471</v>
      </c>
      <c r="C40" s="3">
        <v>19</v>
      </c>
      <c r="D40" s="3" t="str">
        <f>"1411"</f>
        <v>1411</v>
      </c>
      <c r="E40" s="3" t="str">
        <f>"Краткосрочные займы, предоставленные клиентам"</f>
        <v>Краткосрочные займы, предоставленные клиентам</v>
      </c>
      <c r="F40" s="3" t="str">
        <f>"1"</f>
        <v>1</v>
      </c>
      <c r="G40" s="3" t="str">
        <f>"9"</f>
        <v>9</v>
      </c>
      <c r="H40" s="3" t="str">
        <f t="shared" si="3"/>
        <v>1</v>
      </c>
      <c r="I40" s="4">
        <v>829584893.82000005</v>
      </c>
    </row>
    <row r="41" spans="1:9" x14ac:dyDescent="0.25">
      <c r="A41" s="3">
        <v>48</v>
      </c>
      <c r="B41" s="5">
        <v>45471</v>
      </c>
      <c r="C41" s="3">
        <v>19</v>
      </c>
      <c r="D41" s="3" t="str">
        <f>"1411"</f>
        <v>1411</v>
      </c>
      <c r="E41" s="3" t="str">
        <f>"Краткосрочные займы, предоставленные клиентам"</f>
        <v>Краткосрочные займы, предоставленные клиентам</v>
      </c>
      <c r="F41" s="3" t="str">
        <f>"1"</f>
        <v>1</v>
      </c>
      <c r="G41" s="3" t="str">
        <f>"7"</f>
        <v>7</v>
      </c>
      <c r="H41" s="3" t="str">
        <f t="shared" si="3"/>
        <v>1</v>
      </c>
      <c r="I41" s="4">
        <v>504340826.99000001</v>
      </c>
    </row>
    <row r="42" spans="1:9" x14ac:dyDescent="0.25">
      <c r="A42" s="3">
        <v>52</v>
      </c>
      <c r="B42" s="5">
        <v>45471</v>
      </c>
      <c r="C42" s="3">
        <v>19</v>
      </c>
      <c r="D42" s="3" t="str">
        <f>"1417"</f>
        <v>1417</v>
      </c>
      <c r="E42" s="3" t="str">
        <f>"Долгосрочные займы, предоставленные клиентам"</f>
        <v>Долгосрочные займы, предоставленные клиентам</v>
      </c>
      <c r="F42" s="3" t="str">
        <f>"1"</f>
        <v>1</v>
      </c>
      <c r="G42" s="3" t="str">
        <f>"7"</f>
        <v>7</v>
      </c>
      <c r="H42" s="3" t="str">
        <f t="shared" si="3"/>
        <v>1</v>
      </c>
      <c r="I42" s="4">
        <v>26517447557.200001</v>
      </c>
    </row>
    <row r="43" spans="1:9" x14ac:dyDescent="0.25">
      <c r="A43" s="3">
        <v>54</v>
      </c>
      <c r="B43" s="5">
        <v>45471</v>
      </c>
      <c r="C43" s="3">
        <v>19</v>
      </c>
      <c r="D43" s="3" t="str">
        <f>"1417"</f>
        <v>1417</v>
      </c>
      <c r="E43" s="3" t="str">
        <f>"Долгосрочные займы, предоставленные клиентам"</f>
        <v>Долгосрочные займы, предоставленные клиентам</v>
      </c>
      <c r="F43" s="3" t="str">
        <f>"1"</f>
        <v>1</v>
      </c>
      <c r="G43" s="3" t="str">
        <f>"9"</f>
        <v>9</v>
      </c>
      <c r="H43" s="3" t="str">
        <f t="shared" si="3"/>
        <v>1</v>
      </c>
      <c r="I43" s="4">
        <v>16519553174.98</v>
      </c>
    </row>
    <row r="44" spans="1:9" x14ac:dyDescent="0.25">
      <c r="A44" s="3">
        <v>15</v>
      </c>
      <c r="B44" s="5">
        <v>45471</v>
      </c>
      <c r="C44" s="3">
        <v>19</v>
      </c>
      <c r="D44" s="3" t="str">
        <f>"1424"</f>
        <v>1424</v>
      </c>
      <c r="E44" s="3" t="str">
        <f>"Просроченная задолженность клиентов по займам"</f>
        <v>Просроченная задолженность клиентов по займам</v>
      </c>
      <c r="F44" s="3" t="str">
        <f>"1"</f>
        <v>1</v>
      </c>
      <c r="G44" s="3" t="str">
        <f>"7"</f>
        <v>7</v>
      </c>
      <c r="H44" s="3" t="str">
        <f t="shared" si="3"/>
        <v>1</v>
      </c>
      <c r="I44" s="4">
        <v>4455034687.5200005</v>
      </c>
    </row>
    <row r="45" spans="1:9" x14ac:dyDescent="0.25">
      <c r="A45" s="3">
        <v>18</v>
      </c>
      <c r="B45" s="5">
        <v>45471</v>
      </c>
      <c r="C45" s="3">
        <v>19</v>
      </c>
      <c r="D45" s="3" t="str">
        <f>"1424"</f>
        <v>1424</v>
      </c>
      <c r="E45" s="3" t="str">
        <f>"Просроченная задолженность клиентов по займам"</f>
        <v>Просроченная задолженность клиентов по займам</v>
      </c>
      <c r="F45" s="3" t="str">
        <f>"2"</f>
        <v>2</v>
      </c>
      <c r="G45" s="3" t="str">
        <f>"9"</f>
        <v>9</v>
      </c>
      <c r="H45" s="3" t="str">
        <f t="shared" si="3"/>
        <v>1</v>
      </c>
      <c r="I45" s="4">
        <v>15452630.41</v>
      </c>
    </row>
    <row r="46" spans="1:9" x14ac:dyDescent="0.25">
      <c r="A46" s="3">
        <v>23</v>
      </c>
      <c r="B46" s="5">
        <v>45471</v>
      </c>
      <c r="C46" s="3">
        <v>19</v>
      </c>
      <c r="D46" s="3" t="str">
        <f>"1424"</f>
        <v>1424</v>
      </c>
      <c r="E46" s="3" t="str">
        <f>"Просроченная задолженность клиентов по займам"</f>
        <v>Просроченная задолженность клиентов по займам</v>
      </c>
      <c r="F46" s="3" t="str">
        <f>"1"</f>
        <v>1</v>
      </c>
      <c r="G46" s="3" t="str">
        <f>"9"</f>
        <v>9</v>
      </c>
      <c r="H46" s="3" t="str">
        <f t="shared" si="3"/>
        <v>1</v>
      </c>
      <c r="I46" s="4">
        <v>264493482890.26999</v>
      </c>
    </row>
    <row r="47" spans="1:9" x14ac:dyDescent="0.25">
      <c r="A47" s="3">
        <v>41</v>
      </c>
      <c r="B47" s="5">
        <v>45471</v>
      </c>
      <c r="C47" s="3">
        <v>19</v>
      </c>
      <c r="D47" s="3" t="str">
        <f>"1424"</f>
        <v>1424</v>
      </c>
      <c r="E47" s="3" t="str">
        <f>"Просроченная задолженность клиентов по займам"</f>
        <v>Просроченная задолженность клиентов по займам</v>
      </c>
      <c r="F47" s="3" t="str">
        <f>"1"</f>
        <v>1</v>
      </c>
      <c r="G47" s="3" t="str">
        <f>"9"</f>
        <v>9</v>
      </c>
      <c r="H47" s="3" t="str">
        <f>"2"</f>
        <v>2</v>
      </c>
      <c r="I47" s="4">
        <v>68455209.379999995</v>
      </c>
    </row>
    <row r="48" spans="1:9" x14ac:dyDescent="0.25">
      <c r="A48" s="3">
        <v>13</v>
      </c>
      <c r="B48" s="5">
        <v>45471</v>
      </c>
      <c r="C48" s="3">
        <v>19</v>
      </c>
      <c r="D48" s="3" t="str">
        <f>"1428"</f>
        <v>1428</v>
      </c>
      <c r="E48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s="3" t="str">
        <f>"1"</f>
        <v>1</v>
      </c>
      <c r="G48" s="3" t="str">
        <f>"9"</f>
        <v>9</v>
      </c>
      <c r="H48" s="3" t="str">
        <f>"2"</f>
        <v>2</v>
      </c>
      <c r="I48" s="4">
        <v>-54986733.390000001</v>
      </c>
    </row>
    <row r="49" spans="1:9" x14ac:dyDescent="0.25">
      <c r="A49" s="3">
        <v>26</v>
      </c>
      <c r="B49" s="5">
        <v>45471</v>
      </c>
      <c r="C49" s="3">
        <v>19</v>
      </c>
      <c r="D49" s="3" t="str">
        <f>"1428"</f>
        <v>1428</v>
      </c>
      <c r="E49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s="3" t="str">
        <f>"1"</f>
        <v>1</v>
      </c>
      <c r="G49" s="3" t="str">
        <f>"7"</f>
        <v>7</v>
      </c>
      <c r="H49" s="3" t="str">
        <f t="shared" ref="H49:H57" si="4">"1"</f>
        <v>1</v>
      </c>
      <c r="I49" s="4">
        <v>-2643079421.75</v>
      </c>
    </row>
    <row r="50" spans="1:9" x14ac:dyDescent="0.25">
      <c r="A50" s="3">
        <v>34</v>
      </c>
      <c r="B50" s="5">
        <v>45471</v>
      </c>
      <c r="C50" s="3">
        <v>19</v>
      </c>
      <c r="D50" s="3" t="str">
        <f>"1428"</f>
        <v>1428</v>
      </c>
      <c r="E50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0" s="3" t="str">
        <f>"2"</f>
        <v>2</v>
      </c>
      <c r="G50" s="3" t="str">
        <f>"9"</f>
        <v>9</v>
      </c>
      <c r="H50" s="3" t="str">
        <f t="shared" si="4"/>
        <v>1</v>
      </c>
      <c r="I50" s="4">
        <v>-8039287.2199999997</v>
      </c>
    </row>
    <row r="51" spans="1:9" x14ac:dyDescent="0.25">
      <c r="A51" s="3">
        <v>39</v>
      </c>
      <c r="B51" s="5">
        <v>45471</v>
      </c>
      <c r="C51" s="3">
        <v>19</v>
      </c>
      <c r="D51" s="3" t="str">
        <f>"1428"</f>
        <v>1428</v>
      </c>
      <c r="E51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1" s="3" t="str">
        <f>"1"</f>
        <v>1</v>
      </c>
      <c r="G51" s="3" t="str">
        <f>"9"</f>
        <v>9</v>
      </c>
      <c r="H51" s="3" t="str">
        <f t="shared" si="4"/>
        <v>1</v>
      </c>
      <c r="I51" s="4">
        <v>-277767014438.33002</v>
      </c>
    </row>
    <row r="52" spans="1:9" x14ac:dyDescent="0.25">
      <c r="A52" s="3">
        <v>30</v>
      </c>
      <c r="B52" s="5">
        <v>45471</v>
      </c>
      <c r="C52" s="3">
        <v>19</v>
      </c>
      <c r="D52" s="3" t="str">
        <f>"1434"</f>
        <v>1434</v>
      </c>
      <c r="E52" s="3" t="str">
        <f>"Дисконт по займам, предоставленным клиентам"</f>
        <v>Дисконт по займам, предоставленным клиентам</v>
      </c>
      <c r="F52" s="3" t="str">
        <f>"1"</f>
        <v>1</v>
      </c>
      <c r="G52" s="3" t="str">
        <f>"9"</f>
        <v>9</v>
      </c>
      <c r="H52" s="3" t="str">
        <f t="shared" si="4"/>
        <v>1</v>
      </c>
      <c r="I52" s="4">
        <v>-48021047878.959999</v>
      </c>
    </row>
    <row r="53" spans="1:9" x14ac:dyDescent="0.25">
      <c r="A53" s="3">
        <v>49</v>
      </c>
      <c r="B53" s="5">
        <v>45471</v>
      </c>
      <c r="C53" s="3">
        <v>19</v>
      </c>
      <c r="D53" s="3" t="str">
        <f>"1434"</f>
        <v>1434</v>
      </c>
      <c r="E53" s="3" t="str">
        <f>"Дисконт по займам, предоставленным клиентам"</f>
        <v>Дисконт по займам, предоставленным клиентам</v>
      </c>
      <c r="F53" s="3" t="str">
        <f>"2"</f>
        <v>2</v>
      </c>
      <c r="G53" s="3" t="str">
        <f>"9"</f>
        <v>9</v>
      </c>
      <c r="H53" s="3" t="str">
        <f t="shared" si="4"/>
        <v>1</v>
      </c>
      <c r="I53" s="4">
        <v>-1769386.66</v>
      </c>
    </row>
    <row r="54" spans="1:9" x14ac:dyDescent="0.25">
      <c r="A54" s="3">
        <v>79</v>
      </c>
      <c r="B54" s="5">
        <v>45471</v>
      </c>
      <c r="C54" s="3">
        <v>19</v>
      </c>
      <c r="D54" s="3" t="str">
        <f>"1434"</f>
        <v>1434</v>
      </c>
      <c r="E54" s="3" t="str">
        <f>"Дисконт по займам, предоставленным клиентам"</f>
        <v>Дисконт по займам, предоставленным клиентам</v>
      </c>
      <c r="F54" s="3" t="str">
        <f>"1"</f>
        <v>1</v>
      </c>
      <c r="G54" s="3" t="str">
        <f>"7"</f>
        <v>7</v>
      </c>
      <c r="H54" s="3" t="str">
        <f t="shared" si="4"/>
        <v>1</v>
      </c>
      <c r="I54" s="4">
        <v>-281118361.33999997</v>
      </c>
    </row>
    <row r="55" spans="1:9" x14ac:dyDescent="0.25">
      <c r="A55" s="3">
        <v>16</v>
      </c>
      <c r="B55" s="5">
        <v>45471</v>
      </c>
      <c r="C55" s="3">
        <v>19</v>
      </c>
      <c r="D55" s="3" t="str">
        <f>"1435"</f>
        <v>1435</v>
      </c>
      <c r="E55" s="3" t="str">
        <f>"Премия по займам, предоставленным клиентам"</f>
        <v>Премия по займам, предоставленным клиентам</v>
      </c>
      <c r="F55" s="3" t="str">
        <f>"1"</f>
        <v>1</v>
      </c>
      <c r="G55" s="3" t="str">
        <f>"7"</f>
        <v>7</v>
      </c>
      <c r="H55" s="3" t="str">
        <f t="shared" si="4"/>
        <v>1</v>
      </c>
      <c r="I55" s="4">
        <v>1150137820.6600001</v>
      </c>
    </row>
    <row r="56" spans="1:9" x14ac:dyDescent="0.25">
      <c r="A56" s="3">
        <v>17</v>
      </c>
      <c r="B56" s="5">
        <v>45471</v>
      </c>
      <c r="C56" s="3">
        <v>19</v>
      </c>
      <c r="D56" s="3" t="str">
        <f>"1435"</f>
        <v>1435</v>
      </c>
      <c r="E56" s="3" t="str">
        <f>"Премия по займам, предоставленным клиентам"</f>
        <v>Премия по займам, предоставленным клиентам</v>
      </c>
      <c r="F56" s="3" t="str">
        <f>"2"</f>
        <v>2</v>
      </c>
      <c r="G56" s="3" t="str">
        <f>"9"</f>
        <v>9</v>
      </c>
      <c r="H56" s="3" t="str">
        <f t="shared" si="4"/>
        <v>1</v>
      </c>
      <c r="I56" s="4">
        <v>724739.81</v>
      </c>
    </row>
    <row r="57" spans="1:9" x14ac:dyDescent="0.25">
      <c r="A57" s="3">
        <v>32</v>
      </c>
      <c r="B57" s="5">
        <v>45471</v>
      </c>
      <c r="C57" s="3">
        <v>19</v>
      </c>
      <c r="D57" s="3" t="str">
        <f>"1435"</f>
        <v>1435</v>
      </c>
      <c r="E57" s="3" t="str">
        <f>"Премия по займам, предоставленным клиентам"</f>
        <v>Премия по займам, предоставленным клиентам</v>
      </c>
      <c r="F57" s="3" t="str">
        <f>"1"</f>
        <v>1</v>
      </c>
      <c r="G57" s="3" t="str">
        <f>"9"</f>
        <v>9</v>
      </c>
      <c r="H57" s="3" t="str">
        <f t="shared" si="4"/>
        <v>1</v>
      </c>
      <c r="I57" s="4">
        <v>22013034720.830002</v>
      </c>
    </row>
    <row r="58" spans="1:9" x14ac:dyDescent="0.25">
      <c r="A58" s="3">
        <v>19</v>
      </c>
      <c r="B58" s="5">
        <v>45471</v>
      </c>
      <c r="C58" s="3">
        <v>19</v>
      </c>
      <c r="D58" s="3" t="str">
        <f t="shared" ref="D58:D69" si="5">"1452"</f>
        <v>1452</v>
      </c>
      <c r="E58" s="3" t="str">
        <f t="shared" ref="E58:E69" si="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8" s="3" t="str">
        <f>"1"</f>
        <v>1</v>
      </c>
      <c r="G58" s="3" t="str">
        <f>"1"</f>
        <v>1</v>
      </c>
      <c r="H58" s="3" t="str">
        <f>"2"</f>
        <v>2</v>
      </c>
      <c r="I58" s="4">
        <v>12836556525.98</v>
      </c>
    </row>
    <row r="59" spans="1:9" x14ac:dyDescent="0.25">
      <c r="A59" s="3">
        <v>43</v>
      </c>
      <c r="B59" s="5">
        <v>45471</v>
      </c>
      <c r="C59" s="3">
        <v>19</v>
      </c>
      <c r="D59" s="3" t="str">
        <f t="shared" si="5"/>
        <v>1452</v>
      </c>
      <c r="E59" s="3" t="str">
        <f t="shared" si="6"/>
        <v>Ценные бумаги, учитываемые по справедливой стоимости через прочий совокупный доход</v>
      </c>
      <c r="F59" s="3" t="str">
        <f>"1"</f>
        <v>1</v>
      </c>
      <c r="G59" s="3" t="str">
        <f>"4"</f>
        <v>4</v>
      </c>
      <c r="H59" s="3" t="str">
        <f>"1"</f>
        <v>1</v>
      </c>
      <c r="I59" s="4">
        <v>17642112500</v>
      </c>
    </row>
    <row r="60" spans="1:9" x14ac:dyDescent="0.25">
      <c r="A60" s="3">
        <v>45</v>
      </c>
      <c r="B60" s="5">
        <v>45471</v>
      </c>
      <c r="C60" s="3">
        <v>19</v>
      </c>
      <c r="D60" s="3" t="str">
        <f t="shared" si="5"/>
        <v>1452</v>
      </c>
      <c r="E60" s="3" t="str">
        <f t="shared" si="6"/>
        <v>Ценные бумаги, учитываемые по справедливой стоимости через прочий совокупный доход</v>
      </c>
      <c r="F60" s="3" t="str">
        <f>"1"</f>
        <v>1</v>
      </c>
      <c r="G60" s="3" t="str">
        <f>"1"</f>
        <v>1</v>
      </c>
      <c r="H60" s="3" t="str">
        <f>"1"</f>
        <v>1</v>
      </c>
      <c r="I60" s="4">
        <v>1010501713500</v>
      </c>
    </row>
    <row r="61" spans="1:9" x14ac:dyDescent="0.25">
      <c r="A61" s="3">
        <v>46</v>
      </c>
      <c r="B61" s="5">
        <v>45471</v>
      </c>
      <c r="C61" s="3">
        <v>19</v>
      </c>
      <c r="D61" s="3" t="str">
        <f t="shared" si="5"/>
        <v>1452</v>
      </c>
      <c r="E61" s="3" t="str">
        <f t="shared" si="6"/>
        <v>Ценные бумаги, учитываемые по справедливой стоимости через прочий совокупный доход</v>
      </c>
      <c r="F61" s="3" t="str">
        <f>"1"</f>
        <v>1</v>
      </c>
      <c r="G61" s="3" t="str">
        <f>"5"</f>
        <v>5</v>
      </c>
      <c r="H61" s="3" t="str">
        <f>"1"</f>
        <v>1</v>
      </c>
      <c r="I61" s="4">
        <v>114523152000</v>
      </c>
    </row>
    <row r="62" spans="1:9" x14ac:dyDescent="0.25">
      <c r="A62" s="3">
        <v>47</v>
      </c>
      <c r="B62" s="5">
        <v>45471</v>
      </c>
      <c r="C62" s="3">
        <v>19</v>
      </c>
      <c r="D62" s="3" t="str">
        <f t="shared" si="5"/>
        <v>1452</v>
      </c>
      <c r="E62" s="3" t="str">
        <f t="shared" si="6"/>
        <v>Ценные бумаги, учитываемые по справедливой стоимости через прочий совокупный доход</v>
      </c>
      <c r="F62" s="3" t="str">
        <f>"2"</f>
        <v>2</v>
      </c>
      <c r="G62" s="3" t="str">
        <f>"3"</f>
        <v>3</v>
      </c>
      <c r="H62" s="3" t="str">
        <f>"1"</f>
        <v>1</v>
      </c>
      <c r="I62" s="4">
        <v>119977849778</v>
      </c>
    </row>
    <row r="63" spans="1:9" x14ac:dyDescent="0.25">
      <c r="A63" s="3">
        <v>53</v>
      </c>
      <c r="B63" s="5">
        <v>45471</v>
      </c>
      <c r="C63" s="3">
        <v>19</v>
      </c>
      <c r="D63" s="3" t="str">
        <f t="shared" si="5"/>
        <v>1452</v>
      </c>
      <c r="E63" s="3" t="str">
        <f t="shared" si="6"/>
        <v>Ценные бумаги, учитываемые по справедливой стоимости через прочий совокупный доход</v>
      </c>
      <c r="F63" s="3" t="str">
        <f>"2"</f>
        <v>2</v>
      </c>
      <c r="G63" s="3" t="str">
        <f>"4"</f>
        <v>4</v>
      </c>
      <c r="H63" s="3" t="str">
        <f>"2"</f>
        <v>2</v>
      </c>
      <c r="I63" s="4">
        <v>471460000</v>
      </c>
    </row>
    <row r="64" spans="1:9" x14ac:dyDescent="0.25">
      <c r="A64" s="3">
        <v>56</v>
      </c>
      <c r="B64" s="5">
        <v>45471</v>
      </c>
      <c r="C64" s="3">
        <v>19</v>
      </c>
      <c r="D64" s="3" t="str">
        <f t="shared" si="5"/>
        <v>1452</v>
      </c>
      <c r="E64" s="3" t="str">
        <f t="shared" si="6"/>
        <v>Ценные бумаги, учитываемые по справедливой стоимости через прочий совокупный доход</v>
      </c>
      <c r="F64" s="3" t="str">
        <f>"2"</f>
        <v>2</v>
      </c>
      <c r="G64" s="3" t="str">
        <f>"7"</f>
        <v>7</v>
      </c>
      <c r="H64" s="3" t="str">
        <f>"2"</f>
        <v>2</v>
      </c>
      <c r="I64" s="4">
        <v>4894067854.0900002</v>
      </c>
    </row>
    <row r="65" spans="1:9" x14ac:dyDescent="0.25">
      <c r="A65" s="3">
        <v>57</v>
      </c>
      <c r="B65" s="5">
        <v>45471</v>
      </c>
      <c r="C65" s="3">
        <v>19</v>
      </c>
      <c r="D65" s="3" t="str">
        <f t="shared" si="5"/>
        <v>1452</v>
      </c>
      <c r="E65" s="3" t="str">
        <f t="shared" si="6"/>
        <v>Ценные бумаги, учитываемые по справедливой стоимости через прочий совокупный доход</v>
      </c>
      <c r="F65" s="3" t="str">
        <f>"1"</f>
        <v>1</v>
      </c>
      <c r="G65" s="3" t="str">
        <f>"6"</f>
        <v>6</v>
      </c>
      <c r="H65" s="3" t="str">
        <f>"2"</f>
        <v>2</v>
      </c>
      <c r="I65" s="4">
        <v>7873382000</v>
      </c>
    </row>
    <row r="66" spans="1:9" x14ac:dyDescent="0.25">
      <c r="A66" s="3">
        <v>59</v>
      </c>
      <c r="B66" s="5">
        <v>45471</v>
      </c>
      <c r="C66" s="3">
        <v>19</v>
      </c>
      <c r="D66" s="3" t="str">
        <f t="shared" si="5"/>
        <v>1452</v>
      </c>
      <c r="E66" s="3" t="str">
        <f t="shared" si="6"/>
        <v>Ценные бумаги, учитываемые по справедливой стоимости через прочий совокупный доход</v>
      </c>
      <c r="F66" s="3" t="str">
        <f>"1"</f>
        <v>1</v>
      </c>
      <c r="G66" s="3" t="str">
        <f>"3"</f>
        <v>3</v>
      </c>
      <c r="H66" s="3" t="str">
        <f>"1"</f>
        <v>1</v>
      </c>
      <c r="I66" s="4">
        <v>3000000000</v>
      </c>
    </row>
    <row r="67" spans="1:9" x14ac:dyDescent="0.25">
      <c r="A67" s="3">
        <v>61</v>
      </c>
      <c r="B67" s="5">
        <v>45471</v>
      </c>
      <c r="C67" s="3">
        <v>19</v>
      </c>
      <c r="D67" s="3" t="str">
        <f t="shared" si="5"/>
        <v>1452</v>
      </c>
      <c r="E67" s="3" t="str">
        <f t="shared" si="6"/>
        <v>Ценные бумаги, учитываемые по справедливой стоимости через прочий совокупный доход</v>
      </c>
      <c r="F67" s="3" t="str">
        <f>"1"</f>
        <v>1</v>
      </c>
      <c r="G67" s="3" t="str">
        <f>"4"</f>
        <v>4</v>
      </c>
      <c r="H67" s="3" t="str">
        <f>"2"</f>
        <v>2</v>
      </c>
      <c r="I67" s="4">
        <v>20367543460</v>
      </c>
    </row>
    <row r="68" spans="1:9" x14ac:dyDescent="0.25">
      <c r="A68" s="3">
        <v>62</v>
      </c>
      <c r="B68" s="5">
        <v>45471</v>
      </c>
      <c r="C68" s="3">
        <v>19</v>
      </c>
      <c r="D68" s="3" t="str">
        <f t="shared" si="5"/>
        <v>1452</v>
      </c>
      <c r="E68" s="3" t="str">
        <f t="shared" si="6"/>
        <v>Ценные бумаги, учитываемые по справедливой стоимости через прочий совокупный доход</v>
      </c>
      <c r="F68" s="3" t="str">
        <f>"2"</f>
        <v>2</v>
      </c>
      <c r="G68" s="3" t="str">
        <f>"1"</f>
        <v>1</v>
      </c>
      <c r="H68" s="3" t="str">
        <f>"2"</f>
        <v>2</v>
      </c>
      <c r="I68" s="4">
        <v>2121570000</v>
      </c>
    </row>
    <row r="69" spans="1:9" x14ac:dyDescent="0.25">
      <c r="A69" s="3">
        <v>67</v>
      </c>
      <c r="B69" s="5">
        <v>45471</v>
      </c>
      <c r="C69" s="3">
        <v>19</v>
      </c>
      <c r="D69" s="3" t="str">
        <f t="shared" si="5"/>
        <v>1452</v>
      </c>
      <c r="E69" s="3" t="str">
        <f t="shared" si="6"/>
        <v>Ценные бумаги, учитываемые по справедливой стоимости через прочий совокупный доход</v>
      </c>
      <c r="F69" s="3" t="str">
        <f>"1"</f>
        <v>1</v>
      </c>
      <c r="G69" s="3" t="str">
        <f>"6"</f>
        <v>6</v>
      </c>
      <c r="H69" s="3" t="str">
        <f>"1"</f>
        <v>1</v>
      </c>
      <c r="I69" s="4">
        <v>127962838.40000001</v>
      </c>
    </row>
    <row r="70" spans="1:9" x14ac:dyDescent="0.25">
      <c r="A70" s="3">
        <v>58</v>
      </c>
      <c r="B70" s="5">
        <v>45471</v>
      </c>
      <c r="C70" s="3">
        <v>19</v>
      </c>
      <c r="D70" s="3" t="str">
        <f t="shared" ref="D70:D80" si="7">"1453"</f>
        <v>1453</v>
      </c>
      <c r="E70" s="3" t="str">
        <f t="shared" ref="E70:E80" si="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0" s="3" t="str">
        <f>"1"</f>
        <v>1</v>
      </c>
      <c r="G70" s="3" t="str">
        <f>"1"</f>
        <v>1</v>
      </c>
      <c r="H70" s="3" t="str">
        <f>"2"</f>
        <v>2</v>
      </c>
      <c r="I70" s="4">
        <v>-13480967.74</v>
      </c>
    </row>
    <row r="71" spans="1:9" x14ac:dyDescent="0.25">
      <c r="A71" s="3">
        <v>63</v>
      </c>
      <c r="B71" s="5">
        <v>45471</v>
      </c>
      <c r="C71" s="3">
        <v>19</v>
      </c>
      <c r="D71" s="3" t="str">
        <f t="shared" si="7"/>
        <v>1453</v>
      </c>
      <c r="E71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1" s="3" t="str">
        <f>"1"</f>
        <v>1</v>
      </c>
      <c r="G71" s="3" t="str">
        <f>"3"</f>
        <v>3</v>
      </c>
      <c r="H71" s="3" t="str">
        <f>"1"</f>
        <v>1</v>
      </c>
      <c r="I71" s="4">
        <v>-27741432.550000001</v>
      </c>
    </row>
    <row r="72" spans="1:9" x14ac:dyDescent="0.25">
      <c r="A72" s="3">
        <v>64</v>
      </c>
      <c r="B72" s="5">
        <v>45471</v>
      </c>
      <c r="C72" s="3">
        <v>19</v>
      </c>
      <c r="D72" s="3" t="str">
        <f t="shared" si="7"/>
        <v>1453</v>
      </c>
      <c r="E72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2" s="3" t="str">
        <f>"1"</f>
        <v>1</v>
      </c>
      <c r="G72" s="3" t="str">
        <f>"4"</f>
        <v>4</v>
      </c>
      <c r="H72" s="3" t="str">
        <f>"2"</f>
        <v>2</v>
      </c>
      <c r="I72" s="4">
        <v>-268691696.87</v>
      </c>
    </row>
    <row r="73" spans="1:9" x14ac:dyDescent="0.25">
      <c r="A73" s="3">
        <v>65</v>
      </c>
      <c r="B73" s="5">
        <v>45471</v>
      </c>
      <c r="C73" s="3">
        <v>19</v>
      </c>
      <c r="D73" s="3" t="str">
        <f t="shared" si="7"/>
        <v>1453</v>
      </c>
      <c r="E73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3" s="3" t="str">
        <f>"1"</f>
        <v>1</v>
      </c>
      <c r="G73" s="3" t="str">
        <f>"6"</f>
        <v>6</v>
      </c>
      <c r="H73" s="3" t="str">
        <f>"2"</f>
        <v>2</v>
      </c>
      <c r="I73" s="4">
        <v>-518141168.73000002</v>
      </c>
    </row>
    <row r="74" spans="1:9" x14ac:dyDescent="0.25">
      <c r="A74" s="3">
        <v>66</v>
      </c>
      <c r="B74" s="5">
        <v>45471</v>
      </c>
      <c r="C74" s="3">
        <v>19</v>
      </c>
      <c r="D74" s="3" t="str">
        <f t="shared" si="7"/>
        <v>1453</v>
      </c>
      <c r="E74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4" s="3" t="str">
        <f>"2"</f>
        <v>2</v>
      </c>
      <c r="G74" s="3" t="str">
        <f>"1"</f>
        <v>1</v>
      </c>
      <c r="H74" s="3" t="str">
        <f>"2"</f>
        <v>2</v>
      </c>
      <c r="I74" s="4">
        <v>-105864697.59999999</v>
      </c>
    </row>
    <row r="75" spans="1:9" x14ac:dyDescent="0.25">
      <c r="A75" s="3">
        <v>68</v>
      </c>
      <c r="B75" s="5">
        <v>45471</v>
      </c>
      <c r="C75" s="3">
        <v>19</v>
      </c>
      <c r="D75" s="3" t="str">
        <f t="shared" si="7"/>
        <v>1453</v>
      </c>
      <c r="E75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5" s="3" t="str">
        <f>"1"</f>
        <v>1</v>
      </c>
      <c r="G75" s="3" t="str">
        <f>"5"</f>
        <v>5</v>
      </c>
      <c r="H75" s="3" t="str">
        <f>"1"</f>
        <v>1</v>
      </c>
      <c r="I75" s="4">
        <v>-1746410373.3499999</v>
      </c>
    </row>
    <row r="76" spans="1:9" x14ac:dyDescent="0.25">
      <c r="A76" s="3">
        <v>69</v>
      </c>
      <c r="B76" s="5">
        <v>45471</v>
      </c>
      <c r="C76" s="3">
        <v>19</v>
      </c>
      <c r="D76" s="3" t="str">
        <f t="shared" si="7"/>
        <v>1453</v>
      </c>
      <c r="E76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6" s="3" t="str">
        <f>"1"</f>
        <v>1</v>
      </c>
      <c r="G76" s="3" t="str">
        <f>"4"</f>
        <v>4</v>
      </c>
      <c r="H76" s="3" t="str">
        <f>"1"</f>
        <v>1</v>
      </c>
      <c r="I76" s="4">
        <v>-103800880.77</v>
      </c>
    </row>
    <row r="77" spans="1:9" x14ac:dyDescent="0.25">
      <c r="A77" s="3">
        <v>70</v>
      </c>
      <c r="B77" s="5">
        <v>45471</v>
      </c>
      <c r="C77" s="3">
        <v>19</v>
      </c>
      <c r="D77" s="3" t="str">
        <f t="shared" si="7"/>
        <v>1453</v>
      </c>
      <c r="E77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7" s="3" t="str">
        <f>"2"</f>
        <v>2</v>
      </c>
      <c r="G77" s="3" t="str">
        <f>"3"</f>
        <v>3</v>
      </c>
      <c r="H77" s="3" t="str">
        <f>"1"</f>
        <v>1</v>
      </c>
      <c r="I77" s="4">
        <v>-1372311870.8099999</v>
      </c>
    </row>
    <row r="78" spans="1:9" x14ac:dyDescent="0.25">
      <c r="A78" s="3">
        <v>71</v>
      </c>
      <c r="B78" s="5">
        <v>45471</v>
      </c>
      <c r="C78" s="3">
        <v>19</v>
      </c>
      <c r="D78" s="3" t="str">
        <f t="shared" si="7"/>
        <v>1453</v>
      </c>
      <c r="E78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8" s="3" t="str">
        <f>"1"</f>
        <v>1</v>
      </c>
      <c r="G78" s="3" t="str">
        <f>"1"</f>
        <v>1</v>
      </c>
      <c r="H78" s="3" t="str">
        <f>"1"</f>
        <v>1</v>
      </c>
      <c r="I78" s="4">
        <v>-56796985389.309998</v>
      </c>
    </row>
    <row r="79" spans="1:9" x14ac:dyDescent="0.25">
      <c r="A79" s="3">
        <v>74</v>
      </c>
      <c r="B79" s="5">
        <v>45471</v>
      </c>
      <c r="C79" s="3">
        <v>19</v>
      </c>
      <c r="D79" s="3" t="str">
        <f t="shared" si="7"/>
        <v>1453</v>
      </c>
      <c r="E79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79" s="3" t="str">
        <f>"2"</f>
        <v>2</v>
      </c>
      <c r="G79" s="3" t="str">
        <f>"4"</f>
        <v>4</v>
      </c>
      <c r="H79" s="3" t="str">
        <f>"2"</f>
        <v>2</v>
      </c>
      <c r="I79" s="4">
        <v>-10809545.300000001</v>
      </c>
    </row>
    <row r="80" spans="1:9" x14ac:dyDescent="0.25">
      <c r="A80" s="3">
        <v>78</v>
      </c>
      <c r="B80" s="5">
        <v>45471</v>
      </c>
      <c r="C80" s="3">
        <v>19</v>
      </c>
      <c r="D80" s="3" t="str">
        <f t="shared" si="7"/>
        <v>1453</v>
      </c>
      <c r="E80" s="3" t="str">
        <f t="shared" si="8"/>
        <v>Дисконт по приобретенным ценным бумагам, учитываемым по справедливой стоимости через прочий совокупный доход</v>
      </c>
      <c r="F80" s="3" t="str">
        <f>"2"</f>
        <v>2</v>
      </c>
      <c r="G80" s="3" t="str">
        <f>"7"</f>
        <v>7</v>
      </c>
      <c r="H80" s="3" t="str">
        <f>"2"</f>
        <v>2</v>
      </c>
      <c r="I80" s="4">
        <v>-443995880.31999999</v>
      </c>
    </row>
    <row r="81" spans="1:9" x14ac:dyDescent="0.25">
      <c r="A81" s="3">
        <v>72</v>
      </c>
      <c r="B81" s="5">
        <v>45471</v>
      </c>
      <c r="C81" s="3">
        <v>19</v>
      </c>
      <c r="D81" s="3" t="str">
        <f t="shared" ref="D81:D86" si="9">"1454"</f>
        <v>1454</v>
      </c>
      <c r="E81" s="3" t="str">
        <f t="shared" ref="E81:E86" si="10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s="3" t="str">
        <f>"1"</f>
        <v>1</v>
      </c>
      <c r="G81" s="3" t="str">
        <f>"1"</f>
        <v>1</v>
      </c>
      <c r="H81" s="3" t="str">
        <f>"1"</f>
        <v>1</v>
      </c>
      <c r="I81" s="4">
        <v>5171762102.9099998</v>
      </c>
    </row>
    <row r="82" spans="1:9" x14ac:dyDescent="0.25">
      <c r="A82" s="3">
        <v>73</v>
      </c>
      <c r="B82" s="5">
        <v>45471</v>
      </c>
      <c r="C82" s="3">
        <v>19</v>
      </c>
      <c r="D82" s="3" t="str">
        <f t="shared" si="9"/>
        <v>1454</v>
      </c>
      <c r="E82" s="3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2" s="3" t="str">
        <f>"1"</f>
        <v>1</v>
      </c>
      <c r="G82" s="3" t="str">
        <f>"1"</f>
        <v>1</v>
      </c>
      <c r="H82" s="3" t="str">
        <f>"2"</f>
        <v>2</v>
      </c>
      <c r="I82" s="4">
        <v>27874073</v>
      </c>
    </row>
    <row r="83" spans="1:9" x14ac:dyDescent="0.25">
      <c r="A83" s="3">
        <v>75</v>
      </c>
      <c r="B83" s="5">
        <v>45471</v>
      </c>
      <c r="C83" s="3">
        <v>19</v>
      </c>
      <c r="D83" s="3" t="str">
        <f t="shared" si="9"/>
        <v>1454</v>
      </c>
      <c r="E83" s="3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3" s="3" t="str">
        <f>"2"</f>
        <v>2</v>
      </c>
      <c r="G83" s="3" t="str">
        <f>"3"</f>
        <v>3</v>
      </c>
      <c r="H83" s="3" t="str">
        <f>"1"</f>
        <v>1</v>
      </c>
      <c r="I83" s="4">
        <v>150952483</v>
      </c>
    </row>
    <row r="84" spans="1:9" x14ac:dyDescent="0.25">
      <c r="A84" s="3">
        <v>76</v>
      </c>
      <c r="B84" s="5">
        <v>45471</v>
      </c>
      <c r="C84" s="3">
        <v>19</v>
      </c>
      <c r="D84" s="3" t="str">
        <f t="shared" si="9"/>
        <v>1454</v>
      </c>
      <c r="E84" s="3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4" s="3" t="str">
        <f>"2"</f>
        <v>2</v>
      </c>
      <c r="G84" s="3" t="str">
        <f>"1"</f>
        <v>1</v>
      </c>
      <c r="H84" s="3" t="str">
        <f>"2"</f>
        <v>2</v>
      </c>
      <c r="I84" s="4">
        <v>2429786.98</v>
      </c>
    </row>
    <row r="85" spans="1:9" x14ac:dyDescent="0.25">
      <c r="A85" s="3">
        <v>77</v>
      </c>
      <c r="B85" s="5">
        <v>45471</v>
      </c>
      <c r="C85" s="3">
        <v>19</v>
      </c>
      <c r="D85" s="3" t="str">
        <f t="shared" si="9"/>
        <v>1454</v>
      </c>
      <c r="E85" s="3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5" s="3" t="str">
        <f>"1"</f>
        <v>1</v>
      </c>
      <c r="G85" s="3" t="str">
        <f>"4"</f>
        <v>4</v>
      </c>
      <c r="H85" s="3" t="str">
        <f>"2"</f>
        <v>2</v>
      </c>
      <c r="I85" s="4">
        <v>16675808.93</v>
      </c>
    </row>
    <row r="86" spans="1:9" x14ac:dyDescent="0.25">
      <c r="A86" s="3">
        <v>90</v>
      </c>
      <c r="B86" s="5">
        <v>45471</v>
      </c>
      <c r="C86" s="3">
        <v>19</v>
      </c>
      <c r="D86" s="3" t="str">
        <f t="shared" si="9"/>
        <v>1454</v>
      </c>
      <c r="E86" s="3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6" s="3" t="str">
        <f>"2"</f>
        <v>2</v>
      </c>
      <c r="G86" s="3" t="str">
        <f>"7"</f>
        <v>7</v>
      </c>
      <c r="H86" s="3" t="str">
        <f>"2"</f>
        <v>2</v>
      </c>
      <c r="I86" s="4">
        <v>56.58</v>
      </c>
    </row>
    <row r="87" spans="1:9" x14ac:dyDescent="0.25">
      <c r="A87" s="3">
        <v>80</v>
      </c>
      <c r="B87" s="5">
        <v>45471</v>
      </c>
      <c r="C87" s="3">
        <v>19</v>
      </c>
      <c r="D87" s="3" t="str">
        <f t="shared" ref="D87:D95" si="11">"1456"</f>
        <v>1456</v>
      </c>
      <c r="E87" s="3" t="str">
        <f t="shared" ref="E87:E95" si="12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s="3" t="str">
        <f>"1"</f>
        <v>1</v>
      </c>
      <c r="G87" s="3" t="str">
        <f>"4"</f>
        <v>4</v>
      </c>
      <c r="H87" s="3" t="str">
        <f>"2"</f>
        <v>2</v>
      </c>
      <c r="I87" s="4">
        <v>72936087.799999997</v>
      </c>
    </row>
    <row r="88" spans="1:9" x14ac:dyDescent="0.25">
      <c r="A88" s="3">
        <v>81</v>
      </c>
      <c r="B88" s="5">
        <v>45471</v>
      </c>
      <c r="C88" s="3">
        <v>19</v>
      </c>
      <c r="D88" s="3" t="str">
        <f t="shared" si="11"/>
        <v>1456</v>
      </c>
      <c r="E88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s="3" t="str">
        <f>"1"</f>
        <v>1</v>
      </c>
      <c r="G88" s="3" t="str">
        <f>"4"</f>
        <v>4</v>
      </c>
      <c r="H88" s="3" t="str">
        <f>"1"</f>
        <v>1</v>
      </c>
      <c r="I88" s="4">
        <v>44080512.420000002</v>
      </c>
    </row>
    <row r="89" spans="1:9" x14ac:dyDescent="0.25">
      <c r="A89" s="3">
        <v>82</v>
      </c>
      <c r="B89" s="5">
        <v>45471</v>
      </c>
      <c r="C89" s="3">
        <v>19</v>
      </c>
      <c r="D89" s="3" t="str">
        <f t="shared" si="11"/>
        <v>1456</v>
      </c>
      <c r="E89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s="3" t="str">
        <f>"1"</f>
        <v>1</v>
      </c>
      <c r="G89" s="3" t="str">
        <f>"6"</f>
        <v>6</v>
      </c>
      <c r="H89" s="3" t="str">
        <f>"1"</f>
        <v>1</v>
      </c>
      <c r="I89" s="4">
        <v>205261820.34999999</v>
      </c>
    </row>
    <row r="90" spans="1:9" x14ac:dyDescent="0.25">
      <c r="A90" s="3">
        <v>83</v>
      </c>
      <c r="B90" s="5">
        <v>45471</v>
      </c>
      <c r="C90" s="3">
        <v>19</v>
      </c>
      <c r="D90" s="3" t="str">
        <f t="shared" si="11"/>
        <v>1456</v>
      </c>
      <c r="E90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s="3" t="str">
        <f>"2"</f>
        <v>2</v>
      </c>
      <c r="G90" s="3" t="str">
        <f>"7"</f>
        <v>7</v>
      </c>
      <c r="H90" s="3" t="str">
        <f>"2"</f>
        <v>2</v>
      </c>
      <c r="I90" s="4">
        <v>276765449.37</v>
      </c>
    </row>
    <row r="91" spans="1:9" x14ac:dyDescent="0.25">
      <c r="A91" s="3">
        <v>84</v>
      </c>
      <c r="B91" s="5">
        <v>45471</v>
      </c>
      <c r="C91" s="3">
        <v>19</v>
      </c>
      <c r="D91" s="3" t="str">
        <f t="shared" si="11"/>
        <v>1456</v>
      </c>
      <c r="E91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1" s="3" t="str">
        <f>"2"</f>
        <v>2</v>
      </c>
      <c r="G91" s="3" t="str">
        <f>"1"</f>
        <v>1</v>
      </c>
      <c r="H91" s="3" t="str">
        <f>"2"</f>
        <v>2</v>
      </c>
      <c r="I91" s="4">
        <v>3857132.13</v>
      </c>
    </row>
    <row r="92" spans="1:9" x14ac:dyDescent="0.25">
      <c r="A92" s="3">
        <v>87</v>
      </c>
      <c r="B92" s="5">
        <v>45471</v>
      </c>
      <c r="C92" s="3">
        <v>19</v>
      </c>
      <c r="D92" s="3" t="str">
        <f t="shared" si="11"/>
        <v>1456</v>
      </c>
      <c r="E92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2" s="3" t="str">
        <f>"1"</f>
        <v>1</v>
      </c>
      <c r="G92" s="3" t="str">
        <f>"3"</f>
        <v>3</v>
      </c>
      <c r="H92" s="3" t="str">
        <f>"1"</f>
        <v>1</v>
      </c>
      <c r="I92" s="4">
        <v>1209432.55</v>
      </c>
    </row>
    <row r="93" spans="1:9" x14ac:dyDescent="0.25">
      <c r="A93" s="3">
        <v>88</v>
      </c>
      <c r="B93" s="5">
        <v>45471</v>
      </c>
      <c r="C93" s="3">
        <v>19</v>
      </c>
      <c r="D93" s="3" t="str">
        <f t="shared" si="11"/>
        <v>1456</v>
      </c>
      <c r="E93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3" s="3" t="str">
        <f>"1"</f>
        <v>1</v>
      </c>
      <c r="G93" s="3" t="str">
        <f>"1"</f>
        <v>1</v>
      </c>
      <c r="H93" s="3" t="str">
        <f>"1"</f>
        <v>1</v>
      </c>
      <c r="I93" s="4">
        <v>15499311305.67</v>
      </c>
    </row>
    <row r="94" spans="1:9" x14ac:dyDescent="0.25">
      <c r="A94" s="3">
        <v>94</v>
      </c>
      <c r="B94" s="5">
        <v>45471</v>
      </c>
      <c r="C94" s="3">
        <v>19</v>
      </c>
      <c r="D94" s="3" t="str">
        <f t="shared" si="11"/>
        <v>1456</v>
      </c>
      <c r="E94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4" s="3" t="str">
        <f>"1"</f>
        <v>1</v>
      </c>
      <c r="G94" s="3" t="str">
        <f>"6"</f>
        <v>6</v>
      </c>
      <c r="H94" s="3" t="str">
        <f>"2"</f>
        <v>2</v>
      </c>
      <c r="I94" s="4">
        <v>194017237.05000001</v>
      </c>
    </row>
    <row r="95" spans="1:9" x14ac:dyDescent="0.25">
      <c r="A95" s="3">
        <v>106</v>
      </c>
      <c r="B95" s="5">
        <v>45471</v>
      </c>
      <c r="C95" s="3">
        <v>19</v>
      </c>
      <c r="D95" s="3" t="str">
        <f t="shared" si="11"/>
        <v>1456</v>
      </c>
      <c r="E95" s="3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5" s="3" t="str">
        <f>"2"</f>
        <v>2</v>
      </c>
      <c r="G95" s="3" t="str">
        <f>"3"</f>
        <v>3</v>
      </c>
      <c r="H95" s="3" t="str">
        <f>"1"</f>
        <v>1</v>
      </c>
      <c r="I95" s="4">
        <v>594633921.65999997</v>
      </c>
    </row>
    <row r="96" spans="1:9" x14ac:dyDescent="0.25">
      <c r="A96" s="3">
        <v>85</v>
      </c>
      <c r="B96" s="5">
        <v>45471</v>
      </c>
      <c r="C96" s="3">
        <v>19</v>
      </c>
      <c r="D96" s="3" t="str">
        <f t="shared" ref="D96:D105" si="13">"1457"</f>
        <v>1457</v>
      </c>
      <c r="E96" s="3" t="str">
        <f t="shared" ref="E96:E105" si="1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s="3" t="str">
        <f>"1"</f>
        <v>1</v>
      </c>
      <c r="G96" s="3" t="str">
        <f>"1"</f>
        <v>1</v>
      </c>
      <c r="H96" s="3" t="str">
        <f>"1"</f>
        <v>1</v>
      </c>
      <c r="I96" s="4">
        <v>-4462423208.4099998</v>
      </c>
    </row>
    <row r="97" spans="1:9" x14ac:dyDescent="0.25">
      <c r="A97" s="3">
        <v>86</v>
      </c>
      <c r="B97" s="5">
        <v>45471</v>
      </c>
      <c r="C97" s="3">
        <v>19</v>
      </c>
      <c r="D97" s="3" t="str">
        <f t="shared" si="13"/>
        <v>1457</v>
      </c>
      <c r="E97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s="3" t="str">
        <f>"1"</f>
        <v>1</v>
      </c>
      <c r="G97" s="3" t="str">
        <f>"1"</f>
        <v>1</v>
      </c>
      <c r="H97" s="3" t="str">
        <f>"2"</f>
        <v>2</v>
      </c>
      <c r="I97" s="4">
        <v>-188492401.65000001</v>
      </c>
    </row>
    <row r="98" spans="1:9" x14ac:dyDescent="0.25">
      <c r="A98" s="3">
        <v>89</v>
      </c>
      <c r="B98" s="5">
        <v>45471</v>
      </c>
      <c r="C98" s="3">
        <v>19</v>
      </c>
      <c r="D98" s="3" t="str">
        <f t="shared" si="13"/>
        <v>1457</v>
      </c>
      <c r="E98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s="3" t="str">
        <f>"1"</f>
        <v>1</v>
      </c>
      <c r="G98" s="3" t="str">
        <f>"4"</f>
        <v>4</v>
      </c>
      <c r="H98" s="3" t="str">
        <f>"2"</f>
        <v>2</v>
      </c>
      <c r="I98" s="4">
        <v>-19716890.940000001</v>
      </c>
    </row>
    <row r="99" spans="1:9" x14ac:dyDescent="0.25">
      <c r="A99" s="3">
        <v>91</v>
      </c>
      <c r="B99" s="5">
        <v>45471</v>
      </c>
      <c r="C99" s="3">
        <v>19</v>
      </c>
      <c r="D99" s="3" t="str">
        <f t="shared" si="13"/>
        <v>1457</v>
      </c>
      <c r="E99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s="3" t="str">
        <f>"1"</f>
        <v>1</v>
      </c>
      <c r="G99" s="3" t="str">
        <f>"6"</f>
        <v>6</v>
      </c>
      <c r="H99" s="3" t="str">
        <f>"2"</f>
        <v>2</v>
      </c>
      <c r="I99" s="4">
        <v>-103218930.09</v>
      </c>
    </row>
    <row r="100" spans="1:9" x14ac:dyDescent="0.25">
      <c r="A100" s="3">
        <v>92</v>
      </c>
      <c r="B100" s="5">
        <v>45471</v>
      </c>
      <c r="C100" s="3">
        <v>19</v>
      </c>
      <c r="D100" s="3" t="str">
        <f t="shared" si="13"/>
        <v>1457</v>
      </c>
      <c r="E100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s="3" t="str">
        <f>"2"</f>
        <v>2</v>
      </c>
      <c r="G100" s="3" t="str">
        <f>"3"</f>
        <v>3</v>
      </c>
      <c r="H100" s="3" t="str">
        <f>"1"</f>
        <v>1</v>
      </c>
      <c r="I100" s="4">
        <v>-18458174884.790001</v>
      </c>
    </row>
    <row r="101" spans="1:9" x14ac:dyDescent="0.25">
      <c r="A101" s="3">
        <v>95</v>
      </c>
      <c r="B101" s="5">
        <v>45471</v>
      </c>
      <c r="C101" s="3">
        <v>19</v>
      </c>
      <c r="D101" s="3" t="str">
        <f t="shared" si="13"/>
        <v>1457</v>
      </c>
      <c r="E101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s="3" t="str">
        <f>"2"</f>
        <v>2</v>
      </c>
      <c r="G101" s="3" t="str">
        <f>"4"</f>
        <v>4</v>
      </c>
      <c r="H101" s="3" t="str">
        <f>"2"</f>
        <v>2</v>
      </c>
      <c r="I101" s="4">
        <v>-3645404.15</v>
      </c>
    </row>
    <row r="102" spans="1:9" x14ac:dyDescent="0.25">
      <c r="A102" s="3">
        <v>98</v>
      </c>
      <c r="B102" s="5">
        <v>45471</v>
      </c>
      <c r="C102" s="3">
        <v>19</v>
      </c>
      <c r="D102" s="3" t="str">
        <f t="shared" si="13"/>
        <v>1457</v>
      </c>
      <c r="E102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s="3" t="str">
        <f>"1"</f>
        <v>1</v>
      </c>
      <c r="G102" s="3" t="str">
        <f>"4"</f>
        <v>4</v>
      </c>
      <c r="H102" s="3" t="str">
        <f>"1"</f>
        <v>1</v>
      </c>
      <c r="I102" s="4">
        <v>-360454547.29000002</v>
      </c>
    </row>
    <row r="103" spans="1:9" x14ac:dyDescent="0.25">
      <c r="A103" s="3">
        <v>99</v>
      </c>
      <c r="B103" s="5">
        <v>45471</v>
      </c>
      <c r="C103" s="3">
        <v>19</v>
      </c>
      <c r="D103" s="3" t="str">
        <f t="shared" si="13"/>
        <v>1457</v>
      </c>
      <c r="E103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3" s="3" t="str">
        <f>"2"</f>
        <v>2</v>
      </c>
      <c r="G103" s="3" t="str">
        <f>"1"</f>
        <v>1</v>
      </c>
      <c r="H103" s="3" t="str">
        <f>"2"</f>
        <v>2</v>
      </c>
      <c r="I103" s="4">
        <v>-109715318.87</v>
      </c>
    </row>
    <row r="104" spans="1:9" x14ac:dyDescent="0.25">
      <c r="A104" s="3">
        <v>103</v>
      </c>
      <c r="B104" s="5">
        <v>45471</v>
      </c>
      <c r="C104" s="3">
        <v>19</v>
      </c>
      <c r="D104" s="3" t="str">
        <f t="shared" si="13"/>
        <v>1457</v>
      </c>
      <c r="E104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4" s="3" t="str">
        <f>"2"</f>
        <v>2</v>
      </c>
      <c r="G104" s="3" t="str">
        <f>"7"</f>
        <v>7</v>
      </c>
      <c r="H104" s="3" t="str">
        <f>"2"</f>
        <v>2</v>
      </c>
      <c r="I104" s="4">
        <v>-523406328.91000003</v>
      </c>
    </row>
    <row r="105" spans="1:9" x14ac:dyDescent="0.25">
      <c r="A105" s="3">
        <v>131</v>
      </c>
      <c r="B105" s="5">
        <v>45471</v>
      </c>
      <c r="C105" s="3">
        <v>19</v>
      </c>
      <c r="D105" s="3" t="str">
        <f t="shared" si="13"/>
        <v>1457</v>
      </c>
      <c r="E105" s="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5" s="3" t="str">
        <f>"1"</f>
        <v>1</v>
      </c>
      <c r="G105" s="3" t="str">
        <f>"5"</f>
        <v>5</v>
      </c>
      <c r="H105" s="3" t="str">
        <f>"1"</f>
        <v>1</v>
      </c>
      <c r="I105" s="4">
        <v>-2388370928.4499998</v>
      </c>
    </row>
    <row r="106" spans="1:9" x14ac:dyDescent="0.25">
      <c r="A106" s="3">
        <v>137</v>
      </c>
      <c r="B106" s="5">
        <v>45471</v>
      </c>
      <c r="C106" s="3">
        <v>19</v>
      </c>
      <c r="D106" s="3" t="str">
        <f>"1461"</f>
        <v>1461</v>
      </c>
      <c r="E106" s="3" t="str">
        <f>"Операции «обратное РЕПО» с ценными бумагами"</f>
        <v>Операции «обратное РЕПО» с ценными бумагами</v>
      </c>
      <c r="F106" s="3" t="str">
        <f>"1"</f>
        <v>1</v>
      </c>
      <c r="G106" s="3" t="str">
        <f>"5"</f>
        <v>5</v>
      </c>
      <c r="H106" s="3" t="str">
        <f>"1"</f>
        <v>1</v>
      </c>
      <c r="I106" s="4">
        <v>317000167.81999999</v>
      </c>
    </row>
    <row r="107" spans="1:9" x14ac:dyDescent="0.25">
      <c r="A107" s="3">
        <v>102</v>
      </c>
      <c r="B107" s="5">
        <v>45471</v>
      </c>
      <c r="C107" s="3">
        <v>19</v>
      </c>
      <c r="D107" s="3" t="str">
        <f>"1471"</f>
        <v>1471</v>
      </c>
      <c r="E107" s="3" t="str">
        <f>"Инвестиции в дочерние организации"</f>
        <v>Инвестиции в дочерние организации</v>
      </c>
      <c r="F107" s="3" t="str">
        <f>"1"</f>
        <v>1</v>
      </c>
      <c r="G107" s="3" t="str">
        <f>"7"</f>
        <v>7</v>
      </c>
      <c r="H107" s="3" t="str">
        <f>"1"</f>
        <v>1</v>
      </c>
      <c r="I107" s="4">
        <v>8600000</v>
      </c>
    </row>
    <row r="108" spans="1:9" x14ac:dyDescent="0.25">
      <c r="A108" s="3">
        <v>101</v>
      </c>
      <c r="B108" s="5">
        <v>45471</v>
      </c>
      <c r="C108" s="3">
        <v>19</v>
      </c>
      <c r="D108" s="3" t="str">
        <f>"1476"</f>
        <v>1476</v>
      </c>
      <c r="E108" s="3" t="str">
        <f>"Прочие инвестиции"</f>
        <v>Прочие инвестиции</v>
      </c>
      <c r="F108" s="3" t="str">
        <f>"2"</f>
        <v>2</v>
      </c>
      <c r="G108" s="3" t="str">
        <f>"5"</f>
        <v>5</v>
      </c>
      <c r="H108" s="3" t="str">
        <f>"2"</f>
        <v>2</v>
      </c>
      <c r="I108" s="4">
        <v>31832057.399999999</v>
      </c>
    </row>
    <row r="109" spans="1:9" x14ac:dyDescent="0.25">
      <c r="A109" s="3">
        <v>108</v>
      </c>
      <c r="B109" s="5">
        <v>45471</v>
      </c>
      <c r="C109" s="3">
        <v>19</v>
      </c>
      <c r="D109" s="3" t="str">
        <f>"1476"</f>
        <v>1476</v>
      </c>
      <c r="E109" s="3" t="str">
        <f>"Прочие инвестиции"</f>
        <v>Прочие инвестиции</v>
      </c>
      <c r="F109" s="3" t="str">
        <f>"1"</f>
        <v>1</v>
      </c>
      <c r="G109" s="3" t="str">
        <f>"5"</f>
        <v>5</v>
      </c>
      <c r="H109" s="3" t="str">
        <f>"1"</f>
        <v>1</v>
      </c>
      <c r="I109" s="4">
        <v>25441585</v>
      </c>
    </row>
    <row r="110" spans="1:9" x14ac:dyDescent="0.25">
      <c r="A110" s="3">
        <v>93</v>
      </c>
      <c r="B110" s="5">
        <v>45471</v>
      </c>
      <c r="C110" s="3">
        <v>19</v>
      </c>
      <c r="D110" s="3" t="str">
        <f>"1602"</f>
        <v>1602</v>
      </c>
      <c r="E110" s="3" t="str">
        <f>"Прочие запасы"</f>
        <v>Прочие запасы</v>
      </c>
      <c r="F110" s="3" t="str">
        <f>""</f>
        <v/>
      </c>
      <c r="G110" s="3" t="str">
        <f>""</f>
        <v/>
      </c>
      <c r="H110" s="3" t="str">
        <f>""</f>
        <v/>
      </c>
      <c r="I110" s="4">
        <v>2724235148.6999998</v>
      </c>
    </row>
    <row r="111" spans="1:9" x14ac:dyDescent="0.25">
      <c r="A111" s="3">
        <v>96</v>
      </c>
      <c r="B111" s="5">
        <v>45471</v>
      </c>
      <c r="C111" s="3">
        <v>19</v>
      </c>
      <c r="D111" s="3" t="str">
        <f>"1610"</f>
        <v>1610</v>
      </c>
      <c r="E111" s="3" t="str">
        <f>"Долгосрочные активы, предназначенные для продажи"</f>
        <v>Долгосрочные активы, предназначенные для продажи</v>
      </c>
      <c r="F111" s="3" t="str">
        <f>""</f>
        <v/>
      </c>
      <c r="G111" s="3" t="str">
        <f>""</f>
        <v/>
      </c>
      <c r="H111" s="3" t="str">
        <f>""</f>
        <v/>
      </c>
      <c r="I111" s="4">
        <v>97493946</v>
      </c>
    </row>
    <row r="112" spans="1:9" x14ac:dyDescent="0.25">
      <c r="A112" s="3">
        <v>156</v>
      </c>
      <c r="B112" s="5">
        <v>45471</v>
      </c>
      <c r="C112" s="3">
        <v>19</v>
      </c>
      <c r="D112" s="3" t="str">
        <f>"1651"</f>
        <v>1651</v>
      </c>
      <c r="E112" s="3" t="str">
        <f>"Строящиеся (устанавливаемые) основные средства"</f>
        <v>Строящиеся (устанавливаемые) основные средства</v>
      </c>
      <c r="F112" s="3" t="str">
        <f>""</f>
        <v/>
      </c>
      <c r="G112" s="3" t="str">
        <f>""</f>
        <v/>
      </c>
      <c r="H112" s="3" t="str">
        <f>""</f>
        <v/>
      </c>
      <c r="I112" s="4">
        <v>6332102963</v>
      </c>
    </row>
    <row r="113" spans="1:9" x14ac:dyDescent="0.25">
      <c r="A113" s="3">
        <v>97</v>
      </c>
      <c r="B113" s="5">
        <v>45471</v>
      </c>
      <c r="C113" s="3">
        <v>19</v>
      </c>
      <c r="D113" s="3" t="str">
        <f>"1652"</f>
        <v>1652</v>
      </c>
      <c r="E113" s="3" t="str">
        <f>"Земля, здания и сооружения"</f>
        <v>Земля, здания и сооружения</v>
      </c>
      <c r="F113" s="3" t="str">
        <f>""</f>
        <v/>
      </c>
      <c r="G113" s="3" t="str">
        <f>""</f>
        <v/>
      </c>
      <c r="H113" s="3" t="str">
        <f>""</f>
        <v/>
      </c>
      <c r="I113" s="4">
        <v>19036861729</v>
      </c>
    </row>
    <row r="114" spans="1:9" x14ac:dyDescent="0.25">
      <c r="A114" s="3">
        <v>100</v>
      </c>
      <c r="B114" s="5">
        <v>45471</v>
      </c>
      <c r="C114" s="3">
        <v>19</v>
      </c>
      <c r="D114" s="3" t="str">
        <f>"1653"</f>
        <v>1653</v>
      </c>
      <c r="E114" s="3" t="str">
        <f>"Компьютерное оборудование"</f>
        <v>Компьютерное оборудование</v>
      </c>
      <c r="F114" s="3" t="str">
        <f>""</f>
        <v/>
      </c>
      <c r="G114" s="3" t="str">
        <f>""</f>
        <v/>
      </c>
      <c r="H114" s="3" t="str">
        <f>""</f>
        <v/>
      </c>
      <c r="I114" s="4">
        <v>73267927242</v>
      </c>
    </row>
    <row r="115" spans="1:9" x14ac:dyDescent="0.25">
      <c r="A115" s="3">
        <v>107</v>
      </c>
      <c r="B115" s="5">
        <v>45471</v>
      </c>
      <c r="C115" s="3">
        <v>19</v>
      </c>
      <c r="D115" s="3" t="str">
        <f>"1654"</f>
        <v>1654</v>
      </c>
      <c r="E115" s="3" t="str">
        <f>"Прочие основные средства"</f>
        <v>Прочие основные средства</v>
      </c>
      <c r="F115" s="3" t="str">
        <f>""</f>
        <v/>
      </c>
      <c r="G115" s="3" t="str">
        <f>""</f>
        <v/>
      </c>
      <c r="H115" s="3" t="str">
        <f>""</f>
        <v/>
      </c>
      <c r="I115" s="4">
        <v>35118373270</v>
      </c>
    </row>
    <row r="116" spans="1:9" x14ac:dyDescent="0.25">
      <c r="A116" s="3">
        <v>125</v>
      </c>
      <c r="B116" s="5">
        <v>45471</v>
      </c>
      <c r="C116" s="3">
        <v>19</v>
      </c>
      <c r="D116" s="3" t="str">
        <f>"1657"</f>
        <v>1657</v>
      </c>
      <c r="E116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6" s="3" t="str">
        <f>""</f>
        <v/>
      </c>
      <c r="G116" s="3" t="str">
        <f>""</f>
        <v/>
      </c>
      <c r="H116" s="3" t="str">
        <f>""</f>
        <v/>
      </c>
      <c r="I116" s="4">
        <v>15320563635</v>
      </c>
    </row>
    <row r="117" spans="1:9" x14ac:dyDescent="0.25">
      <c r="A117" s="3">
        <v>105</v>
      </c>
      <c r="B117" s="5">
        <v>45471</v>
      </c>
      <c r="C117" s="3">
        <v>19</v>
      </c>
      <c r="D117" s="3" t="str">
        <f>"1658"</f>
        <v>1658</v>
      </c>
      <c r="E117" s="3" t="str">
        <f>"Транспортные средства"</f>
        <v>Транспортные средства</v>
      </c>
      <c r="F117" s="3" t="str">
        <f>""</f>
        <v/>
      </c>
      <c r="G117" s="3" t="str">
        <f>""</f>
        <v/>
      </c>
      <c r="H117" s="3" t="str">
        <f>""</f>
        <v/>
      </c>
      <c r="I117" s="4">
        <v>3206793302</v>
      </c>
    </row>
    <row r="118" spans="1:9" x14ac:dyDescent="0.25">
      <c r="A118" s="3">
        <v>104</v>
      </c>
      <c r="B118" s="5">
        <v>45471</v>
      </c>
      <c r="C118" s="3">
        <v>19</v>
      </c>
      <c r="D118" s="3" t="str">
        <f>"1659"</f>
        <v>1659</v>
      </c>
      <c r="E118" s="3" t="str">
        <f>"Нематериальные активы"</f>
        <v>Нематериальные активы</v>
      </c>
      <c r="F118" s="3" t="str">
        <f>""</f>
        <v/>
      </c>
      <c r="G118" s="3" t="str">
        <f>""</f>
        <v/>
      </c>
      <c r="H118" s="3" t="str">
        <f>""</f>
        <v/>
      </c>
      <c r="I118" s="4">
        <v>30549038725</v>
      </c>
    </row>
    <row r="119" spans="1:9" x14ac:dyDescent="0.25">
      <c r="A119" s="3">
        <v>112</v>
      </c>
      <c r="B119" s="5">
        <v>45471</v>
      </c>
      <c r="C119" s="3">
        <v>19</v>
      </c>
      <c r="D119" s="3" t="str">
        <f>"1692"</f>
        <v>1692</v>
      </c>
      <c r="E119" s="3" t="str">
        <f>"Начисленная амортизация по зданиям и сооружениям"</f>
        <v>Начисленная амортизация по зданиям и сооружениям</v>
      </c>
      <c r="F119" s="3" t="str">
        <f>""</f>
        <v/>
      </c>
      <c r="G119" s="3" t="str">
        <f>""</f>
        <v/>
      </c>
      <c r="H119" s="3" t="str">
        <f>""</f>
        <v/>
      </c>
      <c r="I119" s="4">
        <v>-4706584748</v>
      </c>
    </row>
    <row r="120" spans="1:9" x14ac:dyDescent="0.25">
      <c r="A120" s="3">
        <v>110</v>
      </c>
      <c r="B120" s="5">
        <v>45471</v>
      </c>
      <c r="C120" s="3">
        <v>19</v>
      </c>
      <c r="D120" s="3" t="str">
        <f>"1693"</f>
        <v>1693</v>
      </c>
      <c r="E120" s="3" t="str">
        <f>"Начисленная амортизация по компьютерному оборудованию"</f>
        <v>Начисленная амортизация по компьютерному оборудованию</v>
      </c>
      <c r="F120" s="3" t="str">
        <f>""</f>
        <v/>
      </c>
      <c r="G120" s="3" t="str">
        <f>""</f>
        <v/>
      </c>
      <c r="H120" s="3" t="str">
        <f>""</f>
        <v/>
      </c>
      <c r="I120" s="4">
        <v>-39287280579</v>
      </c>
    </row>
    <row r="121" spans="1:9" x14ac:dyDescent="0.25">
      <c r="A121" s="3">
        <v>109</v>
      </c>
      <c r="B121" s="5">
        <v>45471</v>
      </c>
      <c r="C121" s="3">
        <v>19</v>
      </c>
      <c r="D121" s="3" t="str">
        <f>"1694"</f>
        <v>1694</v>
      </c>
      <c r="E121" s="3" t="str">
        <f>"Начисленная амортизация по прочим основным средствам"</f>
        <v>Начисленная амортизация по прочим основным средствам</v>
      </c>
      <c r="F121" s="3" t="str">
        <f>""</f>
        <v/>
      </c>
      <c r="G121" s="3" t="str">
        <f>""</f>
        <v/>
      </c>
      <c r="H121" s="3" t="str">
        <f>""</f>
        <v/>
      </c>
      <c r="I121" s="4">
        <v>-16635880014</v>
      </c>
    </row>
    <row r="122" spans="1:9" x14ac:dyDescent="0.25">
      <c r="A122" s="3">
        <v>111</v>
      </c>
      <c r="B122" s="5">
        <v>45471</v>
      </c>
      <c r="C122" s="3">
        <v>19</v>
      </c>
      <c r="D122" s="3" t="str">
        <f>"1697"</f>
        <v>1697</v>
      </c>
      <c r="E122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2" s="3" t="str">
        <f>""</f>
        <v/>
      </c>
      <c r="G122" s="3" t="str">
        <f>""</f>
        <v/>
      </c>
      <c r="H122" s="3" t="str">
        <f>""</f>
        <v/>
      </c>
      <c r="I122" s="4">
        <v>-5195275278</v>
      </c>
    </row>
    <row r="123" spans="1:9" x14ac:dyDescent="0.25">
      <c r="A123" s="3">
        <v>114</v>
      </c>
      <c r="B123" s="5">
        <v>45471</v>
      </c>
      <c r="C123" s="3">
        <v>19</v>
      </c>
      <c r="D123" s="3" t="str">
        <f>"1698"</f>
        <v>1698</v>
      </c>
      <c r="E123" s="3" t="str">
        <f>"Начисленная амортизация по транспортным средствам"</f>
        <v>Начисленная амортизация по транспортным средствам</v>
      </c>
      <c r="F123" s="3" t="str">
        <f>""</f>
        <v/>
      </c>
      <c r="G123" s="3" t="str">
        <f>""</f>
        <v/>
      </c>
      <c r="H123" s="3" t="str">
        <f>""</f>
        <v/>
      </c>
      <c r="I123" s="4">
        <v>-1174756994</v>
      </c>
    </row>
    <row r="124" spans="1:9" x14ac:dyDescent="0.25">
      <c r="A124" s="3">
        <v>113</v>
      </c>
      <c r="B124" s="5">
        <v>45471</v>
      </c>
      <c r="C124" s="3">
        <v>19</v>
      </c>
      <c r="D124" s="3" t="str">
        <f>"1699"</f>
        <v>1699</v>
      </c>
      <c r="E124" s="3" t="str">
        <f>"Начисленная амортизация по нематериальным активам"</f>
        <v>Начисленная амортизация по нематериальным активам</v>
      </c>
      <c r="F124" s="3" t="str">
        <f>""</f>
        <v/>
      </c>
      <c r="G124" s="3" t="str">
        <f>""</f>
        <v/>
      </c>
      <c r="H124" s="3" t="str">
        <f>""</f>
        <v/>
      </c>
      <c r="I124" s="4">
        <v>-19632794218</v>
      </c>
    </row>
    <row r="125" spans="1:9" x14ac:dyDescent="0.25">
      <c r="A125" s="3">
        <v>118</v>
      </c>
      <c r="B125" s="5">
        <v>45471</v>
      </c>
      <c r="C125" s="3">
        <v>19</v>
      </c>
      <c r="D125" s="3" t="str">
        <f>"1705"</f>
        <v>1705</v>
      </c>
      <c r="E125" s="3" t="str">
        <f>"Начисленные доходы по корреспондентским счетам"</f>
        <v>Начисленные доходы по корреспондентским счетам</v>
      </c>
      <c r="F125" s="3" t="str">
        <f>"2"</f>
        <v>2</v>
      </c>
      <c r="G125" s="3" t="str">
        <f>"4"</f>
        <v>4</v>
      </c>
      <c r="H125" s="3" t="str">
        <f>"2"</f>
        <v>2</v>
      </c>
      <c r="I125" s="4">
        <v>108067023.98</v>
      </c>
    </row>
    <row r="126" spans="1:9" x14ac:dyDescent="0.25">
      <c r="A126" s="3">
        <v>115</v>
      </c>
      <c r="B126" s="5">
        <v>45471</v>
      </c>
      <c r="C126" s="3">
        <v>19</v>
      </c>
      <c r="D126" s="3" t="str">
        <f>"1710"</f>
        <v>1710</v>
      </c>
      <c r="E126" s="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6" s="3" t="str">
        <f>"1"</f>
        <v>1</v>
      </c>
      <c r="G126" s="3" t="str">
        <f>"3"</f>
        <v>3</v>
      </c>
      <c r="H126" s="3" t="str">
        <f>"1"</f>
        <v>1</v>
      </c>
      <c r="I126" s="4">
        <v>174277777.78</v>
      </c>
    </row>
    <row r="127" spans="1:9" x14ac:dyDescent="0.25">
      <c r="A127" s="3">
        <v>116</v>
      </c>
      <c r="B127" s="5">
        <v>45471</v>
      </c>
      <c r="C127" s="3">
        <v>19</v>
      </c>
      <c r="D127" s="3" t="str">
        <f>"1725"</f>
        <v>1725</v>
      </c>
      <c r="E127" s="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7" s="3" t="str">
        <f>"2"</f>
        <v>2</v>
      </c>
      <c r="G127" s="3" t="str">
        <f>"4"</f>
        <v>4</v>
      </c>
      <c r="H127" s="3" t="str">
        <f>"2"</f>
        <v>2</v>
      </c>
      <c r="I127" s="4">
        <v>348112971.56</v>
      </c>
    </row>
    <row r="128" spans="1:9" x14ac:dyDescent="0.25">
      <c r="A128" s="3">
        <v>120</v>
      </c>
      <c r="B128" s="5">
        <v>45471</v>
      </c>
      <c r="C128" s="3">
        <v>19</v>
      </c>
      <c r="D128" s="3" t="str">
        <f>"1728"</f>
        <v>1728</v>
      </c>
      <c r="E128" s="3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8" s="3" t="str">
        <f>"2"</f>
        <v>2</v>
      </c>
      <c r="G128" s="3" t="str">
        <f>"4"</f>
        <v>4</v>
      </c>
      <c r="H128" s="3" t="str">
        <f>"2"</f>
        <v>2</v>
      </c>
      <c r="I128" s="4">
        <v>34499307.079999998</v>
      </c>
    </row>
    <row r="129" spans="1:9" x14ac:dyDescent="0.25">
      <c r="A129" s="3">
        <v>117</v>
      </c>
      <c r="B129" s="5">
        <v>45471</v>
      </c>
      <c r="C129" s="3">
        <v>19</v>
      </c>
      <c r="D129" s="3" t="str">
        <f>"1740"</f>
        <v>1740</v>
      </c>
      <c r="E129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9" s="3" t="str">
        <f>"1"</f>
        <v>1</v>
      </c>
      <c r="G129" s="3" t="str">
        <f>"9"</f>
        <v>9</v>
      </c>
      <c r="H129" s="3" t="str">
        <f>"1"</f>
        <v>1</v>
      </c>
      <c r="I129" s="4">
        <v>35368810945.779999</v>
      </c>
    </row>
    <row r="130" spans="1:9" x14ac:dyDescent="0.25">
      <c r="A130" s="3">
        <v>119</v>
      </c>
      <c r="B130" s="5">
        <v>45471</v>
      </c>
      <c r="C130" s="3">
        <v>19</v>
      </c>
      <c r="D130" s="3" t="str">
        <f>"1740"</f>
        <v>1740</v>
      </c>
      <c r="E130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0" s="3" t="str">
        <f>"2"</f>
        <v>2</v>
      </c>
      <c r="G130" s="3" t="str">
        <f>"9"</f>
        <v>9</v>
      </c>
      <c r="H130" s="3" t="str">
        <f>"1"</f>
        <v>1</v>
      </c>
      <c r="I130" s="4">
        <v>654221.85</v>
      </c>
    </row>
    <row r="131" spans="1:9" x14ac:dyDescent="0.25">
      <c r="A131" s="3">
        <v>123</v>
      </c>
      <c r="B131" s="5">
        <v>45471</v>
      </c>
      <c r="C131" s="3">
        <v>19</v>
      </c>
      <c r="D131" s="3" t="str">
        <f>"1740"</f>
        <v>1740</v>
      </c>
      <c r="E131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1" s="3" t="str">
        <f>"1"</f>
        <v>1</v>
      </c>
      <c r="G131" s="3" t="str">
        <f>"7"</f>
        <v>7</v>
      </c>
      <c r="H131" s="3" t="str">
        <f>"1"</f>
        <v>1</v>
      </c>
      <c r="I131" s="4">
        <v>1710182901.1700001</v>
      </c>
    </row>
    <row r="132" spans="1:9" x14ac:dyDescent="0.25">
      <c r="A132" s="3">
        <v>121</v>
      </c>
      <c r="B132" s="5">
        <v>45471</v>
      </c>
      <c r="C132" s="3">
        <v>19</v>
      </c>
      <c r="D132" s="3" t="str">
        <f>"1741"</f>
        <v>1741</v>
      </c>
      <c r="E132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s="3" t="str">
        <f>"1"</f>
        <v>1</v>
      </c>
      <c r="G132" s="3" t="str">
        <f>"7"</f>
        <v>7</v>
      </c>
      <c r="H132" s="3" t="str">
        <f>"2"</f>
        <v>2</v>
      </c>
      <c r="I132" s="4">
        <v>1131324.8500000001</v>
      </c>
    </row>
    <row r="133" spans="1:9" x14ac:dyDescent="0.25">
      <c r="A133" s="3">
        <v>122</v>
      </c>
      <c r="B133" s="5">
        <v>45471</v>
      </c>
      <c r="C133" s="3">
        <v>19</v>
      </c>
      <c r="D133" s="3" t="str">
        <f>"1741"</f>
        <v>1741</v>
      </c>
      <c r="E133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s="3" t="str">
        <f>"1"</f>
        <v>1</v>
      </c>
      <c r="G133" s="3" t="str">
        <f>"7"</f>
        <v>7</v>
      </c>
      <c r="H133" s="3" t="str">
        <f>"1"</f>
        <v>1</v>
      </c>
      <c r="I133" s="4">
        <v>206564986.49000001</v>
      </c>
    </row>
    <row r="134" spans="1:9" x14ac:dyDescent="0.25">
      <c r="A134" s="3">
        <v>124</v>
      </c>
      <c r="B134" s="5">
        <v>45471</v>
      </c>
      <c r="C134" s="3">
        <v>19</v>
      </c>
      <c r="D134" s="3" t="str">
        <f>"1741"</f>
        <v>1741</v>
      </c>
      <c r="E134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4" s="3" t="str">
        <f>"1"</f>
        <v>1</v>
      </c>
      <c r="G134" s="3" t="str">
        <f>"9"</f>
        <v>9</v>
      </c>
      <c r="H134" s="3" t="str">
        <f>"1"</f>
        <v>1</v>
      </c>
      <c r="I134" s="4">
        <v>20321990849.220001</v>
      </c>
    </row>
    <row r="135" spans="1:9" x14ac:dyDescent="0.25">
      <c r="A135" s="3">
        <v>126</v>
      </c>
      <c r="B135" s="5">
        <v>45471</v>
      </c>
      <c r="C135" s="3">
        <v>19</v>
      </c>
      <c r="D135" s="3" t="str">
        <f>"1741"</f>
        <v>1741</v>
      </c>
      <c r="E135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s="3" t="str">
        <f>"2"</f>
        <v>2</v>
      </c>
      <c r="G135" s="3" t="str">
        <f>"9"</f>
        <v>9</v>
      </c>
      <c r="H135" s="3" t="str">
        <f>"1"</f>
        <v>1</v>
      </c>
      <c r="I135" s="4">
        <v>1058132.78</v>
      </c>
    </row>
    <row r="136" spans="1:9" x14ac:dyDescent="0.25">
      <c r="A136" s="3">
        <v>127</v>
      </c>
      <c r="B136" s="5">
        <v>45471</v>
      </c>
      <c r="C136" s="3">
        <v>19</v>
      </c>
      <c r="D136" s="3" t="str">
        <f>"1741"</f>
        <v>1741</v>
      </c>
      <c r="E136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6" s="3" t="str">
        <f>"1"</f>
        <v>1</v>
      </c>
      <c r="G136" s="3" t="str">
        <f>"9"</f>
        <v>9</v>
      </c>
      <c r="H136" s="3" t="str">
        <f>"2"</f>
        <v>2</v>
      </c>
      <c r="I136" s="4">
        <v>14384871.640000001</v>
      </c>
    </row>
    <row r="137" spans="1:9" x14ac:dyDescent="0.25">
      <c r="A137" s="3">
        <v>128</v>
      </c>
      <c r="B137" s="5">
        <v>45471</v>
      </c>
      <c r="C137" s="3">
        <v>19</v>
      </c>
      <c r="D137" s="3" t="str">
        <f t="shared" ref="D137:D146" si="15">"1746"</f>
        <v>1746</v>
      </c>
      <c r="E137" s="3" t="str">
        <f t="shared" ref="E137:E146" si="1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7" s="3" t="str">
        <f>"1"</f>
        <v>1</v>
      </c>
      <c r="G137" s="3" t="str">
        <f>"4"</f>
        <v>4</v>
      </c>
      <c r="H137" s="3" t="str">
        <f>"2"</f>
        <v>2</v>
      </c>
      <c r="I137" s="4">
        <v>251313304.09999999</v>
      </c>
    </row>
    <row r="138" spans="1:9" x14ac:dyDescent="0.25">
      <c r="A138" s="3">
        <v>129</v>
      </c>
      <c r="B138" s="5">
        <v>45471</v>
      </c>
      <c r="C138" s="3">
        <v>19</v>
      </c>
      <c r="D138" s="3" t="str">
        <f t="shared" si="15"/>
        <v>1746</v>
      </c>
      <c r="E138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38" s="3" t="str">
        <f>"1"</f>
        <v>1</v>
      </c>
      <c r="G138" s="3" t="str">
        <f>"1"</f>
        <v>1</v>
      </c>
      <c r="H138" s="3" t="str">
        <f>"2"</f>
        <v>2</v>
      </c>
      <c r="I138" s="4">
        <v>123867424.61</v>
      </c>
    </row>
    <row r="139" spans="1:9" x14ac:dyDescent="0.25">
      <c r="A139" s="3">
        <v>130</v>
      </c>
      <c r="B139" s="5">
        <v>45471</v>
      </c>
      <c r="C139" s="3">
        <v>19</v>
      </c>
      <c r="D139" s="3" t="str">
        <f t="shared" si="15"/>
        <v>1746</v>
      </c>
      <c r="E139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39" s="3" t="str">
        <f>"2"</f>
        <v>2</v>
      </c>
      <c r="G139" s="3" t="str">
        <f>"1"</f>
        <v>1</v>
      </c>
      <c r="H139" s="3" t="str">
        <f>"2"</f>
        <v>2</v>
      </c>
      <c r="I139" s="4">
        <v>16975987.510000002</v>
      </c>
    </row>
    <row r="140" spans="1:9" x14ac:dyDescent="0.25">
      <c r="A140" s="3">
        <v>132</v>
      </c>
      <c r="B140" s="5">
        <v>45471</v>
      </c>
      <c r="C140" s="3">
        <v>19</v>
      </c>
      <c r="D140" s="3" t="str">
        <f t="shared" si="15"/>
        <v>1746</v>
      </c>
      <c r="E140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0" s="3" t="str">
        <f>"1"</f>
        <v>1</v>
      </c>
      <c r="G140" s="3" t="str">
        <f>"4"</f>
        <v>4</v>
      </c>
      <c r="H140" s="3" t="str">
        <f>"1"</f>
        <v>1</v>
      </c>
      <c r="I140" s="4">
        <v>847793613.84000003</v>
      </c>
    </row>
    <row r="141" spans="1:9" x14ac:dyDescent="0.25">
      <c r="A141" s="3">
        <v>133</v>
      </c>
      <c r="B141" s="5">
        <v>45471</v>
      </c>
      <c r="C141" s="3">
        <v>19</v>
      </c>
      <c r="D141" s="3" t="str">
        <f t="shared" si="15"/>
        <v>1746</v>
      </c>
      <c r="E141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1" s="3" t="str">
        <f>"1"</f>
        <v>1</v>
      </c>
      <c r="G141" s="3" t="str">
        <f>"5"</f>
        <v>5</v>
      </c>
      <c r="H141" s="3" t="str">
        <f>"1"</f>
        <v>1</v>
      </c>
      <c r="I141" s="4">
        <v>6486564823.8900003</v>
      </c>
    </row>
    <row r="142" spans="1:9" x14ac:dyDescent="0.25">
      <c r="A142" s="3">
        <v>134</v>
      </c>
      <c r="B142" s="5">
        <v>45471</v>
      </c>
      <c r="C142" s="3">
        <v>19</v>
      </c>
      <c r="D142" s="3" t="str">
        <f t="shared" si="15"/>
        <v>1746</v>
      </c>
      <c r="E142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2" s="3" t="str">
        <f>"2"</f>
        <v>2</v>
      </c>
      <c r="G142" s="3" t="str">
        <f>"3"</f>
        <v>3</v>
      </c>
      <c r="H142" s="3" t="str">
        <f>"1"</f>
        <v>1</v>
      </c>
      <c r="I142" s="4">
        <v>5736753011.8999996</v>
      </c>
    </row>
    <row r="143" spans="1:9" x14ac:dyDescent="0.25">
      <c r="A143" s="3">
        <v>135</v>
      </c>
      <c r="B143" s="5">
        <v>45471</v>
      </c>
      <c r="C143" s="3">
        <v>19</v>
      </c>
      <c r="D143" s="3" t="str">
        <f t="shared" si="15"/>
        <v>1746</v>
      </c>
      <c r="E143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3" s="3" t="str">
        <f>"1"</f>
        <v>1</v>
      </c>
      <c r="G143" s="3" t="str">
        <f>"1"</f>
        <v>1</v>
      </c>
      <c r="H143" s="3" t="str">
        <f>"1"</f>
        <v>1</v>
      </c>
      <c r="I143" s="4">
        <v>29853497274.040001</v>
      </c>
    </row>
    <row r="144" spans="1:9" x14ac:dyDescent="0.25">
      <c r="A144" s="3">
        <v>136</v>
      </c>
      <c r="B144" s="5">
        <v>45471</v>
      </c>
      <c r="C144" s="3">
        <v>19</v>
      </c>
      <c r="D144" s="3" t="str">
        <f t="shared" si="15"/>
        <v>1746</v>
      </c>
      <c r="E144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4" s="3" t="str">
        <f>"2"</f>
        <v>2</v>
      </c>
      <c r="G144" s="3" t="str">
        <f>"7"</f>
        <v>7</v>
      </c>
      <c r="H144" s="3" t="str">
        <f>"2"</f>
        <v>2</v>
      </c>
      <c r="I144" s="4">
        <v>163985183.19</v>
      </c>
    </row>
    <row r="145" spans="1:9" x14ac:dyDescent="0.25">
      <c r="A145" s="3">
        <v>139</v>
      </c>
      <c r="B145" s="5">
        <v>45471</v>
      </c>
      <c r="C145" s="3">
        <v>19</v>
      </c>
      <c r="D145" s="3" t="str">
        <f t="shared" si="15"/>
        <v>1746</v>
      </c>
      <c r="E145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5" s="3" t="str">
        <f>"1"</f>
        <v>1</v>
      </c>
      <c r="G145" s="3" t="str">
        <f>"6"</f>
        <v>6</v>
      </c>
      <c r="H145" s="3" t="str">
        <f>"2"</f>
        <v>2</v>
      </c>
      <c r="I145" s="4">
        <v>70033105.849999994</v>
      </c>
    </row>
    <row r="146" spans="1:9" x14ac:dyDescent="0.25">
      <c r="A146" s="3">
        <v>224</v>
      </c>
      <c r="B146" s="5">
        <v>45471</v>
      </c>
      <c r="C146" s="3">
        <v>19</v>
      </c>
      <c r="D146" s="3" t="str">
        <f t="shared" si="15"/>
        <v>1746</v>
      </c>
      <c r="E146" s="3" t="str">
        <f t="shared" si="16"/>
        <v>Начисленные доходы по ценным бумагам, учитываемым по справедливой стоимости через прочий совокупный доход</v>
      </c>
      <c r="F146" s="3" t="str">
        <f>"2"</f>
        <v>2</v>
      </c>
      <c r="G146" s="3" t="str">
        <f>"4"</f>
        <v>4</v>
      </c>
      <c r="H146" s="3" t="str">
        <f>"2"</f>
        <v>2</v>
      </c>
      <c r="I146" s="4">
        <v>5614951.8799999999</v>
      </c>
    </row>
    <row r="147" spans="1:9" x14ac:dyDescent="0.25">
      <c r="A147" s="3">
        <v>175</v>
      </c>
      <c r="B147" s="5">
        <v>45471</v>
      </c>
      <c r="C147" s="3">
        <v>19</v>
      </c>
      <c r="D147" s="3" t="str">
        <f>"1748"</f>
        <v>1748</v>
      </c>
      <c r="E147" s="3" t="s">
        <v>9</v>
      </c>
      <c r="F147" s="3" t="str">
        <f>"1"</f>
        <v>1</v>
      </c>
      <c r="G147" s="3" t="str">
        <f>"5"</f>
        <v>5</v>
      </c>
      <c r="H147" s="3" t="str">
        <f>"1"</f>
        <v>1</v>
      </c>
      <c r="I147" s="4">
        <v>242513.79</v>
      </c>
    </row>
    <row r="148" spans="1:9" x14ac:dyDescent="0.25">
      <c r="A148" s="3">
        <v>138</v>
      </c>
      <c r="B148" s="5">
        <v>45471</v>
      </c>
      <c r="C148" s="3">
        <v>19</v>
      </c>
      <c r="D148" s="3" t="str">
        <f>"1750"</f>
        <v>1750</v>
      </c>
      <c r="E148" s="3" t="str">
        <f>"Просроченное вознаграждение по ценным бумагам"</f>
        <v>Просроченное вознаграждение по ценным бумагам</v>
      </c>
      <c r="F148" s="3" t="str">
        <f>"2"</f>
        <v>2</v>
      </c>
      <c r="G148" s="3" t="str">
        <f>"7"</f>
        <v>7</v>
      </c>
      <c r="H148" s="3" t="str">
        <f>"2"</f>
        <v>2</v>
      </c>
      <c r="I148" s="4">
        <v>20862105</v>
      </c>
    </row>
    <row r="149" spans="1:9" x14ac:dyDescent="0.25">
      <c r="A149" s="3">
        <v>140</v>
      </c>
      <c r="B149" s="5">
        <v>45471</v>
      </c>
      <c r="C149" s="3">
        <v>19</v>
      </c>
      <c r="D149" s="3" t="str">
        <f t="shared" ref="D149:D155" si="17">"1793"</f>
        <v>1793</v>
      </c>
      <c r="E149" s="3" t="str">
        <f t="shared" ref="E149:E155" si="18">"Расходы будущих периодов"</f>
        <v>Расходы будущих периодов</v>
      </c>
      <c r="F149" s="3" t="str">
        <f>"1"</f>
        <v>1</v>
      </c>
      <c r="G149" s="3" t="str">
        <f>"8"</f>
        <v>8</v>
      </c>
      <c r="H149" s="3" t="str">
        <f t="shared" ref="H149:H154" si="19">"1"</f>
        <v>1</v>
      </c>
      <c r="I149" s="4">
        <v>421631451.69</v>
      </c>
    </row>
    <row r="150" spans="1:9" x14ac:dyDescent="0.25">
      <c r="A150" s="3">
        <v>141</v>
      </c>
      <c r="B150" s="5">
        <v>45471</v>
      </c>
      <c r="C150" s="3">
        <v>19</v>
      </c>
      <c r="D150" s="3" t="str">
        <f t="shared" si="17"/>
        <v>1793</v>
      </c>
      <c r="E150" s="3" t="str">
        <f t="shared" si="18"/>
        <v>Расходы будущих периодов</v>
      </c>
      <c r="F150" s="3" t="str">
        <f>"1"</f>
        <v>1</v>
      </c>
      <c r="G150" s="3" t="str">
        <f>"6"</f>
        <v>6</v>
      </c>
      <c r="H150" s="3" t="str">
        <f t="shared" si="19"/>
        <v>1</v>
      </c>
      <c r="I150" s="4">
        <v>72358258.780000001</v>
      </c>
    </row>
    <row r="151" spans="1:9" x14ac:dyDescent="0.25">
      <c r="A151" s="3">
        <v>142</v>
      </c>
      <c r="B151" s="5">
        <v>45471</v>
      </c>
      <c r="C151" s="3">
        <v>19</v>
      </c>
      <c r="D151" s="3" t="str">
        <f t="shared" si="17"/>
        <v>1793</v>
      </c>
      <c r="E151" s="3" t="str">
        <f t="shared" si="18"/>
        <v>Расходы будущих периодов</v>
      </c>
      <c r="F151" s="3" t="str">
        <f>"1"</f>
        <v>1</v>
      </c>
      <c r="G151" s="3" t="str">
        <f>"5"</f>
        <v>5</v>
      </c>
      <c r="H151" s="3" t="str">
        <f t="shared" si="19"/>
        <v>1</v>
      </c>
      <c r="I151" s="4">
        <v>95963465.430000007</v>
      </c>
    </row>
    <row r="152" spans="1:9" x14ac:dyDescent="0.25">
      <c r="A152" s="3">
        <v>143</v>
      </c>
      <c r="B152" s="5">
        <v>45471</v>
      </c>
      <c r="C152" s="3">
        <v>19</v>
      </c>
      <c r="D152" s="3" t="str">
        <f t="shared" si="17"/>
        <v>1793</v>
      </c>
      <c r="E152" s="3" t="str">
        <f t="shared" si="18"/>
        <v>Расходы будущих периодов</v>
      </c>
      <c r="F152" s="3" t="str">
        <f>"1"</f>
        <v>1</v>
      </c>
      <c r="G152" s="3" t="str">
        <f>"7"</f>
        <v>7</v>
      </c>
      <c r="H152" s="3" t="str">
        <f t="shared" si="19"/>
        <v>1</v>
      </c>
      <c r="I152" s="4">
        <v>5547692414.2200003</v>
      </c>
    </row>
    <row r="153" spans="1:9" x14ac:dyDescent="0.25">
      <c r="A153" s="3">
        <v>144</v>
      </c>
      <c r="B153" s="5">
        <v>45471</v>
      </c>
      <c r="C153" s="3">
        <v>19</v>
      </c>
      <c r="D153" s="3" t="str">
        <f t="shared" si="17"/>
        <v>1793</v>
      </c>
      <c r="E153" s="3" t="str">
        <f t="shared" si="18"/>
        <v>Расходы будущих периодов</v>
      </c>
      <c r="F153" s="3" t="str">
        <f>"1"</f>
        <v>1</v>
      </c>
      <c r="G153" s="3" t="str">
        <f>"9"</f>
        <v>9</v>
      </c>
      <c r="H153" s="3" t="str">
        <f t="shared" si="19"/>
        <v>1</v>
      </c>
      <c r="I153" s="4">
        <v>70622474.569999993</v>
      </c>
    </row>
    <row r="154" spans="1:9" x14ac:dyDescent="0.25">
      <c r="A154" s="3">
        <v>145</v>
      </c>
      <c r="B154" s="5">
        <v>45471</v>
      </c>
      <c r="C154" s="3">
        <v>19</v>
      </c>
      <c r="D154" s="3" t="str">
        <f t="shared" si="17"/>
        <v>1793</v>
      </c>
      <c r="E154" s="3" t="str">
        <f t="shared" si="18"/>
        <v>Расходы будущих периодов</v>
      </c>
      <c r="F154" s="3" t="str">
        <f>"2"</f>
        <v>2</v>
      </c>
      <c r="G154" s="3" t="str">
        <f>"7"</f>
        <v>7</v>
      </c>
      <c r="H154" s="3" t="str">
        <f t="shared" si="19"/>
        <v>1</v>
      </c>
      <c r="I154" s="4">
        <v>658406950.91999996</v>
      </c>
    </row>
    <row r="155" spans="1:9" x14ac:dyDescent="0.25">
      <c r="A155" s="3">
        <v>154</v>
      </c>
      <c r="B155" s="5">
        <v>45471</v>
      </c>
      <c r="C155" s="3">
        <v>19</v>
      </c>
      <c r="D155" s="3" t="str">
        <f t="shared" si="17"/>
        <v>1793</v>
      </c>
      <c r="E155" s="3" t="str">
        <f t="shared" si="18"/>
        <v>Расходы будущих периодов</v>
      </c>
      <c r="F155" s="3" t="str">
        <f>"2"</f>
        <v>2</v>
      </c>
      <c r="G155" s="3" t="str">
        <f>"4"</f>
        <v>4</v>
      </c>
      <c r="H155" s="3" t="str">
        <f>"2"</f>
        <v>2</v>
      </c>
      <c r="I155" s="4">
        <v>3002346.86</v>
      </c>
    </row>
    <row r="156" spans="1:9" x14ac:dyDescent="0.25">
      <c r="A156" s="3">
        <v>147</v>
      </c>
      <c r="B156" s="5">
        <v>45471</v>
      </c>
      <c r="C156" s="3">
        <v>19</v>
      </c>
      <c r="D156" s="3" t="str">
        <f>"1815"</f>
        <v>1815</v>
      </c>
      <c r="E156" s="3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6" s="3" t="str">
        <f>"1"</f>
        <v>1</v>
      </c>
      <c r="G156" s="3" t="str">
        <f>""</f>
        <v/>
      </c>
      <c r="H156" s="3" t="str">
        <f>"1"</f>
        <v>1</v>
      </c>
      <c r="I156" s="4">
        <v>18612.740000000002</v>
      </c>
    </row>
    <row r="157" spans="1:9" x14ac:dyDescent="0.25">
      <c r="A157" s="3">
        <v>148</v>
      </c>
      <c r="B157" s="5">
        <v>45471</v>
      </c>
      <c r="C157" s="3">
        <v>19</v>
      </c>
      <c r="D157" s="3" t="str">
        <f>"1816"</f>
        <v>1816</v>
      </c>
      <c r="E157" s="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7" s="3" t="str">
        <f>"1"</f>
        <v>1</v>
      </c>
      <c r="G157" s="3" t="str">
        <f>""</f>
        <v/>
      </c>
      <c r="H157" s="3" t="str">
        <f>"1"</f>
        <v>1</v>
      </c>
      <c r="I157" s="4">
        <v>612516.74</v>
      </c>
    </row>
    <row r="158" spans="1:9" x14ac:dyDescent="0.25">
      <c r="A158" s="3">
        <v>180</v>
      </c>
      <c r="B158" s="5">
        <v>45471</v>
      </c>
      <c r="C158" s="3">
        <v>19</v>
      </c>
      <c r="D158" s="3" t="str">
        <f>"1816"</f>
        <v>1816</v>
      </c>
      <c r="E158" s="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8" s="3" t="str">
        <f>"1"</f>
        <v>1</v>
      </c>
      <c r="G158" s="3" t="str">
        <f>""</f>
        <v/>
      </c>
      <c r="H158" s="3" t="str">
        <f>"2"</f>
        <v>2</v>
      </c>
      <c r="I158" s="4">
        <v>8179805.0199999996</v>
      </c>
    </row>
    <row r="159" spans="1:9" x14ac:dyDescent="0.25">
      <c r="A159" s="3">
        <v>146</v>
      </c>
      <c r="B159" s="5">
        <v>45471</v>
      </c>
      <c r="C159" s="3">
        <v>19</v>
      </c>
      <c r="D159" s="3" t="str">
        <f>"1817"</f>
        <v>1817</v>
      </c>
      <c r="E159" s="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9" s="3" t="str">
        <f>"1"</f>
        <v>1</v>
      </c>
      <c r="G159" s="3" t="str">
        <f>""</f>
        <v/>
      </c>
      <c r="H159" s="3" t="str">
        <f t="shared" ref="H159:H169" si="20">"1"</f>
        <v>1</v>
      </c>
      <c r="I159" s="4">
        <v>1005382000</v>
      </c>
    </row>
    <row r="160" spans="1:9" x14ac:dyDescent="0.25">
      <c r="A160" s="3">
        <v>181</v>
      </c>
      <c r="B160" s="5">
        <v>45471</v>
      </c>
      <c r="C160" s="3">
        <v>19</v>
      </c>
      <c r="D160" s="3" t="str">
        <f>"1817"</f>
        <v>1817</v>
      </c>
      <c r="E160" s="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60" s="3" t="str">
        <f>"2"</f>
        <v>2</v>
      </c>
      <c r="G160" s="3" t="str">
        <f>""</f>
        <v/>
      </c>
      <c r="H160" s="3" t="str">
        <f t="shared" si="20"/>
        <v>1</v>
      </c>
      <c r="I160" s="4">
        <v>5950</v>
      </c>
    </row>
    <row r="161" spans="1:9" x14ac:dyDescent="0.25">
      <c r="A161" s="3">
        <v>149</v>
      </c>
      <c r="B161" s="5">
        <v>45471</v>
      </c>
      <c r="C161" s="3">
        <v>19</v>
      </c>
      <c r="D161" s="3" t="str">
        <f>"1818"</f>
        <v>1818</v>
      </c>
      <c r="E161" s="3" t="str">
        <f>"Начисленные прочие комиссионные доходы"</f>
        <v>Начисленные прочие комиссионные доходы</v>
      </c>
      <c r="F161" s="3" t="str">
        <f>"1"</f>
        <v>1</v>
      </c>
      <c r="G161" s="3" t="str">
        <f>""</f>
        <v/>
      </c>
      <c r="H161" s="3" t="str">
        <f t="shared" si="20"/>
        <v>1</v>
      </c>
      <c r="I161" s="4">
        <v>410046743.69</v>
      </c>
    </row>
    <row r="162" spans="1:9" x14ac:dyDescent="0.25">
      <c r="A162" s="3">
        <v>152</v>
      </c>
      <c r="B162" s="5">
        <v>45471</v>
      </c>
      <c r="C162" s="3">
        <v>19</v>
      </c>
      <c r="D162" s="3" t="str">
        <f>"1835"</f>
        <v>1835</v>
      </c>
      <c r="E162" s="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2" s="3" t="str">
        <f>"1"</f>
        <v>1</v>
      </c>
      <c r="G162" s="3" t="str">
        <f>""</f>
        <v/>
      </c>
      <c r="H162" s="3" t="str">
        <f t="shared" si="20"/>
        <v>1</v>
      </c>
      <c r="I162" s="4">
        <v>8349.4599999999991</v>
      </c>
    </row>
    <row r="163" spans="1:9" x14ac:dyDescent="0.25">
      <c r="A163" s="3">
        <v>150</v>
      </c>
      <c r="B163" s="5">
        <v>45471</v>
      </c>
      <c r="C163" s="3">
        <v>19</v>
      </c>
      <c r="D163" s="3" t="str">
        <f>"1836"</f>
        <v>1836</v>
      </c>
      <c r="E163" s="3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63" s="3" t="str">
        <f>"1"</f>
        <v>1</v>
      </c>
      <c r="G163" s="3" t="str">
        <f>""</f>
        <v/>
      </c>
      <c r="H163" s="3" t="str">
        <f t="shared" si="20"/>
        <v>1</v>
      </c>
      <c r="I163" s="4">
        <v>346375</v>
      </c>
    </row>
    <row r="164" spans="1:9" x14ac:dyDescent="0.25">
      <c r="A164" s="3">
        <v>151</v>
      </c>
      <c r="B164" s="5">
        <v>45471</v>
      </c>
      <c r="C164" s="3">
        <v>19</v>
      </c>
      <c r="D164" s="3" t="str">
        <f>"1837"</f>
        <v>1837</v>
      </c>
      <c r="E164" s="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4" s="3" t="str">
        <f>"1"</f>
        <v>1</v>
      </c>
      <c r="G164" s="3" t="str">
        <f>""</f>
        <v/>
      </c>
      <c r="H164" s="3" t="str">
        <f t="shared" si="20"/>
        <v>1</v>
      </c>
      <c r="I164" s="4">
        <v>975396900</v>
      </c>
    </row>
    <row r="165" spans="1:9" x14ac:dyDescent="0.25">
      <c r="A165" s="3">
        <v>153</v>
      </c>
      <c r="B165" s="5">
        <v>45471</v>
      </c>
      <c r="C165" s="3">
        <v>19</v>
      </c>
      <c r="D165" s="3" t="str">
        <f>"1838"</f>
        <v>1838</v>
      </c>
      <c r="E165" s="3" t="str">
        <f>"Просроченные прочие комиссионные доходы"</f>
        <v>Просроченные прочие комиссионные доходы</v>
      </c>
      <c r="F165" s="3" t="str">
        <f>"1"</f>
        <v>1</v>
      </c>
      <c r="G165" s="3" t="str">
        <f>""</f>
        <v/>
      </c>
      <c r="H165" s="3" t="str">
        <f t="shared" si="20"/>
        <v>1</v>
      </c>
      <c r="I165" s="4">
        <v>8356814.5599999996</v>
      </c>
    </row>
    <row r="166" spans="1:9" x14ac:dyDescent="0.25">
      <c r="A166" s="3">
        <v>182</v>
      </c>
      <c r="B166" s="5">
        <v>45471</v>
      </c>
      <c r="C166" s="3">
        <v>19</v>
      </c>
      <c r="D166" s="3" t="str">
        <f>"1838"</f>
        <v>1838</v>
      </c>
      <c r="E166" s="3" t="str">
        <f>"Просроченные прочие комиссионные доходы"</f>
        <v>Просроченные прочие комиссионные доходы</v>
      </c>
      <c r="F166" s="3" t="str">
        <f>"2"</f>
        <v>2</v>
      </c>
      <c r="G166" s="3" t="str">
        <f>""</f>
        <v/>
      </c>
      <c r="H166" s="3" t="str">
        <f t="shared" si="20"/>
        <v>1</v>
      </c>
      <c r="I166" s="4">
        <v>3000</v>
      </c>
    </row>
    <row r="167" spans="1:9" x14ac:dyDescent="0.25">
      <c r="A167" s="3">
        <v>157</v>
      </c>
      <c r="B167" s="5">
        <v>45471</v>
      </c>
      <c r="C167" s="3">
        <v>19</v>
      </c>
      <c r="D167" s="3" t="str">
        <f>"1845"</f>
        <v>1845</v>
      </c>
      <c r="E167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7" s="3" t="str">
        <f>"2"</f>
        <v>2</v>
      </c>
      <c r="G167" s="3" t="str">
        <f>""</f>
        <v/>
      </c>
      <c r="H167" s="3" t="str">
        <f t="shared" si="20"/>
        <v>1</v>
      </c>
      <c r="I167" s="4">
        <v>-2000</v>
      </c>
    </row>
    <row r="168" spans="1:9" x14ac:dyDescent="0.25">
      <c r="A168" s="3">
        <v>158</v>
      </c>
      <c r="B168" s="5">
        <v>45471</v>
      </c>
      <c r="C168" s="3">
        <v>19</v>
      </c>
      <c r="D168" s="3" t="str">
        <f>"1845"</f>
        <v>1845</v>
      </c>
      <c r="E168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8" s="3" t="str">
        <f>"1"</f>
        <v>1</v>
      </c>
      <c r="G168" s="3" t="str">
        <f>""</f>
        <v/>
      </c>
      <c r="H168" s="3" t="str">
        <f t="shared" si="20"/>
        <v>1</v>
      </c>
      <c r="I168" s="4">
        <v>-843114171.14999998</v>
      </c>
    </row>
    <row r="169" spans="1:9" x14ac:dyDescent="0.25">
      <c r="A169" s="3">
        <v>161</v>
      </c>
      <c r="B169" s="5">
        <v>45471</v>
      </c>
      <c r="C169" s="3">
        <v>19</v>
      </c>
      <c r="D169" s="3" t="str">
        <f>"1851"</f>
        <v>1851</v>
      </c>
      <c r="E169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9" s="3" t="str">
        <f>"1"</f>
        <v>1</v>
      </c>
      <c r="G169" s="3" t="str">
        <f>"1"</f>
        <v>1</v>
      </c>
      <c r="H169" s="3" t="str">
        <f t="shared" si="20"/>
        <v>1</v>
      </c>
      <c r="I169" s="4">
        <v>763506</v>
      </c>
    </row>
    <row r="170" spans="1:9" x14ac:dyDescent="0.25">
      <c r="A170" s="3">
        <v>159</v>
      </c>
      <c r="B170" s="5">
        <v>45471</v>
      </c>
      <c r="C170" s="3">
        <v>19</v>
      </c>
      <c r="D170" s="3" t="str">
        <f>"1852"</f>
        <v>1852</v>
      </c>
      <c r="E170" s="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0" s="3" t="str">
        <f>"1"</f>
        <v>1</v>
      </c>
      <c r="G170" s="3" t="str">
        <f>"5"</f>
        <v>5</v>
      </c>
      <c r="H170" s="3" t="str">
        <f>"2"</f>
        <v>2</v>
      </c>
      <c r="I170" s="4">
        <v>31587820000</v>
      </c>
    </row>
    <row r="171" spans="1:9" x14ac:dyDescent="0.25">
      <c r="A171" s="3">
        <v>160</v>
      </c>
      <c r="B171" s="5">
        <v>45471</v>
      </c>
      <c r="C171" s="3">
        <v>19</v>
      </c>
      <c r="D171" s="3" t="str">
        <f>"1852"</f>
        <v>1852</v>
      </c>
      <c r="E171" s="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1" s="3" t="str">
        <f>"1"</f>
        <v>1</v>
      </c>
      <c r="G171" s="3" t="str">
        <f>"5"</f>
        <v>5</v>
      </c>
      <c r="H171" s="3" t="str">
        <f>"1"</f>
        <v>1</v>
      </c>
      <c r="I171" s="4">
        <v>172021101.55000001</v>
      </c>
    </row>
    <row r="172" spans="1:9" x14ac:dyDescent="0.25">
      <c r="A172" s="3">
        <v>162</v>
      </c>
      <c r="B172" s="5">
        <v>45471</v>
      </c>
      <c r="C172" s="3">
        <v>19</v>
      </c>
      <c r="D172" s="3" t="str">
        <f>"1852"</f>
        <v>1852</v>
      </c>
      <c r="E172" s="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2" s="3" t="str">
        <f>"2"</f>
        <v>2</v>
      </c>
      <c r="G172" s="3" t="str">
        <f>"5"</f>
        <v>5</v>
      </c>
      <c r="H172" s="3" t="str">
        <f>"3"</f>
        <v>3</v>
      </c>
      <c r="I172" s="4">
        <v>55631800</v>
      </c>
    </row>
    <row r="173" spans="1:9" x14ac:dyDescent="0.25">
      <c r="A173" s="3">
        <v>155</v>
      </c>
      <c r="B173" s="5">
        <v>45471</v>
      </c>
      <c r="C173" s="3">
        <v>19</v>
      </c>
      <c r="D173" s="3" t="str">
        <f>"1854"</f>
        <v>1854</v>
      </c>
      <c r="E173" s="3" t="str">
        <f>"Расчеты с работниками"</f>
        <v>Расчеты с работниками</v>
      </c>
      <c r="F173" s="3" t="str">
        <f>""</f>
        <v/>
      </c>
      <c r="G173" s="3" t="str">
        <f>""</f>
        <v/>
      </c>
      <c r="H173" s="3" t="str">
        <f>""</f>
        <v/>
      </c>
      <c r="I173" s="4">
        <v>17478256.620000001</v>
      </c>
    </row>
    <row r="174" spans="1:9" x14ac:dyDescent="0.25">
      <c r="A174" s="3">
        <v>163</v>
      </c>
      <c r="B174" s="5">
        <v>45471</v>
      </c>
      <c r="C174" s="3">
        <v>19</v>
      </c>
      <c r="D174" s="3" t="str">
        <f>"1856"</f>
        <v>1856</v>
      </c>
      <c r="E174" s="3" t="str">
        <f>"Дебиторы по капитальным вложениям"</f>
        <v>Дебиторы по капитальным вложениям</v>
      </c>
      <c r="F174" s="3" t="str">
        <f>"2"</f>
        <v>2</v>
      </c>
      <c r="G174" s="3" t="str">
        <f>"7"</f>
        <v>7</v>
      </c>
      <c r="H174" s="3" t="str">
        <f t="shared" ref="H174:H184" si="21">"1"</f>
        <v>1</v>
      </c>
      <c r="I174" s="4">
        <v>658851171.70000005</v>
      </c>
    </row>
    <row r="175" spans="1:9" x14ac:dyDescent="0.25">
      <c r="A175" s="3">
        <v>164</v>
      </c>
      <c r="B175" s="5">
        <v>45471</v>
      </c>
      <c r="C175" s="3">
        <v>19</v>
      </c>
      <c r="D175" s="3" t="str">
        <f>"1856"</f>
        <v>1856</v>
      </c>
      <c r="E175" s="3" t="str">
        <f>"Дебиторы по капитальным вложениям"</f>
        <v>Дебиторы по капитальным вложениям</v>
      </c>
      <c r="F175" s="3" t="str">
        <f t="shared" ref="F175:F184" si="22">"1"</f>
        <v>1</v>
      </c>
      <c r="G175" s="3" t="str">
        <f>"9"</f>
        <v>9</v>
      </c>
      <c r="H175" s="3" t="str">
        <f t="shared" si="21"/>
        <v>1</v>
      </c>
      <c r="I175" s="4">
        <v>51360967.399999999</v>
      </c>
    </row>
    <row r="176" spans="1:9" x14ac:dyDescent="0.25">
      <c r="A176" s="3">
        <v>167</v>
      </c>
      <c r="B176" s="5">
        <v>45471</v>
      </c>
      <c r="C176" s="3">
        <v>19</v>
      </c>
      <c r="D176" s="3" t="str">
        <f>"1856"</f>
        <v>1856</v>
      </c>
      <c r="E176" s="3" t="str">
        <f>"Дебиторы по капитальным вложениям"</f>
        <v>Дебиторы по капитальным вложениям</v>
      </c>
      <c r="F176" s="3" t="str">
        <f t="shared" si="22"/>
        <v>1</v>
      </c>
      <c r="G176" s="3" t="str">
        <f>"7"</f>
        <v>7</v>
      </c>
      <c r="H176" s="3" t="str">
        <f t="shared" si="21"/>
        <v>1</v>
      </c>
      <c r="I176" s="4">
        <v>445961291.63999999</v>
      </c>
    </row>
    <row r="177" spans="1:9" x14ac:dyDescent="0.25">
      <c r="A177" s="3">
        <v>165</v>
      </c>
      <c r="B177" s="5">
        <v>45471</v>
      </c>
      <c r="C177" s="3">
        <v>19</v>
      </c>
      <c r="D177" s="3" t="str">
        <f t="shared" ref="D177:D190" si="23">"1860"</f>
        <v>1860</v>
      </c>
      <c r="E177" s="3" t="str">
        <f t="shared" ref="E177:E190" si="24">"Прочие дебиторы по банковской деятельности"</f>
        <v>Прочие дебиторы по банковской деятельности</v>
      </c>
      <c r="F177" s="3" t="str">
        <f t="shared" si="22"/>
        <v>1</v>
      </c>
      <c r="G177" s="3" t="str">
        <f>"4"</f>
        <v>4</v>
      </c>
      <c r="H177" s="3" t="str">
        <f t="shared" si="21"/>
        <v>1</v>
      </c>
      <c r="I177" s="4">
        <v>6117488804.1999998</v>
      </c>
    </row>
    <row r="178" spans="1:9" x14ac:dyDescent="0.25">
      <c r="A178" s="3">
        <v>166</v>
      </c>
      <c r="B178" s="5">
        <v>45471</v>
      </c>
      <c r="C178" s="3">
        <v>19</v>
      </c>
      <c r="D178" s="3" t="str">
        <f t="shared" si="23"/>
        <v>1860</v>
      </c>
      <c r="E178" s="3" t="str">
        <f t="shared" si="24"/>
        <v>Прочие дебиторы по банковской деятельности</v>
      </c>
      <c r="F178" s="3" t="str">
        <f t="shared" si="22"/>
        <v>1</v>
      </c>
      <c r="G178" s="3" t="str">
        <f>"1"</f>
        <v>1</v>
      </c>
      <c r="H178" s="3" t="str">
        <f t="shared" si="21"/>
        <v>1</v>
      </c>
      <c r="I178" s="4">
        <v>872416115.91999996</v>
      </c>
    </row>
    <row r="179" spans="1:9" x14ac:dyDescent="0.25">
      <c r="A179" s="3">
        <v>168</v>
      </c>
      <c r="B179" s="5">
        <v>45471</v>
      </c>
      <c r="C179" s="3">
        <v>19</v>
      </c>
      <c r="D179" s="3" t="str">
        <f t="shared" si="23"/>
        <v>1860</v>
      </c>
      <c r="E179" s="3" t="str">
        <f t="shared" si="24"/>
        <v>Прочие дебиторы по банковской деятельности</v>
      </c>
      <c r="F179" s="3" t="str">
        <f t="shared" si="22"/>
        <v>1</v>
      </c>
      <c r="G179" s="3" t="str">
        <f>"2"</f>
        <v>2</v>
      </c>
      <c r="H179" s="3" t="str">
        <f t="shared" si="21"/>
        <v>1</v>
      </c>
      <c r="I179" s="4">
        <v>735386</v>
      </c>
    </row>
    <row r="180" spans="1:9" x14ac:dyDescent="0.25">
      <c r="A180" s="3">
        <v>169</v>
      </c>
      <c r="B180" s="5">
        <v>45471</v>
      </c>
      <c r="C180" s="3">
        <v>19</v>
      </c>
      <c r="D180" s="3" t="str">
        <f t="shared" si="23"/>
        <v>1860</v>
      </c>
      <c r="E180" s="3" t="str">
        <f t="shared" si="24"/>
        <v>Прочие дебиторы по банковской деятельности</v>
      </c>
      <c r="F180" s="3" t="str">
        <f t="shared" si="22"/>
        <v>1</v>
      </c>
      <c r="G180" s="3" t="str">
        <f>"8"</f>
        <v>8</v>
      </c>
      <c r="H180" s="3" t="str">
        <f t="shared" si="21"/>
        <v>1</v>
      </c>
      <c r="I180" s="4">
        <v>476042639.85000002</v>
      </c>
    </row>
    <row r="181" spans="1:9" x14ac:dyDescent="0.25">
      <c r="A181" s="3">
        <v>170</v>
      </c>
      <c r="B181" s="5">
        <v>45471</v>
      </c>
      <c r="C181" s="3">
        <v>19</v>
      </c>
      <c r="D181" s="3" t="str">
        <f t="shared" si="23"/>
        <v>1860</v>
      </c>
      <c r="E181" s="3" t="str">
        <f t="shared" si="24"/>
        <v>Прочие дебиторы по банковской деятельности</v>
      </c>
      <c r="F181" s="3" t="str">
        <f t="shared" si="22"/>
        <v>1</v>
      </c>
      <c r="G181" s="3" t="str">
        <f>"5"</f>
        <v>5</v>
      </c>
      <c r="H181" s="3" t="str">
        <f t="shared" si="21"/>
        <v>1</v>
      </c>
      <c r="I181" s="4">
        <v>296837908.25999999</v>
      </c>
    </row>
    <row r="182" spans="1:9" x14ac:dyDescent="0.25">
      <c r="A182" s="3">
        <v>171</v>
      </c>
      <c r="B182" s="5">
        <v>45471</v>
      </c>
      <c r="C182" s="3">
        <v>19</v>
      </c>
      <c r="D182" s="3" t="str">
        <f t="shared" si="23"/>
        <v>1860</v>
      </c>
      <c r="E182" s="3" t="str">
        <f t="shared" si="24"/>
        <v>Прочие дебиторы по банковской деятельности</v>
      </c>
      <c r="F182" s="3" t="str">
        <f t="shared" si="22"/>
        <v>1</v>
      </c>
      <c r="G182" s="3" t="str">
        <f>"7"</f>
        <v>7</v>
      </c>
      <c r="H182" s="3" t="str">
        <f t="shared" si="21"/>
        <v>1</v>
      </c>
      <c r="I182" s="4">
        <v>16140197083.379999</v>
      </c>
    </row>
    <row r="183" spans="1:9" x14ac:dyDescent="0.25">
      <c r="A183" s="3">
        <v>172</v>
      </c>
      <c r="B183" s="5">
        <v>45471</v>
      </c>
      <c r="C183" s="3">
        <v>19</v>
      </c>
      <c r="D183" s="3" t="str">
        <f t="shared" si="23"/>
        <v>1860</v>
      </c>
      <c r="E183" s="3" t="str">
        <f t="shared" si="24"/>
        <v>Прочие дебиторы по банковской деятельности</v>
      </c>
      <c r="F183" s="3" t="str">
        <f t="shared" si="22"/>
        <v>1</v>
      </c>
      <c r="G183" s="3" t="str">
        <f>"9"</f>
        <v>9</v>
      </c>
      <c r="H183" s="3" t="str">
        <f t="shared" si="21"/>
        <v>1</v>
      </c>
      <c r="I183" s="4">
        <v>34164353377.66</v>
      </c>
    </row>
    <row r="184" spans="1:9" x14ac:dyDescent="0.25">
      <c r="A184" s="3">
        <v>173</v>
      </c>
      <c r="B184" s="5">
        <v>45471</v>
      </c>
      <c r="C184" s="3">
        <v>19</v>
      </c>
      <c r="D184" s="3" t="str">
        <f t="shared" si="23"/>
        <v>1860</v>
      </c>
      <c r="E184" s="3" t="str">
        <f t="shared" si="24"/>
        <v>Прочие дебиторы по банковской деятельности</v>
      </c>
      <c r="F184" s="3" t="str">
        <f t="shared" si="22"/>
        <v>1</v>
      </c>
      <c r="G184" s="3" t="str">
        <f>"6"</f>
        <v>6</v>
      </c>
      <c r="H184" s="3" t="str">
        <f t="shared" si="21"/>
        <v>1</v>
      </c>
      <c r="I184" s="4">
        <v>1213551144.25</v>
      </c>
    </row>
    <row r="185" spans="1:9" x14ac:dyDescent="0.25">
      <c r="A185" s="3">
        <v>174</v>
      </c>
      <c r="B185" s="5">
        <v>45471</v>
      </c>
      <c r="C185" s="3">
        <v>19</v>
      </c>
      <c r="D185" s="3" t="str">
        <f t="shared" si="23"/>
        <v>1860</v>
      </c>
      <c r="E185" s="3" t="str">
        <f t="shared" si="24"/>
        <v>Прочие дебиторы по банковской деятельности</v>
      </c>
      <c r="F185" s="3" t="str">
        <f>"2"</f>
        <v>2</v>
      </c>
      <c r="G185" s="3" t="str">
        <f>"4"</f>
        <v>4</v>
      </c>
      <c r="H185" s="3" t="str">
        <f>"3"</f>
        <v>3</v>
      </c>
      <c r="I185" s="4">
        <v>11990000</v>
      </c>
    </row>
    <row r="186" spans="1:9" x14ac:dyDescent="0.25">
      <c r="A186" s="3">
        <v>176</v>
      </c>
      <c r="B186" s="5">
        <v>45471</v>
      </c>
      <c r="C186" s="3">
        <v>19</v>
      </c>
      <c r="D186" s="3" t="str">
        <f t="shared" si="23"/>
        <v>1860</v>
      </c>
      <c r="E186" s="3" t="str">
        <f t="shared" si="24"/>
        <v>Прочие дебиторы по банковской деятельности</v>
      </c>
      <c r="F186" s="3" t="str">
        <f>"1"</f>
        <v>1</v>
      </c>
      <c r="G186" s="3" t="str">
        <f>"9"</f>
        <v>9</v>
      </c>
      <c r="H186" s="3" t="str">
        <f>"2"</f>
        <v>2</v>
      </c>
      <c r="I186" s="4">
        <v>46940259.57</v>
      </c>
    </row>
    <row r="187" spans="1:9" x14ac:dyDescent="0.25">
      <c r="A187" s="3">
        <v>177</v>
      </c>
      <c r="B187" s="5">
        <v>45471</v>
      </c>
      <c r="C187" s="3">
        <v>19</v>
      </c>
      <c r="D187" s="3" t="str">
        <f t="shared" si="23"/>
        <v>1860</v>
      </c>
      <c r="E187" s="3" t="str">
        <f t="shared" si="24"/>
        <v>Прочие дебиторы по банковской деятельности</v>
      </c>
      <c r="F187" s="3" t="str">
        <f>"2"</f>
        <v>2</v>
      </c>
      <c r="G187" s="3" t="str">
        <f>"5"</f>
        <v>5</v>
      </c>
      <c r="H187" s="3" t="str">
        <f>"2"</f>
        <v>2</v>
      </c>
      <c r="I187" s="4">
        <v>2610395343.8299999</v>
      </c>
    </row>
    <row r="188" spans="1:9" x14ac:dyDescent="0.25">
      <c r="A188" s="3">
        <v>178</v>
      </c>
      <c r="B188" s="5">
        <v>45471</v>
      </c>
      <c r="C188" s="3">
        <v>19</v>
      </c>
      <c r="D188" s="3" t="str">
        <f t="shared" si="23"/>
        <v>1860</v>
      </c>
      <c r="E188" s="3" t="str">
        <f t="shared" si="24"/>
        <v>Прочие дебиторы по банковской деятельности</v>
      </c>
      <c r="F188" s="3" t="str">
        <f>"2"</f>
        <v>2</v>
      </c>
      <c r="G188" s="3" t="str">
        <f>"5"</f>
        <v>5</v>
      </c>
      <c r="H188" s="3" t="str">
        <f t="shared" ref="H188:H201" si="25">"1"</f>
        <v>1</v>
      </c>
      <c r="I188" s="4">
        <v>1501000883.3</v>
      </c>
    </row>
    <row r="189" spans="1:9" x14ac:dyDescent="0.25">
      <c r="A189" s="3">
        <v>179</v>
      </c>
      <c r="B189" s="5">
        <v>45471</v>
      </c>
      <c r="C189" s="3">
        <v>19</v>
      </c>
      <c r="D189" s="3" t="str">
        <f t="shared" si="23"/>
        <v>1860</v>
      </c>
      <c r="E189" s="3" t="str">
        <f t="shared" si="24"/>
        <v>Прочие дебиторы по банковской деятельности</v>
      </c>
      <c r="F189" s="3" t="str">
        <f>"2"</f>
        <v>2</v>
      </c>
      <c r="G189" s="3" t="str">
        <f>"7"</f>
        <v>7</v>
      </c>
      <c r="H189" s="3" t="str">
        <f t="shared" si="25"/>
        <v>1</v>
      </c>
      <c r="I189" s="4">
        <v>4262905.9000000004</v>
      </c>
    </row>
    <row r="190" spans="1:9" x14ac:dyDescent="0.25">
      <c r="A190" s="3">
        <v>183</v>
      </c>
      <c r="B190" s="5">
        <v>45471</v>
      </c>
      <c r="C190" s="3">
        <v>19</v>
      </c>
      <c r="D190" s="3" t="str">
        <f t="shared" si="23"/>
        <v>1860</v>
      </c>
      <c r="E190" s="3" t="str">
        <f t="shared" si="24"/>
        <v>Прочие дебиторы по банковской деятельности</v>
      </c>
      <c r="F190" s="3" t="str">
        <f>"2"</f>
        <v>2</v>
      </c>
      <c r="G190" s="3" t="str">
        <f>"9"</f>
        <v>9</v>
      </c>
      <c r="H190" s="3" t="str">
        <f t="shared" si="25"/>
        <v>1</v>
      </c>
      <c r="I190" s="4">
        <v>234709796.24000001</v>
      </c>
    </row>
    <row r="191" spans="1:9" x14ac:dyDescent="0.25">
      <c r="A191" s="3">
        <v>184</v>
      </c>
      <c r="B191" s="5">
        <v>45471</v>
      </c>
      <c r="C191" s="3">
        <v>19</v>
      </c>
      <c r="D191" s="3" t="str">
        <f t="shared" ref="D191:D199" si="26">"1867"</f>
        <v>1867</v>
      </c>
      <c r="E191" s="3" t="str">
        <f t="shared" ref="E191:E199" si="27">"Прочие дебиторы по неосновной деятельности"</f>
        <v>Прочие дебиторы по неосновной деятельности</v>
      </c>
      <c r="F191" s="3" t="str">
        <f t="shared" ref="F191:F196" si="28">"1"</f>
        <v>1</v>
      </c>
      <c r="G191" s="3" t="str">
        <f>"5"</f>
        <v>5</v>
      </c>
      <c r="H191" s="3" t="str">
        <f t="shared" si="25"/>
        <v>1</v>
      </c>
      <c r="I191" s="4">
        <v>17100</v>
      </c>
    </row>
    <row r="192" spans="1:9" x14ac:dyDescent="0.25">
      <c r="A192" s="3">
        <v>185</v>
      </c>
      <c r="B192" s="5">
        <v>45471</v>
      </c>
      <c r="C192" s="3">
        <v>19</v>
      </c>
      <c r="D192" s="3" t="str">
        <f t="shared" si="26"/>
        <v>1867</v>
      </c>
      <c r="E192" s="3" t="str">
        <f t="shared" si="27"/>
        <v>Прочие дебиторы по неосновной деятельности</v>
      </c>
      <c r="F192" s="3" t="str">
        <f t="shared" si="28"/>
        <v>1</v>
      </c>
      <c r="G192" s="3" t="str">
        <f>"1"</f>
        <v>1</v>
      </c>
      <c r="H192" s="3" t="str">
        <f t="shared" si="25"/>
        <v>1</v>
      </c>
      <c r="I192" s="4">
        <v>3171.52</v>
      </c>
    </row>
    <row r="193" spans="1:9" x14ac:dyDescent="0.25">
      <c r="A193" s="3">
        <v>186</v>
      </c>
      <c r="B193" s="5">
        <v>45471</v>
      </c>
      <c r="C193" s="3">
        <v>19</v>
      </c>
      <c r="D193" s="3" t="str">
        <f t="shared" si="26"/>
        <v>1867</v>
      </c>
      <c r="E193" s="3" t="str">
        <f t="shared" si="27"/>
        <v>Прочие дебиторы по неосновной деятельности</v>
      </c>
      <c r="F193" s="3" t="str">
        <f t="shared" si="28"/>
        <v>1</v>
      </c>
      <c r="G193" s="3" t="str">
        <f>"8"</f>
        <v>8</v>
      </c>
      <c r="H193" s="3" t="str">
        <f t="shared" si="25"/>
        <v>1</v>
      </c>
      <c r="I193" s="4">
        <v>50111375</v>
      </c>
    </row>
    <row r="194" spans="1:9" x14ac:dyDescent="0.25">
      <c r="A194" s="3">
        <v>187</v>
      </c>
      <c r="B194" s="5">
        <v>45471</v>
      </c>
      <c r="C194" s="3">
        <v>19</v>
      </c>
      <c r="D194" s="3" t="str">
        <f t="shared" si="26"/>
        <v>1867</v>
      </c>
      <c r="E194" s="3" t="str">
        <f t="shared" si="27"/>
        <v>Прочие дебиторы по неосновной деятельности</v>
      </c>
      <c r="F194" s="3" t="str">
        <f t="shared" si="28"/>
        <v>1</v>
      </c>
      <c r="G194" s="3" t="str">
        <f>"4"</f>
        <v>4</v>
      </c>
      <c r="H194" s="3" t="str">
        <f t="shared" si="25"/>
        <v>1</v>
      </c>
      <c r="I194" s="4">
        <v>3259319.7</v>
      </c>
    </row>
    <row r="195" spans="1:9" x14ac:dyDescent="0.25">
      <c r="A195" s="3">
        <v>188</v>
      </c>
      <c r="B195" s="5">
        <v>45471</v>
      </c>
      <c r="C195" s="3">
        <v>19</v>
      </c>
      <c r="D195" s="3" t="str">
        <f t="shared" si="26"/>
        <v>1867</v>
      </c>
      <c r="E195" s="3" t="str">
        <f t="shared" si="27"/>
        <v>Прочие дебиторы по неосновной деятельности</v>
      </c>
      <c r="F195" s="3" t="str">
        <f t="shared" si="28"/>
        <v>1</v>
      </c>
      <c r="G195" s="3" t="str">
        <f>"6"</f>
        <v>6</v>
      </c>
      <c r="H195" s="3" t="str">
        <f t="shared" si="25"/>
        <v>1</v>
      </c>
      <c r="I195" s="4">
        <v>2745074.51</v>
      </c>
    </row>
    <row r="196" spans="1:9" x14ac:dyDescent="0.25">
      <c r="A196" s="3">
        <v>189</v>
      </c>
      <c r="B196" s="5">
        <v>45471</v>
      </c>
      <c r="C196" s="3">
        <v>19</v>
      </c>
      <c r="D196" s="3" t="str">
        <f t="shared" si="26"/>
        <v>1867</v>
      </c>
      <c r="E196" s="3" t="str">
        <f t="shared" si="27"/>
        <v>Прочие дебиторы по неосновной деятельности</v>
      </c>
      <c r="F196" s="3" t="str">
        <f t="shared" si="28"/>
        <v>1</v>
      </c>
      <c r="G196" s="3" t="str">
        <f>"7"</f>
        <v>7</v>
      </c>
      <c r="H196" s="3" t="str">
        <f t="shared" si="25"/>
        <v>1</v>
      </c>
      <c r="I196" s="4">
        <v>1416437487.24</v>
      </c>
    </row>
    <row r="197" spans="1:9" x14ac:dyDescent="0.25">
      <c r="A197" s="3">
        <v>190</v>
      </c>
      <c r="B197" s="5">
        <v>45471</v>
      </c>
      <c r="C197" s="3">
        <v>19</v>
      </c>
      <c r="D197" s="3" t="str">
        <f t="shared" si="26"/>
        <v>1867</v>
      </c>
      <c r="E197" s="3" t="str">
        <f t="shared" si="27"/>
        <v>Прочие дебиторы по неосновной деятельности</v>
      </c>
      <c r="F197" s="3" t="str">
        <f>"2"</f>
        <v>2</v>
      </c>
      <c r="G197" s="3" t="str">
        <f>"7"</f>
        <v>7</v>
      </c>
      <c r="H197" s="3" t="str">
        <f t="shared" si="25"/>
        <v>1</v>
      </c>
      <c r="I197" s="4">
        <v>12989782.779999999</v>
      </c>
    </row>
    <row r="198" spans="1:9" x14ac:dyDescent="0.25">
      <c r="A198" s="3">
        <v>205</v>
      </c>
      <c r="B198" s="5">
        <v>45471</v>
      </c>
      <c r="C198" s="3">
        <v>19</v>
      </c>
      <c r="D198" s="3" t="str">
        <f t="shared" si="26"/>
        <v>1867</v>
      </c>
      <c r="E198" s="3" t="str">
        <f t="shared" si="27"/>
        <v>Прочие дебиторы по неосновной деятельности</v>
      </c>
      <c r="F198" s="3" t="str">
        <f>"2"</f>
        <v>2</v>
      </c>
      <c r="G198" s="3" t="str">
        <f>"9"</f>
        <v>9</v>
      </c>
      <c r="H198" s="3" t="str">
        <f t="shared" si="25"/>
        <v>1</v>
      </c>
      <c r="I198" s="4">
        <v>952760</v>
      </c>
    </row>
    <row r="199" spans="1:9" x14ac:dyDescent="0.25">
      <c r="A199" s="3">
        <v>206</v>
      </c>
      <c r="B199" s="5">
        <v>45471</v>
      </c>
      <c r="C199" s="3">
        <v>19</v>
      </c>
      <c r="D199" s="3" t="str">
        <f t="shared" si="26"/>
        <v>1867</v>
      </c>
      <c r="E199" s="3" t="str">
        <f t="shared" si="27"/>
        <v>Прочие дебиторы по неосновной деятельности</v>
      </c>
      <c r="F199" s="3" t="str">
        <f t="shared" ref="F199:F205" si="29">"1"</f>
        <v>1</v>
      </c>
      <c r="G199" s="3" t="str">
        <f>"9"</f>
        <v>9</v>
      </c>
      <c r="H199" s="3" t="str">
        <f t="shared" si="25"/>
        <v>1</v>
      </c>
      <c r="I199" s="4">
        <v>200181074.00999999</v>
      </c>
    </row>
    <row r="200" spans="1:9" x14ac:dyDescent="0.25">
      <c r="A200" s="3">
        <v>191</v>
      </c>
      <c r="B200" s="5">
        <v>45471</v>
      </c>
      <c r="C200" s="3">
        <v>19</v>
      </c>
      <c r="D200" s="3" t="str">
        <f>"1870"</f>
        <v>1870</v>
      </c>
      <c r="E200" s="3" t="str">
        <f>"Прочие транзитные счета"</f>
        <v>Прочие транзитные счета</v>
      </c>
      <c r="F200" s="3" t="str">
        <f t="shared" si="29"/>
        <v>1</v>
      </c>
      <c r="G200" s="3" t="str">
        <f>"4"</f>
        <v>4</v>
      </c>
      <c r="H200" s="3" t="str">
        <f t="shared" si="25"/>
        <v>1</v>
      </c>
      <c r="I200" s="4">
        <v>465.5</v>
      </c>
    </row>
    <row r="201" spans="1:9" x14ac:dyDescent="0.25">
      <c r="A201" s="3">
        <v>192</v>
      </c>
      <c r="B201" s="5">
        <v>45471</v>
      </c>
      <c r="C201" s="3">
        <v>19</v>
      </c>
      <c r="D201" s="3" t="str">
        <f t="shared" ref="D201:D213" si="30">"1877"</f>
        <v>1877</v>
      </c>
      <c r="E201" s="3" t="str">
        <f t="shared" ref="E201:E213" si="3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1" s="3" t="str">
        <f t="shared" si="29"/>
        <v>1</v>
      </c>
      <c r="G201" s="3" t="str">
        <f>"5"</f>
        <v>5</v>
      </c>
      <c r="H201" s="3" t="str">
        <f t="shared" si="25"/>
        <v>1</v>
      </c>
      <c r="I201" s="4">
        <v>-7556.22</v>
      </c>
    </row>
    <row r="202" spans="1:9" x14ac:dyDescent="0.25">
      <c r="A202" s="3">
        <v>193</v>
      </c>
      <c r="B202" s="5">
        <v>45471</v>
      </c>
      <c r="C202" s="3">
        <v>19</v>
      </c>
      <c r="D202" s="3" t="str">
        <f t="shared" si="30"/>
        <v>1877</v>
      </c>
      <c r="E202" s="3" t="str">
        <f t="shared" si="31"/>
        <v>Резервы (провизии) по дебиторской задолженности, связанной с банковской деятельностью</v>
      </c>
      <c r="F202" s="3" t="str">
        <f t="shared" si="29"/>
        <v>1</v>
      </c>
      <c r="G202" s="3" t="str">
        <f>"5"</f>
        <v>5</v>
      </c>
      <c r="H202" s="3" t="str">
        <f>"2"</f>
        <v>2</v>
      </c>
      <c r="I202" s="4">
        <v>-1259255.52</v>
      </c>
    </row>
    <row r="203" spans="1:9" x14ac:dyDescent="0.25">
      <c r="A203" s="3">
        <v>194</v>
      </c>
      <c r="B203" s="5">
        <v>45471</v>
      </c>
      <c r="C203" s="3">
        <v>19</v>
      </c>
      <c r="D203" s="3" t="str">
        <f t="shared" si="30"/>
        <v>1877</v>
      </c>
      <c r="E203" s="3" t="str">
        <f t="shared" si="31"/>
        <v>Резервы (провизии) по дебиторской задолженности, связанной с банковской деятельностью</v>
      </c>
      <c r="F203" s="3" t="str">
        <f t="shared" si="29"/>
        <v>1</v>
      </c>
      <c r="G203" s="3" t="str">
        <f>"4"</f>
        <v>4</v>
      </c>
      <c r="H203" s="3" t="str">
        <f>"1"</f>
        <v>1</v>
      </c>
      <c r="I203" s="4">
        <v>-266230839.77000001</v>
      </c>
    </row>
    <row r="204" spans="1:9" x14ac:dyDescent="0.25">
      <c r="A204" s="3">
        <v>195</v>
      </c>
      <c r="B204" s="5">
        <v>45471</v>
      </c>
      <c r="C204" s="3">
        <v>19</v>
      </c>
      <c r="D204" s="3" t="str">
        <f t="shared" si="30"/>
        <v>1877</v>
      </c>
      <c r="E204" s="3" t="str">
        <f t="shared" si="31"/>
        <v>Резервы (провизии) по дебиторской задолженности, связанной с банковской деятельностью</v>
      </c>
      <c r="F204" s="3" t="str">
        <f t="shared" si="29"/>
        <v>1</v>
      </c>
      <c r="G204" s="3" t="str">
        <f>"1"</f>
        <v>1</v>
      </c>
      <c r="H204" s="3" t="str">
        <f>"1"</f>
        <v>1</v>
      </c>
      <c r="I204" s="4">
        <v>-2911235.97</v>
      </c>
    </row>
    <row r="205" spans="1:9" x14ac:dyDescent="0.25">
      <c r="A205" s="3">
        <v>196</v>
      </c>
      <c r="B205" s="5">
        <v>45471</v>
      </c>
      <c r="C205" s="3">
        <v>19</v>
      </c>
      <c r="D205" s="3" t="str">
        <f t="shared" si="30"/>
        <v>1877</v>
      </c>
      <c r="E205" s="3" t="str">
        <f t="shared" si="31"/>
        <v>Резервы (провизии) по дебиторской задолженности, связанной с банковской деятельностью</v>
      </c>
      <c r="F205" s="3" t="str">
        <f t="shared" si="29"/>
        <v>1</v>
      </c>
      <c r="G205" s="3" t="str">
        <f>"7"</f>
        <v>7</v>
      </c>
      <c r="H205" s="3" t="str">
        <f>"1"</f>
        <v>1</v>
      </c>
      <c r="I205" s="4">
        <v>-1009496968.9299999</v>
      </c>
    </row>
    <row r="206" spans="1:9" x14ac:dyDescent="0.25">
      <c r="A206" s="3">
        <v>197</v>
      </c>
      <c r="B206" s="5">
        <v>45471</v>
      </c>
      <c r="C206" s="3">
        <v>19</v>
      </c>
      <c r="D206" s="3" t="str">
        <f t="shared" si="30"/>
        <v>1877</v>
      </c>
      <c r="E206" s="3" t="str">
        <f t="shared" si="31"/>
        <v>Резервы (провизии) по дебиторской задолженности, связанной с банковской деятельностью</v>
      </c>
      <c r="F206" s="3" t="str">
        <f>"2"</f>
        <v>2</v>
      </c>
      <c r="G206" s="3" t="str">
        <f>"4"</f>
        <v>4</v>
      </c>
      <c r="H206" s="3" t="str">
        <f>"3"</f>
        <v>3</v>
      </c>
      <c r="I206" s="4">
        <v>-200.83</v>
      </c>
    </row>
    <row r="207" spans="1:9" x14ac:dyDescent="0.25">
      <c r="A207" s="3">
        <v>198</v>
      </c>
      <c r="B207" s="5">
        <v>45471</v>
      </c>
      <c r="C207" s="3">
        <v>19</v>
      </c>
      <c r="D207" s="3" t="str">
        <f t="shared" si="30"/>
        <v>1877</v>
      </c>
      <c r="E207" s="3" t="str">
        <f t="shared" si="31"/>
        <v>Резервы (провизии) по дебиторской задолженности, связанной с банковской деятельностью</v>
      </c>
      <c r="F207" s="3" t="str">
        <f>"1"</f>
        <v>1</v>
      </c>
      <c r="G207" s="3" t="str">
        <f>"8"</f>
        <v>8</v>
      </c>
      <c r="H207" s="3" t="str">
        <f>"1"</f>
        <v>1</v>
      </c>
      <c r="I207" s="4">
        <v>-9416000</v>
      </c>
    </row>
    <row r="208" spans="1:9" x14ac:dyDescent="0.25">
      <c r="A208" s="3">
        <v>199</v>
      </c>
      <c r="B208" s="5">
        <v>45471</v>
      </c>
      <c r="C208" s="3">
        <v>19</v>
      </c>
      <c r="D208" s="3" t="str">
        <f t="shared" si="30"/>
        <v>1877</v>
      </c>
      <c r="E208" s="3" t="str">
        <f t="shared" si="31"/>
        <v>Резервы (провизии) по дебиторской задолженности, связанной с банковской деятельностью</v>
      </c>
      <c r="F208" s="3" t="str">
        <f>"1"</f>
        <v>1</v>
      </c>
      <c r="G208" s="3" t="str">
        <f>"9"</f>
        <v>9</v>
      </c>
      <c r="H208" s="3" t="str">
        <f>"1"</f>
        <v>1</v>
      </c>
      <c r="I208" s="4">
        <v>-4511278647.7200003</v>
      </c>
    </row>
    <row r="209" spans="1:9" x14ac:dyDescent="0.25">
      <c r="A209" s="3">
        <v>200</v>
      </c>
      <c r="B209" s="5">
        <v>45471</v>
      </c>
      <c r="C209" s="3">
        <v>19</v>
      </c>
      <c r="D209" s="3" t="str">
        <f t="shared" si="30"/>
        <v>1877</v>
      </c>
      <c r="E209" s="3" t="str">
        <f t="shared" si="31"/>
        <v>Резервы (провизии) по дебиторской задолженности, связанной с банковской деятельностью</v>
      </c>
      <c r="F209" s="3" t="str">
        <f>"1"</f>
        <v>1</v>
      </c>
      <c r="G209" s="3" t="str">
        <f>"9"</f>
        <v>9</v>
      </c>
      <c r="H209" s="3" t="str">
        <f>"2"</f>
        <v>2</v>
      </c>
      <c r="I209" s="4">
        <v>-46845967.57</v>
      </c>
    </row>
    <row r="210" spans="1:9" x14ac:dyDescent="0.25">
      <c r="A210" s="3">
        <v>201</v>
      </c>
      <c r="B210" s="5">
        <v>45471</v>
      </c>
      <c r="C210" s="3">
        <v>19</v>
      </c>
      <c r="D210" s="3" t="str">
        <f t="shared" si="30"/>
        <v>1877</v>
      </c>
      <c r="E210" s="3" t="str">
        <f t="shared" si="31"/>
        <v>Резервы (провизии) по дебиторской задолженности, связанной с банковской деятельностью</v>
      </c>
      <c r="F210" s="3" t="str">
        <f>"2"</f>
        <v>2</v>
      </c>
      <c r="G210" s="3" t="str">
        <f>"9"</f>
        <v>9</v>
      </c>
      <c r="H210" s="3" t="str">
        <f>"1"</f>
        <v>1</v>
      </c>
      <c r="I210" s="4">
        <v>-20697039.879999999</v>
      </c>
    </row>
    <row r="211" spans="1:9" x14ac:dyDescent="0.25">
      <c r="A211" s="3">
        <v>202</v>
      </c>
      <c r="B211" s="5">
        <v>45471</v>
      </c>
      <c r="C211" s="3">
        <v>19</v>
      </c>
      <c r="D211" s="3" t="str">
        <f t="shared" si="30"/>
        <v>1877</v>
      </c>
      <c r="E211" s="3" t="str">
        <f t="shared" si="31"/>
        <v>Резервы (провизии) по дебиторской задолженности, связанной с банковской деятельностью</v>
      </c>
      <c r="F211" s="3" t="str">
        <f>"2"</f>
        <v>2</v>
      </c>
      <c r="G211" s="3" t="str">
        <f>"5"</f>
        <v>5</v>
      </c>
      <c r="H211" s="3" t="str">
        <f>"1"</f>
        <v>1</v>
      </c>
      <c r="I211" s="4">
        <v>-15600.75</v>
      </c>
    </row>
    <row r="212" spans="1:9" x14ac:dyDescent="0.25">
      <c r="A212" s="3">
        <v>203</v>
      </c>
      <c r="B212" s="5">
        <v>45471</v>
      </c>
      <c r="C212" s="3">
        <v>19</v>
      </c>
      <c r="D212" s="3" t="str">
        <f t="shared" si="30"/>
        <v>1877</v>
      </c>
      <c r="E212" s="3" t="str">
        <f t="shared" si="31"/>
        <v>Резервы (провизии) по дебиторской задолженности, связанной с банковской деятельностью</v>
      </c>
      <c r="F212" s="3" t="str">
        <f>"2"</f>
        <v>2</v>
      </c>
      <c r="G212" s="3" t="str">
        <f>"5"</f>
        <v>5</v>
      </c>
      <c r="H212" s="3" t="str">
        <f>"2"</f>
        <v>2</v>
      </c>
      <c r="I212" s="4">
        <v>-16243.6</v>
      </c>
    </row>
    <row r="213" spans="1:9" x14ac:dyDescent="0.25">
      <c r="A213" s="3">
        <v>232</v>
      </c>
      <c r="B213" s="5">
        <v>45471</v>
      </c>
      <c r="C213" s="3">
        <v>19</v>
      </c>
      <c r="D213" s="3" t="str">
        <f t="shared" si="30"/>
        <v>1877</v>
      </c>
      <c r="E213" s="3" t="str">
        <f t="shared" si="31"/>
        <v>Резервы (провизии) по дебиторской задолженности, связанной с банковской деятельностью</v>
      </c>
      <c r="F213" s="3" t="str">
        <f>"2"</f>
        <v>2</v>
      </c>
      <c r="G213" s="3" t="str">
        <f>"5"</f>
        <v>5</v>
      </c>
      <c r="H213" s="3" t="str">
        <f>"3"</f>
        <v>3</v>
      </c>
      <c r="I213" s="4">
        <v>-351304.64</v>
      </c>
    </row>
    <row r="214" spans="1:9" x14ac:dyDescent="0.25">
      <c r="A214" s="3">
        <v>207</v>
      </c>
      <c r="B214" s="5">
        <v>45471</v>
      </c>
      <c r="C214" s="3">
        <v>19</v>
      </c>
      <c r="D214" s="3" t="str">
        <f>"1878"</f>
        <v>1878</v>
      </c>
      <c r="E214" s="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4" s="3" t="str">
        <f>"1"</f>
        <v>1</v>
      </c>
      <c r="G214" s="3" t="str">
        <f>"4"</f>
        <v>4</v>
      </c>
      <c r="H214" s="3" t="str">
        <f t="shared" ref="H214:H224" si="32">"1"</f>
        <v>1</v>
      </c>
      <c r="I214" s="4">
        <v>-3162346</v>
      </c>
    </row>
    <row r="215" spans="1:9" x14ac:dyDescent="0.25">
      <c r="A215" s="3">
        <v>204</v>
      </c>
      <c r="B215" s="5">
        <v>45471</v>
      </c>
      <c r="C215" s="3">
        <v>19</v>
      </c>
      <c r="D215" s="3" t="str">
        <f>"1892"</f>
        <v>1892</v>
      </c>
      <c r="E215" s="3" t="str">
        <f>"Требования по операциям форвард"</f>
        <v>Требования по операциям форвард</v>
      </c>
      <c r="F215" s="3" t="str">
        <f>"2"</f>
        <v>2</v>
      </c>
      <c r="G215" s="3" t="str">
        <f>"4"</f>
        <v>4</v>
      </c>
      <c r="H215" s="3" t="str">
        <f t="shared" si="32"/>
        <v>1</v>
      </c>
      <c r="I215" s="4">
        <v>2318241230</v>
      </c>
    </row>
    <row r="216" spans="1:9" x14ac:dyDescent="0.25">
      <c r="A216" s="3">
        <v>209</v>
      </c>
      <c r="B216" s="5">
        <v>45471</v>
      </c>
      <c r="C216" s="3">
        <v>19</v>
      </c>
      <c r="D216" s="3" t="str">
        <f>"1895"</f>
        <v>1895</v>
      </c>
      <c r="E216" s="3" t="str">
        <f>"Требования по операциям своп"</f>
        <v>Требования по операциям своп</v>
      </c>
      <c r="F216" s="3" t="str">
        <f>"2"</f>
        <v>2</v>
      </c>
      <c r="G216" s="3" t="str">
        <f>"4"</f>
        <v>4</v>
      </c>
      <c r="H216" s="3" t="str">
        <f t="shared" si="32"/>
        <v>1</v>
      </c>
      <c r="I216" s="4">
        <v>1384526750</v>
      </c>
    </row>
    <row r="217" spans="1:9" x14ac:dyDescent="0.25">
      <c r="A217" s="3">
        <v>210</v>
      </c>
      <c r="B217" s="5">
        <v>45471</v>
      </c>
      <c r="C217" s="3">
        <v>19</v>
      </c>
      <c r="D217" s="3" t="str">
        <f>"1895"</f>
        <v>1895</v>
      </c>
      <c r="E217" s="3" t="str">
        <f>"Требования по операциям своп"</f>
        <v>Требования по операциям своп</v>
      </c>
      <c r="F217" s="3" t="str">
        <f>"2"</f>
        <v>2</v>
      </c>
      <c r="G217" s="3" t="str">
        <f>"3"</f>
        <v>3</v>
      </c>
      <c r="H217" s="3" t="str">
        <f t="shared" si="32"/>
        <v>1</v>
      </c>
      <c r="I217" s="4">
        <v>136412901.13999999</v>
      </c>
    </row>
    <row r="218" spans="1:9" x14ac:dyDescent="0.25">
      <c r="A218" s="3">
        <v>239</v>
      </c>
      <c r="B218" s="5">
        <v>45471</v>
      </c>
      <c r="C218" s="3">
        <v>19</v>
      </c>
      <c r="D218" s="3" t="str">
        <f>"1895"</f>
        <v>1895</v>
      </c>
      <c r="E218" s="3" t="str">
        <f>"Требования по операциям своп"</f>
        <v>Требования по операциям своп</v>
      </c>
      <c r="F218" s="3" t="str">
        <f>"1"</f>
        <v>1</v>
      </c>
      <c r="G218" s="3" t="str">
        <f>"5"</f>
        <v>5</v>
      </c>
      <c r="H218" s="3" t="str">
        <f t="shared" si="32"/>
        <v>1</v>
      </c>
      <c r="I218" s="4">
        <v>305195800</v>
      </c>
    </row>
    <row r="219" spans="1:9" x14ac:dyDescent="0.25">
      <c r="A219" s="3">
        <v>208</v>
      </c>
      <c r="B219" s="5">
        <v>45471</v>
      </c>
      <c r="C219" s="3">
        <v>19</v>
      </c>
      <c r="D219" s="3" t="str">
        <f>"2013"</f>
        <v>2013</v>
      </c>
      <c r="E219" s="3" t="str">
        <f>"Корреспондентские счета других банков"</f>
        <v>Корреспондентские счета других банков</v>
      </c>
      <c r="F219" s="3" t="str">
        <f>"2"</f>
        <v>2</v>
      </c>
      <c r="G219" s="3" t="str">
        <f>"4"</f>
        <v>4</v>
      </c>
      <c r="H219" s="3" t="str">
        <f t="shared" si="32"/>
        <v>1</v>
      </c>
      <c r="I219" s="4">
        <v>13.77</v>
      </c>
    </row>
    <row r="220" spans="1:9" x14ac:dyDescent="0.25">
      <c r="A220" s="3">
        <v>214</v>
      </c>
      <c r="B220" s="5">
        <v>45471</v>
      </c>
      <c r="C220" s="3">
        <v>19</v>
      </c>
      <c r="D220" s="3" t="str">
        <f>"2122"</f>
        <v>2122</v>
      </c>
      <c r="E220" s="3" t="str">
        <f>"Срочные вклады иностранных центральных банков"</f>
        <v>Срочные вклады иностранных центральных банков</v>
      </c>
      <c r="F220" s="3" t="str">
        <f>"2"</f>
        <v>2</v>
      </c>
      <c r="G220" s="3" t="str">
        <f>"3"</f>
        <v>3</v>
      </c>
      <c r="H220" s="3" t="str">
        <f t="shared" si="32"/>
        <v>1</v>
      </c>
      <c r="I220" s="4">
        <v>17000000000</v>
      </c>
    </row>
    <row r="221" spans="1:9" x14ac:dyDescent="0.25">
      <c r="A221" s="3">
        <v>211</v>
      </c>
      <c r="B221" s="5">
        <v>45471</v>
      </c>
      <c r="C221" s="3">
        <v>19</v>
      </c>
      <c r="D221" s="3" t="str">
        <f t="shared" ref="D221:D240" si="33">"2203"</f>
        <v>2203</v>
      </c>
      <c r="E221" s="3" t="str">
        <f t="shared" ref="E221:E240" si="34">"Текущие счета юридических лиц"</f>
        <v>Текущие счета юридических лиц</v>
      </c>
      <c r="F221" s="3" t="str">
        <f>"1"</f>
        <v>1</v>
      </c>
      <c r="G221" s="3" t="str">
        <f>"1"</f>
        <v>1</v>
      </c>
      <c r="H221" s="3" t="str">
        <f t="shared" si="32"/>
        <v>1</v>
      </c>
      <c r="I221" s="4">
        <v>2276.17</v>
      </c>
    </row>
    <row r="222" spans="1:9" x14ac:dyDescent="0.25">
      <c r="A222" s="3">
        <v>212</v>
      </c>
      <c r="B222" s="5">
        <v>45471</v>
      </c>
      <c r="C222" s="3">
        <v>19</v>
      </c>
      <c r="D222" s="3" t="str">
        <f t="shared" si="33"/>
        <v>2203</v>
      </c>
      <c r="E222" s="3" t="str">
        <f t="shared" si="34"/>
        <v>Текущие счета юридических лиц</v>
      </c>
      <c r="F222" s="3" t="str">
        <f t="shared" ref="F222:F233" si="35">"1"</f>
        <v>1</v>
      </c>
      <c r="G222" s="3" t="str">
        <f>"5"</f>
        <v>5</v>
      </c>
      <c r="H222" s="3" t="str">
        <f t="shared" si="32"/>
        <v>1</v>
      </c>
      <c r="I222" s="4">
        <v>4665791778.21</v>
      </c>
    </row>
    <row r="223" spans="1:9" x14ac:dyDescent="0.25">
      <c r="A223" s="3">
        <v>213</v>
      </c>
      <c r="B223" s="5">
        <v>45471</v>
      </c>
      <c r="C223" s="3">
        <v>19</v>
      </c>
      <c r="D223" s="3" t="str">
        <f t="shared" si="33"/>
        <v>2203</v>
      </c>
      <c r="E223" s="3" t="str">
        <f t="shared" si="34"/>
        <v>Текущие счета юридических лиц</v>
      </c>
      <c r="F223" s="3" t="str">
        <f t="shared" si="35"/>
        <v>1</v>
      </c>
      <c r="G223" s="3" t="str">
        <f>"6"</f>
        <v>6</v>
      </c>
      <c r="H223" s="3" t="str">
        <f t="shared" si="32"/>
        <v>1</v>
      </c>
      <c r="I223" s="4">
        <v>5295687729.5200005</v>
      </c>
    </row>
    <row r="224" spans="1:9" x14ac:dyDescent="0.25">
      <c r="A224" s="3">
        <v>215</v>
      </c>
      <c r="B224" s="5">
        <v>45471</v>
      </c>
      <c r="C224" s="3">
        <v>19</v>
      </c>
      <c r="D224" s="3" t="str">
        <f t="shared" si="33"/>
        <v>2203</v>
      </c>
      <c r="E224" s="3" t="str">
        <f t="shared" si="34"/>
        <v>Текущие счета юридических лиц</v>
      </c>
      <c r="F224" s="3" t="str">
        <f t="shared" si="35"/>
        <v>1</v>
      </c>
      <c r="G224" s="3" t="str">
        <f>"2"</f>
        <v>2</v>
      </c>
      <c r="H224" s="3" t="str">
        <f t="shared" si="32"/>
        <v>1</v>
      </c>
      <c r="I224" s="4">
        <v>238552.47</v>
      </c>
    </row>
    <row r="225" spans="1:9" x14ac:dyDescent="0.25">
      <c r="A225" s="3">
        <v>216</v>
      </c>
      <c r="B225" s="5">
        <v>45471</v>
      </c>
      <c r="C225" s="3">
        <v>19</v>
      </c>
      <c r="D225" s="3" t="str">
        <f t="shared" si="33"/>
        <v>2203</v>
      </c>
      <c r="E225" s="3" t="str">
        <f t="shared" si="34"/>
        <v>Текущие счета юридических лиц</v>
      </c>
      <c r="F225" s="3" t="str">
        <f t="shared" si="35"/>
        <v>1</v>
      </c>
      <c r="G225" s="3" t="str">
        <f>"5"</f>
        <v>5</v>
      </c>
      <c r="H225" s="3" t="str">
        <f>"2"</f>
        <v>2</v>
      </c>
      <c r="I225" s="4">
        <v>10476390433.77</v>
      </c>
    </row>
    <row r="226" spans="1:9" x14ac:dyDescent="0.25">
      <c r="A226" s="3">
        <v>217</v>
      </c>
      <c r="B226" s="5">
        <v>45471</v>
      </c>
      <c r="C226" s="3">
        <v>19</v>
      </c>
      <c r="D226" s="3" t="str">
        <f t="shared" si="33"/>
        <v>2203</v>
      </c>
      <c r="E226" s="3" t="str">
        <f t="shared" si="34"/>
        <v>Текущие счета юридических лиц</v>
      </c>
      <c r="F226" s="3" t="str">
        <f t="shared" si="35"/>
        <v>1</v>
      </c>
      <c r="G226" s="3" t="str">
        <f>"6"</f>
        <v>6</v>
      </c>
      <c r="H226" s="3" t="str">
        <f>"2"</f>
        <v>2</v>
      </c>
      <c r="I226" s="4">
        <v>5197931.57</v>
      </c>
    </row>
    <row r="227" spans="1:9" x14ac:dyDescent="0.25">
      <c r="A227" s="3">
        <v>218</v>
      </c>
      <c r="B227" s="5">
        <v>45471</v>
      </c>
      <c r="C227" s="3">
        <v>19</v>
      </c>
      <c r="D227" s="3" t="str">
        <f t="shared" si="33"/>
        <v>2203</v>
      </c>
      <c r="E227" s="3" t="str">
        <f t="shared" si="34"/>
        <v>Текущие счета юридических лиц</v>
      </c>
      <c r="F227" s="3" t="str">
        <f t="shared" si="35"/>
        <v>1</v>
      </c>
      <c r="G227" s="3" t="str">
        <f>"7"</f>
        <v>7</v>
      </c>
      <c r="H227" s="3" t="str">
        <f>"2"</f>
        <v>2</v>
      </c>
      <c r="I227" s="4">
        <v>18278791923.549999</v>
      </c>
    </row>
    <row r="228" spans="1:9" x14ac:dyDescent="0.25">
      <c r="A228" s="3">
        <v>219</v>
      </c>
      <c r="B228" s="5">
        <v>45471</v>
      </c>
      <c r="C228" s="3">
        <v>19</v>
      </c>
      <c r="D228" s="3" t="str">
        <f t="shared" si="33"/>
        <v>2203</v>
      </c>
      <c r="E228" s="3" t="str">
        <f t="shared" si="34"/>
        <v>Текущие счета юридических лиц</v>
      </c>
      <c r="F228" s="3" t="str">
        <f t="shared" si="35"/>
        <v>1</v>
      </c>
      <c r="G228" s="3" t="str">
        <f>"7"</f>
        <v>7</v>
      </c>
      <c r="H228" s="3" t="str">
        <f>"3"</f>
        <v>3</v>
      </c>
      <c r="I228" s="4">
        <v>1429070903.1099999</v>
      </c>
    </row>
    <row r="229" spans="1:9" x14ac:dyDescent="0.25">
      <c r="A229" s="3">
        <v>220</v>
      </c>
      <c r="B229" s="5">
        <v>45471</v>
      </c>
      <c r="C229" s="3">
        <v>19</v>
      </c>
      <c r="D229" s="3" t="str">
        <f t="shared" si="33"/>
        <v>2203</v>
      </c>
      <c r="E229" s="3" t="str">
        <f t="shared" si="34"/>
        <v>Текущие счета юридических лиц</v>
      </c>
      <c r="F229" s="3" t="str">
        <f t="shared" si="35"/>
        <v>1</v>
      </c>
      <c r="G229" s="3" t="str">
        <f>"5"</f>
        <v>5</v>
      </c>
      <c r="H229" s="3" t="str">
        <f>"3"</f>
        <v>3</v>
      </c>
      <c r="I229" s="4">
        <v>14052.45</v>
      </c>
    </row>
    <row r="230" spans="1:9" x14ac:dyDescent="0.25">
      <c r="A230" s="3">
        <v>221</v>
      </c>
      <c r="B230" s="5">
        <v>45471</v>
      </c>
      <c r="C230" s="3">
        <v>19</v>
      </c>
      <c r="D230" s="3" t="str">
        <f t="shared" si="33"/>
        <v>2203</v>
      </c>
      <c r="E230" s="3" t="str">
        <f t="shared" si="34"/>
        <v>Текущие счета юридических лиц</v>
      </c>
      <c r="F230" s="3" t="str">
        <f t="shared" si="35"/>
        <v>1</v>
      </c>
      <c r="G230" s="3" t="str">
        <f>"6"</f>
        <v>6</v>
      </c>
      <c r="H230" s="3" t="str">
        <f>"3"</f>
        <v>3</v>
      </c>
      <c r="I230" s="4">
        <v>19586.259999999998</v>
      </c>
    </row>
    <row r="231" spans="1:9" x14ac:dyDescent="0.25">
      <c r="A231" s="3">
        <v>222</v>
      </c>
      <c r="B231" s="5">
        <v>45471</v>
      </c>
      <c r="C231" s="3">
        <v>19</v>
      </c>
      <c r="D231" s="3" t="str">
        <f t="shared" si="33"/>
        <v>2203</v>
      </c>
      <c r="E231" s="3" t="str">
        <f t="shared" si="34"/>
        <v>Текущие счета юридических лиц</v>
      </c>
      <c r="F231" s="3" t="str">
        <f t="shared" si="35"/>
        <v>1</v>
      </c>
      <c r="G231" s="3" t="str">
        <f>"8"</f>
        <v>8</v>
      </c>
      <c r="H231" s="3" t="str">
        <f>"2"</f>
        <v>2</v>
      </c>
      <c r="I231" s="4">
        <v>1082536124.5699999</v>
      </c>
    </row>
    <row r="232" spans="1:9" x14ac:dyDescent="0.25">
      <c r="A232" s="3">
        <v>223</v>
      </c>
      <c r="B232" s="5">
        <v>45471</v>
      </c>
      <c r="C232" s="3">
        <v>19</v>
      </c>
      <c r="D232" s="3" t="str">
        <f t="shared" si="33"/>
        <v>2203</v>
      </c>
      <c r="E232" s="3" t="str">
        <f t="shared" si="34"/>
        <v>Текущие счета юридических лиц</v>
      </c>
      <c r="F232" s="3" t="str">
        <f t="shared" si="35"/>
        <v>1</v>
      </c>
      <c r="G232" s="3" t="str">
        <f>"7"</f>
        <v>7</v>
      </c>
      <c r="H232" s="3" t="str">
        <f>"1"</f>
        <v>1</v>
      </c>
      <c r="I232" s="4">
        <v>197238146962.98999</v>
      </c>
    </row>
    <row r="233" spans="1:9" x14ac:dyDescent="0.25">
      <c r="A233" s="3">
        <v>225</v>
      </c>
      <c r="B233" s="5">
        <v>45471</v>
      </c>
      <c r="C233" s="3">
        <v>19</v>
      </c>
      <c r="D233" s="3" t="str">
        <f t="shared" si="33"/>
        <v>2203</v>
      </c>
      <c r="E233" s="3" t="str">
        <f t="shared" si="34"/>
        <v>Текущие счета юридических лиц</v>
      </c>
      <c r="F233" s="3" t="str">
        <f t="shared" si="35"/>
        <v>1</v>
      </c>
      <c r="G233" s="3" t="str">
        <f>"8"</f>
        <v>8</v>
      </c>
      <c r="H233" s="3" t="str">
        <f>"1"</f>
        <v>1</v>
      </c>
      <c r="I233" s="4">
        <v>9588893676.8600006</v>
      </c>
    </row>
    <row r="234" spans="1:9" x14ac:dyDescent="0.25">
      <c r="A234" s="3">
        <v>226</v>
      </c>
      <c r="B234" s="5">
        <v>45471</v>
      </c>
      <c r="C234" s="3">
        <v>19</v>
      </c>
      <c r="D234" s="3" t="str">
        <f t="shared" si="33"/>
        <v>2203</v>
      </c>
      <c r="E234" s="3" t="str">
        <f t="shared" si="34"/>
        <v>Текущие счета юридических лиц</v>
      </c>
      <c r="F234" s="3" t="str">
        <f t="shared" ref="F234:F239" si="36">"2"</f>
        <v>2</v>
      </c>
      <c r="G234" s="3" t="str">
        <f>"1"</f>
        <v>1</v>
      </c>
      <c r="H234" s="3" t="str">
        <f>"1"</f>
        <v>1</v>
      </c>
      <c r="I234" s="4">
        <v>320971.84999999998</v>
      </c>
    </row>
    <row r="235" spans="1:9" x14ac:dyDescent="0.25">
      <c r="A235" s="3">
        <v>227</v>
      </c>
      <c r="B235" s="5">
        <v>45471</v>
      </c>
      <c r="C235" s="3">
        <v>19</v>
      </c>
      <c r="D235" s="3" t="str">
        <f t="shared" si="33"/>
        <v>2203</v>
      </c>
      <c r="E235" s="3" t="str">
        <f t="shared" si="34"/>
        <v>Текущие счета юридических лиц</v>
      </c>
      <c r="F235" s="3" t="str">
        <f t="shared" si="36"/>
        <v>2</v>
      </c>
      <c r="G235" s="3" t="str">
        <f>"1"</f>
        <v>1</v>
      </c>
      <c r="H235" s="3" t="str">
        <f>"2"</f>
        <v>2</v>
      </c>
      <c r="I235" s="4">
        <v>165641045</v>
      </c>
    </row>
    <row r="236" spans="1:9" x14ac:dyDescent="0.25">
      <c r="A236" s="3">
        <v>228</v>
      </c>
      <c r="B236" s="5">
        <v>45471</v>
      </c>
      <c r="C236" s="3">
        <v>19</v>
      </c>
      <c r="D236" s="3" t="str">
        <f t="shared" si="33"/>
        <v>2203</v>
      </c>
      <c r="E236" s="3" t="str">
        <f t="shared" si="34"/>
        <v>Текущие счета юридических лиц</v>
      </c>
      <c r="F236" s="3" t="str">
        <f t="shared" si="36"/>
        <v>2</v>
      </c>
      <c r="G236" s="3" t="str">
        <f>"5"</f>
        <v>5</v>
      </c>
      <c r="H236" s="3" t="str">
        <f>"1"</f>
        <v>1</v>
      </c>
      <c r="I236" s="4">
        <v>917.37</v>
      </c>
    </row>
    <row r="237" spans="1:9" x14ac:dyDescent="0.25">
      <c r="A237" s="3">
        <v>229</v>
      </c>
      <c r="B237" s="5">
        <v>45471</v>
      </c>
      <c r="C237" s="3">
        <v>19</v>
      </c>
      <c r="D237" s="3" t="str">
        <f t="shared" si="33"/>
        <v>2203</v>
      </c>
      <c r="E237" s="3" t="str">
        <f t="shared" si="34"/>
        <v>Текущие счета юридических лиц</v>
      </c>
      <c r="F237" s="3" t="str">
        <f t="shared" si="36"/>
        <v>2</v>
      </c>
      <c r="G237" s="3" t="str">
        <f>"7"</f>
        <v>7</v>
      </c>
      <c r="H237" s="3" t="str">
        <f>"2"</f>
        <v>2</v>
      </c>
      <c r="I237" s="4">
        <v>39459006.149999999</v>
      </c>
    </row>
    <row r="238" spans="1:9" x14ac:dyDescent="0.25">
      <c r="A238" s="3">
        <v>230</v>
      </c>
      <c r="B238" s="5">
        <v>45471</v>
      </c>
      <c r="C238" s="3">
        <v>19</v>
      </c>
      <c r="D238" s="3" t="str">
        <f t="shared" si="33"/>
        <v>2203</v>
      </c>
      <c r="E238" s="3" t="str">
        <f t="shared" si="34"/>
        <v>Текущие счета юридических лиц</v>
      </c>
      <c r="F238" s="3" t="str">
        <f t="shared" si="36"/>
        <v>2</v>
      </c>
      <c r="G238" s="3" t="str">
        <f>"7"</f>
        <v>7</v>
      </c>
      <c r="H238" s="3" t="str">
        <f>"3"</f>
        <v>3</v>
      </c>
      <c r="I238" s="4">
        <v>854366.79</v>
      </c>
    </row>
    <row r="239" spans="1:9" x14ac:dyDescent="0.25">
      <c r="A239" s="3">
        <v>234</v>
      </c>
      <c r="B239" s="5">
        <v>45471</v>
      </c>
      <c r="C239" s="3">
        <v>19</v>
      </c>
      <c r="D239" s="3" t="str">
        <f t="shared" si="33"/>
        <v>2203</v>
      </c>
      <c r="E239" s="3" t="str">
        <f t="shared" si="34"/>
        <v>Текущие счета юридических лиц</v>
      </c>
      <c r="F239" s="3" t="str">
        <f t="shared" si="36"/>
        <v>2</v>
      </c>
      <c r="G239" s="3" t="str">
        <f>"7"</f>
        <v>7</v>
      </c>
      <c r="H239" s="3" t="str">
        <f>"1"</f>
        <v>1</v>
      </c>
      <c r="I239" s="4">
        <v>11338966.550000001</v>
      </c>
    </row>
    <row r="240" spans="1:9" x14ac:dyDescent="0.25">
      <c r="A240" s="3">
        <v>236</v>
      </c>
      <c r="B240" s="5">
        <v>45471</v>
      </c>
      <c r="C240" s="3">
        <v>19</v>
      </c>
      <c r="D240" s="3" t="str">
        <f t="shared" si="33"/>
        <v>2203</v>
      </c>
      <c r="E240" s="3" t="str">
        <f t="shared" si="34"/>
        <v>Текущие счета юридических лиц</v>
      </c>
      <c r="F240" s="3" t="str">
        <f>"1"</f>
        <v>1</v>
      </c>
      <c r="G240" s="3" t="str">
        <f>"8"</f>
        <v>8</v>
      </c>
      <c r="H240" s="3" t="str">
        <f>"3"</f>
        <v>3</v>
      </c>
      <c r="I240" s="4">
        <v>310930.77</v>
      </c>
    </row>
    <row r="241" spans="1:9" x14ac:dyDescent="0.25">
      <c r="A241" s="3">
        <v>231</v>
      </c>
      <c r="B241" s="5">
        <v>45471</v>
      </c>
      <c r="C241" s="3">
        <v>19</v>
      </c>
      <c r="D241" s="3" t="str">
        <f t="shared" ref="D241:D246" si="37">"2204"</f>
        <v>2204</v>
      </c>
      <c r="E241" s="3" t="str">
        <f t="shared" ref="E241:E246" si="38">"Текущие счета физических лиц"</f>
        <v>Текущие счета физических лиц</v>
      </c>
      <c r="F241" s="3" t="str">
        <f>"1"</f>
        <v>1</v>
      </c>
      <c r="G241" s="3" t="str">
        <f t="shared" ref="G241:G263" si="39">"9"</f>
        <v>9</v>
      </c>
      <c r="H241" s="3" t="str">
        <f>"1"</f>
        <v>1</v>
      </c>
      <c r="I241" s="4">
        <v>775841020146.71997</v>
      </c>
    </row>
    <row r="242" spans="1:9" x14ac:dyDescent="0.25">
      <c r="A242" s="3">
        <v>233</v>
      </c>
      <c r="B242" s="5">
        <v>45471</v>
      </c>
      <c r="C242" s="3">
        <v>19</v>
      </c>
      <c r="D242" s="3" t="str">
        <f t="shared" si="37"/>
        <v>2204</v>
      </c>
      <c r="E242" s="3" t="str">
        <f t="shared" si="38"/>
        <v>Текущие счета физических лиц</v>
      </c>
      <c r="F242" s="3" t="str">
        <f>"1"</f>
        <v>1</v>
      </c>
      <c r="G242" s="3" t="str">
        <f t="shared" si="39"/>
        <v>9</v>
      </c>
      <c r="H242" s="3" t="str">
        <f>"2"</f>
        <v>2</v>
      </c>
      <c r="I242" s="4">
        <v>9169575730.0300007</v>
      </c>
    </row>
    <row r="243" spans="1:9" x14ac:dyDescent="0.25">
      <c r="A243" s="3">
        <v>235</v>
      </c>
      <c r="B243" s="5">
        <v>45471</v>
      </c>
      <c r="C243" s="3">
        <v>19</v>
      </c>
      <c r="D243" s="3" t="str">
        <f t="shared" si="37"/>
        <v>2204</v>
      </c>
      <c r="E243" s="3" t="str">
        <f t="shared" si="38"/>
        <v>Текущие счета физических лиц</v>
      </c>
      <c r="F243" s="3" t="str">
        <f>"2"</f>
        <v>2</v>
      </c>
      <c r="G243" s="3" t="str">
        <f t="shared" si="39"/>
        <v>9</v>
      </c>
      <c r="H243" s="3" t="str">
        <f>"3"</f>
        <v>3</v>
      </c>
      <c r="I243" s="4">
        <v>110814.29</v>
      </c>
    </row>
    <row r="244" spans="1:9" x14ac:dyDescent="0.25">
      <c r="A244" s="3">
        <v>238</v>
      </c>
      <c r="B244" s="5">
        <v>45471</v>
      </c>
      <c r="C244" s="3">
        <v>19</v>
      </c>
      <c r="D244" s="3" t="str">
        <f t="shared" si="37"/>
        <v>2204</v>
      </c>
      <c r="E244" s="3" t="str">
        <f t="shared" si="38"/>
        <v>Текущие счета физических лиц</v>
      </c>
      <c r="F244" s="3" t="str">
        <f>"2"</f>
        <v>2</v>
      </c>
      <c r="G244" s="3" t="str">
        <f t="shared" si="39"/>
        <v>9</v>
      </c>
      <c r="H244" s="3" t="str">
        <f>"2"</f>
        <v>2</v>
      </c>
      <c r="I244" s="4">
        <v>140599878.31999999</v>
      </c>
    </row>
    <row r="245" spans="1:9" x14ac:dyDescent="0.25">
      <c r="A245" s="3">
        <v>253</v>
      </c>
      <c r="B245" s="5">
        <v>45471</v>
      </c>
      <c r="C245" s="3">
        <v>19</v>
      </c>
      <c r="D245" s="3" t="str">
        <f t="shared" si="37"/>
        <v>2204</v>
      </c>
      <c r="E245" s="3" t="str">
        <f t="shared" si="38"/>
        <v>Текущие счета физических лиц</v>
      </c>
      <c r="F245" s="3" t="str">
        <f>"1"</f>
        <v>1</v>
      </c>
      <c r="G245" s="3" t="str">
        <f t="shared" si="39"/>
        <v>9</v>
      </c>
      <c r="H245" s="3" t="str">
        <f>"3"</f>
        <v>3</v>
      </c>
      <c r="I245" s="4">
        <v>401842568.76999998</v>
      </c>
    </row>
    <row r="246" spans="1:9" x14ac:dyDescent="0.25">
      <c r="A246" s="3">
        <v>260</v>
      </c>
      <c r="B246" s="5">
        <v>45471</v>
      </c>
      <c r="C246" s="3">
        <v>19</v>
      </c>
      <c r="D246" s="3" t="str">
        <f t="shared" si="37"/>
        <v>2204</v>
      </c>
      <c r="E246" s="3" t="str">
        <f t="shared" si="38"/>
        <v>Текущие счета физических лиц</v>
      </c>
      <c r="F246" s="3" t="str">
        <f>"2"</f>
        <v>2</v>
      </c>
      <c r="G246" s="3" t="str">
        <f t="shared" si="39"/>
        <v>9</v>
      </c>
      <c r="H246" s="3" t="str">
        <f>"1"</f>
        <v>1</v>
      </c>
      <c r="I246" s="4">
        <v>62288241539.739998</v>
      </c>
    </row>
    <row r="247" spans="1:9" x14ac:dyDescent="0.25">
      <c r="A247" s="3">
        <v>237</v>
      </c>
      <c r="B247" s="5">
        <v>45471</v>
      </c>
      <c r="C247" s="3">
        <v>19</v>
      </c>
      <c r="D247" s="3" t="str">
        <f>"2205"</f>
        <v>2205</v>
      </c>
      <c r="E247" s="3" t="str">
        <f>"Вклады до востребования физических лиц"</f>
        <v>Вклады до востребования физических лиц</v>
      </c>
      <c r="F247" s="3" t="str">
        <f>"1"</f>
        <v>1</v>
      </c>
      <c r="G247" s="3" t="str">
        <f t="shared" si="39"/>
        <v>9</v>
      </c>
      <c r="H247" s="3" t="str">
        <f>"1"</f>
        <v>1</v>
      </c>
      <c r="I247" s="4">
        <v>4444072933.6999998</v>
      </c>
    </row>
    <row r="248" spans="1:9" x14ac:dyDescent="0.25">
      <c r="A248" s="3">
        <v>240</v>
      </c>
      <c r="B248" s="5">
        <v>45471</v>
      </c>
      <c r="C248" s="3">
        <v>19</v>
      </c>
      <c r="D248" s="3" t="str">
        <f>"2205"</f>
        <v>2205</v>
      </c>
      <c r="E248" s="3" t="str">
        <f>"Вклады до востребования физических лиц"</f>
        <v>Вклады до востребования физических лиц</v>
      </c>
      <c r="F248" s="3" t="str">
        <f>"1"</f>
        <v>1</v>
      </c>
      <c r="G248" s="3" t="str">
        <f t="shared" si="39"/>
        <v>9</v>
      </c>
      <c r="H248" s="3" t="str">
        <f>"2"</f>
        <v>2</v>
      </c>
      <c r="I248" s="4">
        <v>35909841.270000003</v>
      </c>
    </row>
    <row r="249" spans="1:9" x14ac:dyDescent="0.25">
      <c r="A249" s="3">
        <v>241</v>
      </c>
      <c r="B249" s="5">
        <v>45471</v>
      </c>
      <c r="C249" s="3">
        <v>19</v>
      </c>
      <c r="D249" s="3" t="str">
        <f>"2205"</f>
        <v>2205</v>
      </c>
      <c r="E249" s="3" t="str">
        <f>"Вклады до востребования физических лиц"</f>
        <v>Вклады до востребования физических лиц</v>
      </c>
      <c r="F249" s="3" t="str">
        <f>"1"</f>
        <v>1</v>
      </c>
      <c r="G249" s="3" t="str">
        <f t="shared" si="39"/>
        <v>9</v>
      </c>
      <c r="H249" s="3" t="str">
        <f>"3"</f>
        <v>3</v>
      </c>
      <c r="I249" s="4">
        <v>507590.96</v>
      </c>
    </row>
    <row r="250" spans="1:9" x14ac:dyDescent="0.25">
      <c r="A250" s="3">
        <v>242</v>
      </c>
      <c r="B250" s="5">
        <v>45471</v>
      </c>
      <c r="C250" s="3">
        <v>19</v>
      </c>
      <c r="D250" s="3" t="str">
        <f>"2205"</f>
        <v>2205</v>
      </c>
      <c r="E250" s="3" t="str">
        <f>"Вклады до востребования физических лиц"</f>
        <v>Вклады до востребования физических лиц</v>
      </c>
      <c r="F250" s="3" t="str">
        <f>"2"</f>
        <v>2</v>
      </c>
      <c r="G250" s="3" t="str">
        <f t="shared" si="39"/>
        <v>9</v>
      </c>
      <c r="H250" s="3" t="str">
        <f>"1"</f>
        <v>1</v>
      </c>
      <c r="I250" s="4">
        <v>19047349.280000001</v>
      </c>
    </row>
    <row r="251" spans="1:9" x14ac:dyDescent="0.25">
      <c r="A251" s="3">
        <v>244</v>
      </c>
      <c r="B251" s="5">
        <v>45471</v>
      </c>
      <c r="C251" s="3">
        <v>19</v>
      </c>
      <c r="D251" s="3" t="str">
        <f>"2205"</f>
        <v>2205</v>
      </c>
      <c r="E251" s="3" t="str">
        <f>"Вклады до востребования физических лиц"</f>
        <v>Вклады до востребования физических лиц</v>
      </c>
      <c r="F251" s="3" t="str">
        <f>"2"</f>
        <v>2</v>
      </c>
      <c r="G251" s="3" t="str">
        <f t="shared" si="39"/>
        <v>9</v>
      </c>
      <c r="H251" s="3" t="str">
        <f>"2"</f>
        <v>2</v>
      </c>
      <c r="I251" s="4">
        <v>24101415.48</v>
      </c>
    </row>
    <row r="252" spans="1:9" x14ac:dyDescent="0.25">
      <c r="A252" s="3">
        <v>243</v>
      </c>
      <c r="B252" s="5">
        <v>45471</v>
      </c>
      <c r="C252" s="3">
        <v>19</v>
      </c>
      <c r="D252" s="3" t="str">
        <f>"2206"</f>
        <v>2206</v>
      </c>
      <c r="E252" s="3" t="str">
        <f>"Краткосрочные вклады физических лиц"</f>
        <v>Краткосрочные вклады физических лиц</v>
      </c>
      <c r="F252" s="3" t="str">
        <f>"1"</f>
        <v>1</v>
      </c>
      <c r="G252" s="3" t="str">
        <f t="shared" si="39"/>
        <v>9</v>
      </c>
      <c r="H252" s="3" t="str">
        <f>"1"</f>
        <v>1</v>
      </c>
      <c r="I252" s="4">
        <v>881087366655.63</v>
      </c>
    </row>
    <row r="253" spans="1:9" x14ac:dyDescent="0.25">
      <c r="A253" s="3">
        <v>245</v>
      </c>
      <c r="B253" s="5">
        <v>45471</v>
      </c>
      <c r="C253" s="3">
        <v>19</v>
      </c>
      <c r="D253" s="3" t="str">
        <f>"2206"</f>
        <v>2206</v>
      </c>
      <c r="E253" s="3" t="str">
        <f>"Краткосрочные вклады физических лиц"</f>
        <v>Краткосрочные вклады физических лиц</v>
      </c>
      <c r="F253" s="3" t="str">
        <f>"1"</f>
        <v>1</v>
      </c>
      <c r="G253" s="3" t="str">
        <f t="shared" si="39"/>
        <v>9</v>
      </c>
      <c r="H253" s="3" t="str">
        <f>"2"</f>
        <v>2</v>
      </c>
      <c r="I253" s="4">
        <v>143963314349.75</v>
      </c>
    </row>
    <row r="254" spans="1:9" x14ac:dyDescent="0.25">
      <c r="A254" s="3">
        <v>246</v>
      </c>
      <c r="B254" s="5">
        <v>45471</v>
      </c>
      <c r="C254" s="3">
        <v>19</v>
      </c>
      <c r="D254" s="3" t="str">
        <f>"2206"</f>
        <v>2206</v>
      </c>
      <c r="E254" s="3" t="str">
        <f>"Краткосрочные вклады физических лиц"</f>
        <v>Краткосрочные вклады физических лиц</v>
      </c>
      <c r="F254" s="3" t="str">
        <f>"2"</f>
        <v>2</v>
      </c>
      <c r="G254" s="3" t="str">
        <f t="shared" si="39"/>
        <v>9</v>
      </c>
      <c r="H254" s="3" t="str">
        <f>"2"</f>
        <v>2</v>
      </c>
      <c r="I254" s="4">
        <v>1115850310.3399999</v>
      </c>
    </row>
    <row r="255" spans="1:9" x14ac:dyDescent="0.25">
      <c r="A255" s="3">
        <v>248</v>
      </c>
      <c r="B255" s="5">
        <v>45471</v>
      </c>
      <c r="C255" s="3">
        <v>19</v>
      </c>
      <c r="D255" s="3" t="str">
        <f>"2206"</f>
        <v>2206</v>
      </c>
      <c r="E255" s="3" t="str">
        <f>"Краткосрочные вклады физических лиц"</f>
        <v>Краткосрочные вклады физических лиц</v>
      </c>
      <c r="F255" s="3" t="str">
        <f>"2"</f>
        <v>2</v>
      </c>
      <c r="G255" s="3" t="str">
        <f t="shared" si="39"/>
        <v>9</v>
      </c>
      <c r="H255" s="3" t="str">
        <f>"1"</f>
        <v>1</v>
      </c>
      <c r="I255" s="4">
        <v>2827306458.0100002</v>
      </c>
    </row>
    <row r="256" spans="1:9" x14ac:dyDescent="0.25">
      <c r="A256" s="3">
        <v>247</v>
      </c>
      <c r="B256" s="5">
        <v>45471</v>
      </c>
      <c r="C256" s="3">
        <v>19</v>
      </c>
      <c r="D256" s="3" t="str">
        <f>"2207"</f>
        <v>2207</v>
      </c>
      <c r="E256" s="3" t="str">
        <f>"Долгосрочные вклады физических лиц"</f>
        <v>Долгосрочные вклады физических лиц</v>
      </c>
      <c r="F256" s="3" t="str">
        <f>"1"</f>
        <v>1</v>
      </c>
      <c r="G256" s="3" t="str">
        <f t="shared" si="39"/>
        <v>9</v>
      </c>
      <c r="H256" s="3" t="str">
        <f>"2"</f>
        <v>2</v>
      </c>
      <c r="I256" s="4">
        <v>281880701644.5</v>
      </c>
    </row>
    <row r="257" spans="1:9" x14ac:dyDescent="0.25">
      <c r="A257" s="3">
        <v>249</v>
      </c>
      <c r="B257" s="5">
        <v>45471</v>
      </c>
      <c r="C257" s="3">
        <v>19</v>
      </c>
      <c r="D257" s="3" t="str">
        <f>"2207"</f>
        <v>2207</v>
      </c>
      <c r="E257" s="3" t="str">
        <f>"Долгосрочные вклады физических лиц"</f>
        <v>Долгосрочные вклады физических лиц</v>
      </c>
      <c r="F257" s="3" t="str">
        <f>"1"</f>
        <v>1</v>
      </c>
      <c r="G257" s="3" t="str">
        <f t="shared" si="39"/>
        <v>9</v>
      </c>
      <c r="H257" s="3" t="str">
        <f>"1"</f>
        <v>1</v>
      </c>
      <c r="I257" s="4">
        <v>3115499192018.23</v>
      </c>
    </row>
    <row r="258" spans="1:9" x14ac:dyDescent="0.25">
      <c r="A258" s="3">
        <v>250</v>
      </c>
      <c r="B258" s="5">
        <v>45471</v>
      </c>
      <c r="C258" s="3">
        <v>19</v>
      </c>
      <c r="D258" s="3" t="str">
        <f>"2207"</f>
        <v>2207</v>
      </c>
      <c r="E258" s="3" t="str">
        <f>"Долгосрочные вклады физических лиц"</f>
        <v>Долгосрочные вклады физических лиц</v>
      </c>
      <c r="F258" s="3" t="str">
        <f>"2"</f>
        <v>2</v>
      </c>
      <c r="G258" s="3" t="str">
        <f t="shared" si="39"/>
        <v>9</v>
      </c>
      <c r="H258" s="3" t="str">
        <f>"2"</f>
        <v>2</v>
      </c>
      <c r="I258" s="4">
        <v>27985461563.490002</v>
      </c>
    </row>
    <row r="259" spans="1:9" x14ac:dyDescent="0.25">
      <c r="A259" s="3">
        <v>251</v>
      </c>
      <c r="B259" s="5">
        <v>45471</v>
      </c>
      <c r="C259" s="3">
        <v>19</v>
      </c>
      <c r="D259" s="3" t="str">
        <f>"2207"</f>
        <v>2207</v>
      </c>
      <c r="E259" s="3" t="str">
        <f>"Долгосрочные вклады физических лиц"</f>
        <v>Долгосрочные вклады физических лиц</v>
      </c>
      <c r="F259" s="3" t="str">
        <f>"2"</f>
        <v>2</v>
      </c>
      <c r="G259" s="3" t="str">
        <f t="shared" si="39"/>
        <v>9</v>
      </c>
      <c r="H259" s="3" t="str">
        <f>"1"</f>
        <v>1</v>
      </c>
      <c r="I259" s="4">
        <v>62128511364.900002</v>
      </c>
    </row>
    <row r="260" spans="1:9" x14ac:dyDescent="0.25">
      <c r="A260" s="3">
        <v>252</v>
      </c>
      <c r="B260" s="5">
        <v>45471</v>
      </c>
      <c r="C260" s="3">
        <v>19</v>
      </c>
      <c r="D260" s="3" t="str">
        <f>"2208"</f>
        <v>2208</v>
      </c>
      <c r="E260" s="3" t="str">
        <f>"Условные вклады физических лиц"</f>
        <v>Условные вклады физических лиц</v>
      </c>
      <c r="F260" s="3" t="str">
        <f>"2"</f>
        <v>2</v>
      </c>
      <c r="G260" s="3" t="str">
        <f t="shared" si="39"/>
        <v>9</v>
      </c>
      <c r="H260" s="3" t="str">
        <f>"1"</f>
        <v>1</v>
      </c>
      <c r="I260" s="4">
        <v>25000</v>
      </c>
    </row>
    <row r="261" spans="1:9" x14ac:dyDescent="0.25">
      <c r="A261" s="3">
        <v>256</v>
      </c>
      <c r="B261" s="5">
        <v>45471</v>
      </c>
      <c r="C261" s="3">
        <v>19</v>
      </c>
      <c r="D261" s="3" t="str">
        <f>"2208"</f>
        <v>2208</v>
      </c>
      <c r="E261" s="3" t="str">
        <f>"Условные вклады физических лиц"</f>
        <v>Условные вклады физических лиц</v>
      </c>
      <c r="F261" s="3" t="str">
        <f t="shared" ref="F261:F272" si="40">"1"</f>
        <v>1</v>
      </c>
      <c r="G261" s="3" t="str">
        <f t="shared" si="39"/>
        <v>9</v>
      </c>
      <c r="H261" s="3" t="str">
        <f>"2"</f>
        <v>2</v>
      </c>
      <c r="I261" s="4">
        <v>24346.19</v>
      </c>
    </row>
    <row r="262" spans="1:9" x14ac:dyDescent="0.25">
      <c r="A262" s="3">
        <v>274</v>
      </c>
      <c r="B262" s="5">
        <v>45471</v>
      </c>
      <c r="C262" s="3">
        <v>19</v>
      </c>
      <c r="D262" s="3" t="str">
        <f>"2208"</f>
        <v>2208</v>
      </c>
      <c r="E262" s="3" t="str">
        <f>"Условные вклады физических лиц"</f>
        <v>Условные вклады физических лиц</v>
      </c>
      <c r="F262" s="3" t="str">
        <f t="shared" si="40"/>
        <v>1</v>
      </c>
      <c r="G262" s="3" t="str">
        <f t="shared" si="39"/>
        <v>9</v>
      </c>
      <c r="H262" s="3" t="str">
        <f>"1"</f>
        <v>1</v>
      </c>
      <c r="I262" s="4">
        <v>612711.64</v>
      </c>
    </row>
    <row r="263" spans="1:9" x14ac:dyDescent="0.25">
      <c r="A263" s="3">
        <v>266</v>
      </c>
      <c r="B263" s="5">
        <v>45471</v>
      </c>
      <c r="C263" s="3">
        <v>19</v>
      </c>
      <c r="D263" s="3" t="str">
        <f>"2213"</f>
        <v>2213</v>
      </c>
      <c r="E263" s="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63" s="3" t="str">
        <f t="shared" si="40"/>
        <v>1</v>
      </c>
      <c r="G263" s="3" t="str">
        <f t="shared" si="39"/>
        <v>9</v>
      </c>
      <c r="H263" s="3" t="str">
        <f>"1"</f>
        <v>1</v>
      </c>
      <c r="I263" s="4">
        <v>0.4</v>
      </c>
    </row>
    <row r="264" spans="1:9" x14ac:dyDescent="0.25">
      <c r="A264" s="3">
        <v>254</v>
      </c>
      <c r="B264" s="5">
        <v>45471</v>
      </c>
      <c r="C264" s="3">
        <v>19</v>
      </c>
      <c r="D264" s="3" t="str">
        <f>"2215"</f>
        <v>2215</v>
      </c>
      <c r="E264" s="3" t="str">
        <f>"Краткосрочные вклады юридических лиц"</f>
        <v>Краткосрочные вклады юридических лиц</v>
      </c>
      <c r="F264" s="3" t="str">
        <f t="shared" si="40"/>
        <v>1</v>
      </c>
      <c r="G264" s="3" t="str">
        <f>"6"</f>
        <v>6</v>
      </c>
      <c r="H264" s="3" t="str">
        <f>"1"</f>
        <v>1</v>
      </c>
      <c r="I264" s="4">
        <v>967846871</v>
      </c>
    </row>
    <row r="265" spans="1:9" x14ac:dyDescent="0.25">
      <c r="A265" s="3">
        <v>255</v>
      </c>
      <c r="B265" s="5">
        <v>45471</v>
      </c>
      <c r="C265" s="3">
        <v>19</v>
      </c>
      <c r="D265" s="3" t="str">
        <f>"2215"</f>
        <v>2215</v>
      </c>
      <c r="E265" s="3" t="str">
        <f>"Краткосрочные вклады юридических лиц"</f>
        <v>Краткосрочные вклады юридических лиц</v>
      </c>
      <c r="F265" s="3" t="str">
        <f t="shared" si="40"/>
        <v>1</v>
      </c>
      <c r="G265" s="3" t="str">
        <f>"5"</f>
        <v>5</v>
      </c>
      <c r="H265" s="3" t="str">
        <f>"1"</f>
        <v>1</v>
      </c>
      <c r="I265" s="4">
        <v>177583000000</v>
      </c>
    </row>
    <row r="266" spans="1:9" x14ac:dyDescent="0.25">
      <c r="A266" s="3">
        <v>257</v>
      </c>
      <c r="B266" s="5">
        <v>45471</v>
      </c>
      <c r="C266" s="3">
        <v>19</v>
      </c>
      <c r="D266" s="3" t="str">
        <f>"2215"</f>
        <v>2215</v>
      </c>
      <c r="E266" s="3" t="str">
        <f>"Краткосрочные вклады юридических лиц"</f>
        <v>Краткосрочные вклады юридических лиц</v>
      </c>
      <c r="F266" s="3" t="str">
        <f t="shared" si="40"/>
        <v>1</v>
      </c>
      <c r="G266" s="3" t="str">
        <f>"7"</f>
        <v>7</v>
      </c>
      <c r="H266" s="3" t="str">
        <f>"1"</f>
        <v>1</v>
      </c>
      <c r="I266" s="4">
        <v>9666682973.1599998</v>
      </c>
    </row>
    <row r="267" spans="1:9" x14ac:dyDescent="0.25">
      <c r="A267" s="3">
        <v>261</v>
      </c>
      <c r="B267" s="5">
        <v>45471</v>
      </c>
      <c r="C267" s="3">
        <v>19</v>
      </c>
      <c r="D267" s="3" t="str">
        <f>"2215"</f>
        <v>2215</v>
      </c>
      <c r="E267" s="3" t="str">
        <f>"Краткосрочные вклады юридических лиц"</f>
        <v>Краткосрочные вклады юридических лиц</v>
      </c>
      <c r="F267" s="3" t="str">
        <f t="shared" si="40"/>
        <v>1</v>
      </c>
      <c r="G267" s="3" t="str">
        <f>"7"</f>
        <v>7</v>
      </c>
      <c r="H267" s="3" t="str">
        <f>"2"</f>
        <v>2</v>
      </c>
      <c r="I267" s="4">
        <v>1449177991.1400001</v>
      </c>
    </row>
    <row r="268" spans="1:9" x14ac:dyDescent="0.25">
      <c r="A268" s="3">
        <v>262</v>
      </c>
      <c r="B268" s="5">
        <v>45471</v>
      </c>
      <c r="C268" s="3">
        <v>19</v>
      </c>
      <c r="D268" s="3" t="str">
        <f>"2215"</f>
        <v>2215</v>
      </c>
      <c r="E268" s="3" t="str">
        <f>"Краткосрочные вклады юридических лиц"</f>
        <v>Краткосрочные вклады юридических лиц</v>
      </c>
      <c r="F268" s="3" t="str">
        <f t="shared" si="40"/>
        <v>1</v>
      </c>
      <c r="G268" s="3" t="str">
        <f>"8"</f>
        <v>8</v>
      </c>
      <c r="H268" s="3" t="str">
        <f>"1"</f>
        <v>1</v>
      </c>
      <c r="I268" s="4">
        <v>3193877840.4200001</v>
      </c>
    </row>
    <row r="269" spans="1:9" x14ac:dyDescent="0.25">
      <c r="A269" s="3">
        <v>258</v>
      </c>
      <c r="B269" s="5">
        <v>45471</v>
      </c>
      <c r="C269" s="3">
        <v>19</v>
      </c>
      <c r="D269" s="3" t="str">
        <f>"2217"</f>
        <v>2217</v>
      </c>
      <c r="E269" s="3" t="str">
        <f>"Долгосрочные вклады юридических лиц"</f>
        <v>Долгосрочные вклады юридических лиц</v>
      </c>
      <c r="F269" s="3" t="str">
        <f t="shared" si="40"/>
        <v>1</v>
      </c>
      <c r="G269" s="3" t="str">
        <f>"7"</f>
        <v>7</v>
      </c>
      <c r="H269" s="3" t="str">
        <f>"2"</f>
        <v>2</v>
      </c>
      <c r="I269" s="4">
        <v>620254978.84000003</v>
      </c>
    </row>
    <row r="270" spans="1:9" x14ac:dyDescent="0.25">
      <c r="A270" s="3">
        <v>259</v>
      </c>
      <c r="B270" s="5">
        <v>45471</v>
      </c>
      <c r="C270" s="3">
        <v>19</v>
      </c>
      <c r="D270" s="3" t="str">
        <f>"2217"</f>
        <v>2217</v>
      </c>
      <c r="E270" s="3" t="str">
        <f>"Долгосрочные вклады юридических лиц"</f>
        <v>Долгосрочные вклады юридических лиц</v>
      </c>
      <c r="F270" s="3" t="str">
        <f t="shared" si="40"/>
        <v>1</v>
      </c>
      <c r="G270" s="3" t="str">
        <f>"5"</f>
        <v>5</v>
      </c>
      <c r="H270" s="3" t="str">
        <f>"1"</f>
        <v>1</v>
      </c>
      <c r="I270" s="4">
        <v>25775946850.5</v>
      </c>
    </row>
    <row r="271" spans="1:9" x14ac:dyDescent="0.25">
      <c r="A271" s="3">
        <v>265</v>
      </c>
      <c r="B271" s="5">
        <v>45471</v>
      </c>
      <c r="C271" s="3">
        <v>19</v>
      </c>
      <c r="D271" s="3" t="str">
        <f>"2217"</f>
        <v>2217</v>
      </c>
      <c r="E271" s="3" t="str">
        <f>"Долгосрочные вклады юридических лиц"</f>
        <v>Долгосрочные вклады юридических лиц</v>
      </c>
      <c r="F271" s="3" t="str">
        <f t="shared" si="40"/>
        <v>1</v>
      </c>
      <c r="G271" s="3" t="str">
        <f>"6"</f>
        <v>6</v>
      </c>
      <c r="H271" s="3" t="str">
        <f>"1"</f>
        <v>1</v>
      </c>
      <c r="I271" s="4">
        <v>1171428571.5699999</v>
      </c>
    </row>
    <row r="272" spans="1:9" x14ac:dyDescent="0.25">
      <c r="A272" s="3">
        <v>263</v>
      </c>
      <c r="B272" s="5">
        <v>45471</v>
      </c>
      <c r="C272" s="3">
        <v>19</v>
      </c>
      <c r="D272" s="3" t="str">
        <f>"2219"</f>
        <v>2219</v>
      </c>
      <c r="E272" s="3" t="str">
        <f>"Условные вклады юридических лиц"</f>
        <v>Условные вклады юридических лиц</v>
      </c>
      <c r="F272" s="3" t="str">
        <f t="shared" si="40"/>
        <v>1</v>
      </c>
      <c r="G272" s="3" t="str">
        <f>"6"</f>
        <v>6</v>
      </c>
      <c r="H272" s="3" t="str">
        <f>"1"</f>
        <v>1</v>
      </c>
      <c r="I272" s="4">
        <v>10000</v>
      </c>
    </row>
    <row r="273" spans="1:9" x14ac:dyDescent="0.25">
      <c r="A273" s="3">
        <v>264</v>
      </c>
      <c r="B273" s="5">
        <v>45471</v>
      </c>
      <c r="C273" s="3">
        <v>19</v>
      </c>
      <c r="D273" s="3" t="str">
        <f>"2219"</f>
        <v>2219</v>
      </c>
      <c r="E273" s="3" t="str">
        <f>"Условные вклады юридических лиц"</f>
        <v>Условные вклады юридических лиц</v>
      </c>
      <c r="F273" s="3" t="str">
        <f>"2"</f>
        <v>2</v>
      </c>
      <c r="G273" s="3" t="str">
        <f>"6"</f>
        <v>6</v>
      </c>
      <c r="H273" s="3" t="str">
        <f>"2"</f>
        <v>2</v>
      </c>
      <c r="I273" s="4">
        <v>528035.19999999995</v>
      </c>
    </row>
    <row r="274" spans="1:9" x14ac:dyDescent="0.25">
      <c r="A274" s="3">
        <v>267</v>
      </c>
      <c r="B274" s="5">
        <v>45471</v>
      </c>
      <c r="C274" s="3">
        <v>19</v>
      </c>
      <c r="D274" s="3" t="str">
        <f>"2219"</f>
        <v>2219</v>
      </c>
      <c r="E274" s="3" t="str">
        <f>"Условные вклады юридических лиц"</f>
        <v>Условные вклады юридических лиц</v>
      </c>
      <c r="F274" s="3" t="str">
        <f>"1"</f>
        <v>1</v>
      </c>
      <c r="G274" s="3" t="str">
        <f>"7"</f>
        <v>7</v>
      </c>
      <c r="H274" s="3" t="str">
        <f>"1"</f>
        <v>1</v>
      </c>
      <c r="I274" s="4">
        <v>60064593.829999998</v>
      </c>
    </row>
    <row r="275" spans="1:9" x14ac:dyDescent="0.25">
      <c r="A275" s="3">
        <v>269</v>
      </c>
      <c r="B275" s="5">
        <v>45471</v>
      </c>
      <c r="C275" s="3">
        <v>19</v>
      </c>
      <c r="D275" s="3" t="str">
        <f>"2219"</f>
        <v>2219</v>
      </c>
      <c r="E275" s="3" t="str">
        <f>"Условные вклады юридических лиц"</f>
        <v>Условные вклады юридических лиц</v>
      </c>
      <c r="F275" s="3" t="str">
        <f>"2"</f>
        <v>2</v>
      </c>
      <c r="G275" s="3" t="str">
        <f>"7"</f>
        <v>7</v>
      </c>
      <c r="H275" s="3" t="str">
        <f>"2"</f>
        <v>2</v>
      </c>
      <c r="I275" s="4">
        <v>141438</v>
      </c>
    </row>
    <row r="276" spans="1:9" x14ac:dyDescent="0.25">
      <c r="A276" s="3">
        <v>268</v>
      </c>
      <c r="B276" s="5">
        <v>45471</v>
      </c>
      <c r="C276" s="3">
        <v>19</v>
      </c>
      <c r="D276" s="3" t="str">
        <f t="shared" ref="D276:D286" si="41">"2237"</f>
        <v>2237</v>
      </c>
      <c r="E276" s="3" t="str">
        <f t="shared" ref="E276:E286" si="4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76" s="3" t="str">
        <f t="shared" ref="F276:F283" si="43">"1"</f>
        <v>1</v>
      </c>
      <c r="G276" s="3" t="str">
        <f>"6"</f>
        <v>6</v>
      </c>
      <c r="H276" s="3" t="str">
        <f>"1"</f>
        <v>1</v>
      </c>
      <c r="I276" s="4">
        <v>54000</v>
      </c>
    </row>
    <row r="277" spans="1:9" x14ac:dyDescent="0.25">
      <c r="A277" s="3">
        <v>270</v>
      </c>
      <c r="B277" s="5">
        <v>45471</v>
      </c>
      <c r="C277" s="3">
        <v>19</v>
      </c>
      <c r="D277" s="3" t="str">
        <f t="shared" si="41"/>
        <v>2237</v>
      </c>
      <c r="E277" s="3" t="str">
        <f t="shared" si="42"/>
        <v>Счет хранения указаний отправителя в соответствии с валютным законодательством Республики Казахстан</v>
      </c>
      <c r="F277" s="3" t="str">
        <f t="shared" si="43"/>
        <v>1</v>
      </c>
      <c r="G277" s="3" t="str">
        <f>"7"</f>
        <v>7</v>
      </c>
      <c r="H277" s="3" t="str">
        <f>"3"</f>
        <v>3</v>
      </c>
      <c r="I277" s="4">
        <v>66661216.450000003</v>
      </c>
    </row>
    <row r="278" spans="1:9" x14ac:dyDescent="0.25">
      <c r="A278" s="3">
        <v>271</v>
      </c>
      <c r="B278" s="5">
        <v>45471</v>
      </c>
      <c r="C278" s="3">
        <v>19</v>
      </c>
      <c r="D278" s="3" t="str">
        <f t="shared" si="41"/>
        <v>2237</v>
      </c>
      <c r="E278" s="3" t="str">
        <f t="shared" si="42"/>
        <v>Счет хранения указаний отправителя в соответствии с валютным законодательством Республики Казахстан</v>
      </c>
      <c r="F278" s="3" t="str">
        <f t="shared" si="43"/>
        <v>1</v>
      </c>
      <c r="G278" s="3" t="str">
        <f>"8"</f>
        <v>8</v>
      </c>
      <c r="H278" s="3" t="str">
        <f>"3"</f>
        <v>3</v>
      </c>
      <c r="I278" s="4">
        <v>66360</v>
      </c>
    </row>
    <row r="279" spans="1:9" x14ac:dyDescent="0.25">
      <c r="A279" s="3">
        <v>272</v>
      </c>
      <c r="B279" s="5">
        <v>45471</v>
      </c>
      <c r="C279" s="3">
        <v>19</v>
      </c>
      <c r="D279" s="3" t="str">
        <f t="shared" si="41"/>
        <v>2237</v>
      </c>
      <c r="E279" s="3" t="str">
        <f t="shared" si="42"/>
        <v>Счет хранения указаний отправителя в соответствии с валютным законодательством Республики Казахстан</v>
      </c>
      <c r="F279" s="3" t="str">
        <f t="shared" si="43"/>
        <v>1</v>
      </c>
      <c r="G279" s="3" t="str">
        <f>"7"</f>
        <v>7</v>
      </c>
      <c r="H279" s="3" t="str">
        <f>"2"</f>
        <v>2</v>
      </c>
      <c r="I279" s="4">
        <v>221346220.71000001</v>
      </c>
    </row>
    <row r="280" spans="1:9" x14ac:dyDescent="0.25">
      <c r="A280" s="3">
        <v>273</v>
      </c>
      <c r="B280" s="5">
        <v>45471</v>
      </c>
      <c r="C280" s="3">
        <v>19</v>
      </c>
      <c r="D280" s="3" t="str">
        <f t="shared" si="41"/>
        <v>2237</v>
      </c>
      <c r="E280" s="3" t="str">
        <f t="shared" si="42"/>
        <v>Счет хранения указаний отправителя в соответствии с валютным законодательством Республики Казахстан</v>
      </c>
      <c r="F280" s="3" t="str">
        <f t="shared" si="43"/>
        <v>1</v>
      </c>
      <c r="G280" s="3" t="str">
        <f>"7"</f>
        <v>7</v>
      </c>
      <c r="H280" s="3" t="str">
        <f>"1"</f>
        <v>1</v>
      </c>
      <c r="I280" s="4">
        <v>60930471.200000003</v>
      </c>
    </row>
    <row r="281" spans="1:9" x14ac:dyDescent="0.25">
      <c r="A281" s="3">
        <v>275</v>
      </c>
      <c r="B281" s="5">
        <v>45471</v>
      </c>
      <c r="C281" s="3">
        <v>19</v>
      </c>
      <c r="D281" s="3" t="str">
        <f t="shared" si="41"/>
        <v>2237</v>
      </c>
      <c r="E281" s="3" t="str">
        <f t="shared" si="42"/>
        <v>Счет хранения указаний отправителя в соответствии с валютным законодательством Республики Казахстан</v>
      </c>
      <c r="F281" s="3" t="str">
        <f t="shared" si="43"/>
        <v>1</v>
      </c>
      <c r="G281" s="3" t="str">
        <f>"9"</f>
        <v>9</v>
      </c>
      <c r="H281" s="3" t="str">
        <f>"2"</f>
        <v>2</v>
      </c>
      <c r="I281" s="4">
        <v>807057681.89999998</v>
      </c>
    </row>
    <row r="282" spans="1:9" x14ac:dyDescent="0.25">
      <c r="A282" s="3">
        <v>276</v>
      </c>
      <c r="B282" s="5">
        <v>45471</v>
      </c>
      <c r="C282" s="3">
        <v>19</v>
      </c>
      <c r="D282" s="3" t="str">
        <f t="shared" si="41"/>
        <v>2237</v>
      </c>
      <c r="E282" s="3" t="str">
        <f t="shared" si="42"/>
        <v>Счет хранения указаний отправителя в соответствии с валютным законодательством Республики Казахстан</v>
      </c>
      <c r="F282" s="3" t="str">
        <f t="shared" si="43"/>
        <v>1</v>
      </c>
      <c r="G282" s="3" t="str">
        <f>"8"</f>
        <v>8</v>
      </c>
      <c r="H282" s="3" t="str">
        <f>"2"</f>
        <v>2</v>
      </c>
      <c r="I282" s="4">
        <v>32176113.199999999</v>
      </c>
    </row>
    <row r="283" spans="1:9" x14ac:dyDescent="0.25">
      <c r="A283" s="3">
        <v>277</v>
      </c>
      <c r="B283" s="5">
        <v>45471</v>
      </c>
      <c r="C283" s="3">
        <v>19</v>
      </c>
      <c r="D283" s="3" t="str">
        <f t="shared" si="41"/>
        <v>2237</v>
      </c>
      <c r="E283" s="3" t="str">
        <f t="shared" si="42"/>
        <v>Счет хранения указаний отправителя в соответствии с валютным законодательством Республики Казахстан</v>
      </c>
      <c r="F283" s="3" t="str">
        <f t="shared" si="43"/>
        <v>1</v>
      </c>
      <c r="G283" s="3" t="str">
        <f>"9"</f>
        <v>9</v>
      </c>
      <c r="H283" s="3" t="str">
        <f>"1"</f>
        <v>1</v>
      </c>
      <c r="I283" s="4">
        <v>46289379.710000001</v>
      </c>
    </row>
    <row r="284" spans="1:9" x14ac:dyDescent="0.25">
      <c r="A284" s="3">
        <v>278</v>
      </c>
      <c r="B284" s="5">
        <v>45471</v>
      </c>
      <c r="C284" s="3">
        <v>19</v>
      </c>
      <c r="D284" s="3" t="str">
        <f t="shared" si="41"/>
        <v>2237</v>
      </c>
      <c r="E284" s="3" t="str">
        <f t="shared" si="42"/>
        <v>Счет хранения указаний отправителя в соответствии с валютным законодательством Республики Казахстан</v>
      </c>
      <c r="F284" s="3" t="str">
        <f>"2"</f>
        <v>2</v>
      </c>
      <c r="G284" s="3" t="str">
        <f>"9"</f>
        <v>9</v>
      </c>
      <c r="H284" s="3" t="str">
        <f>"1"</f>
        <v>1</v>
      </c>
      <c r="I284" s="4">
        <v>19329135.329999998</v>
      </c>
    </row>
    <row r="285" spans="1:9" x14ac:dyDescent="0.25">
      <c r="A285" s="3">
        <v>280</v>
      </c>
      <c r="B285" s="5">
        <v>45471</v>
      </c>
      <c r="C285" s="3">
        <v>19</v>
      </c>
      <c r="D285" s="3" t="str">
        <f t="shared" si="41"/>
        <v>2237</v>
      </c>
      <c r="E285" s="3" t="str">
        <f t="shared" si="42"/>
        <v>Счет хранения указаний отправителя в соответствии с валютным законодательством Республики Казахстан</v>
      </c>
      <c r="F285" s="3" t="str">
        <f t="shared" ref="F285:F293" si="44">"1"</f>
        <v>1</v>
      </c>
      <c r="G285" s="3" t="str">
        <f>"8"</f>
        <v>8</v>
      </c>
      <c r="H285" s="3" t="str">
        <f>"1"</f>
        <v>1</v>
      </c>
      <c r="I285" s="4">
        <v>65257808.450000003</v>
      </c>
    </row>
    <row r="286" spans="1:9" x14ac:dyDescent="0.25">
      <c r="A286" s="3">
        <v>281</v>
      </c>
      <c r="B286" s="5">
        <v>45471</v>
      </c>
      <c r="C286" s="3">
        <v>19</v>
      </c>
      <c r="D286" s="3" t="str">
        <f t="shared" si="41"/>
        <v>2237</v>
      </c>
      <c r="E286" s="3" t="str">
        <f t="shared" si="42"/>
        <v>Счет хранения указаний отправителя в соответствии с валютным законодательством Республики Казахстан</v>
      </c>
      <c r="F286" s="3" t="str">
        <f t="shared" si="44"/>
        <v>1</v>
      </c>
      <c r="G286" s="3" t="str">
        <f>"9"</f>
        <v>9</v>
      </c>
      <c r="H286" s="3" t="str">
        <f>"3"</f>
        <v>3</v>
      </c>
      <c r="I286" s="4">
        <v>29493868.890000001</v>
      </c>
    </row>
    <row r="287" spans="1:9" x14ac:dyDescent="0.25">
      <c r="A287" s="3">
        <v>279</v>
      </c>
      <c r="B287" s="5">
        <v>45471</v>
      </c>
      <c r="C287" s="3">
        <v>19</v>
      </c>
      <c r="D287" s="3" t="str">
        <f>"2238"</f>
        <v>2238</v>
      </c>
      <c r="E287" s="3" t="str">
        <f>"Премия по вкладам, привлеченным от клиентов"</f>
        <v>Премия по вкладам, привлеченным от клиентов</v>
      </c>
      <c r="F287" s="3" t="str">
        <f t="shared" si="44"/>
        <v>1</v>
      </c>
      <c r="G287" s="3" t="str">
        <f>"5"</f>
        <v>5</v>
      </c>
      <c r="H287" s="3" t="str">
        <f>"1"</f>
        <v>1</v>
      </c>
      <c r="I287" s="4">
        <v>11289.23</v>
      </c>
    </row>
    <row r="288" spans="1:9" x14ac:dyDescent="0.25">
      <c r="A288" s="3">
        <v>282</v>
      </c>
      <c r="B288" s="5">
        <v>45471</v>
      </c>
      <c r="C288" s="3">
        <v>19</v>
      </c>
      <c r="D288" s="3" t="str">
        <f>"2239"</f>
        <v>2239</v>
      </c>
      <c r="E288" s="3" t="str">
        <f>"Дисконт по вкладам, привлеченным от клиентов"</f>
        <v>Дисконт по вкладам, привлеченным от клиентов</v>
      </c>
      <c r="F288" s="3" t="str">
        <f t="shared" si="44"/>
        <v>1</v>
      </c>
      <c r="G288" s="3" t="str">
        <f>"5"</f>
        <v>5</v>
      </c>
      <c r="H288" s="3" t="str">
        <f>"1"</f>
        <v>1</v>
      </c>
      <c r="I288" s="4">
        <v>-19592198.109999999</v>
      </c>
    </row>
    <row r="289" spans="1:9" x14ac:dyDescent="0.25">
      <c r="A289" s="3">
        <v>284</v>
      </c>
      <c r="B289" s="5">
        <v>45471</v>
      </c>
      <c r="C289" s="3">
        <v>19</v>
      </c>
      <c r="D289" s="3" t="str">
        <f>"2239"</f>
        <v>2239</v>
      </c>
      <c r="E289" s="3" t="str">
        <f>"Дисконт по вкладам, привлеченным от клиентов"</f>
        <v>Дисконт по вкладам, привлеченным от клиентов</v>
      </c>
      <c r="F289" s="3" t="str">
        <f t="shared" si="44"/>
        <v>1</v>
      </c>
      <c r="G289" s="3" t="str">
        <f>"7"</f>
        <v>7</v>
      </c>
      <c r="H289" s="3" t="str">
        <f>"2"</f>
        <v>2</v>
      </c>
      <c r="I289" s="4">
        <v>-13229.72</v>
      </c>
    </row>
    <row r="290" spans="1:9" x14ac:dyDescent="0.25">
      <c r="A290" s="3">
        <v>285</v>
      </c>
      <c r="B290" s="5">
        <v>45471</v>
      </c>
      <c r="C290" s="3">
        <v>19</v>
      </c>
      <c r="D290" s="3" t="str">
        <f>"2239"</f>
        <v>2239</v>
      </c>
      <c r="E290" s="3" t="str">
        <f>"Дисконт по вкладам, привлеченным от клиентов"</f>
        <v>Дисконт по вкладам, привлеченным от клиентов</v>
      </c>
      <c r="F290" s="3" t="str">
        <f t="shared" si="44"/>
        <v>1</v>
      </c>
      <c r="G290" s="3" t="str">
        <f>"7"</f>
        <v>7</v>
      </c>
      <c r="H290" s="3" t="str">
        <f t="shared" ref="H290:H307" si="45">"1"</f>
        <v>1</v>
      </c>
      <c r="I290" s="4">
        <v>-5933078.7400000002</v>
      </c>
    </row>
    <row r="291" spans="1:9" x14ac:dyDescent="0.25">
      <c r="A291" s="3">
        <v>287</v>
      </c>
      <c r="B291" s="5">
        <v>45471</v>
      </c>
      <c r="C291" s="3">
        <v>19</v>
      </c>
      <c r="D291" s="3" t="str">
        <f>"2239"</f>
        <v>2239</v>
      </c>
      <c r="E291" s="3" t="str">
        <f>"Дисконт по вкладам, привлеченным от клиентов"</f>
        <v>Дисконт по вкладам, привлеченным от клиентов</v>
      </c>
      <c r="F291" s="3" t="str">
        <f t="shared" si="44"/>
        <v>1</v>
      </c>
      <c r="G291" s="3" t="str">
        <f>"6"</f>
        <v>6</v>
      </c>
      <c r="H291" s="3" t="str">
        <f t="shared" si="45"/>
        <v>1</v>
      </c>
      <c r="I291" s="4">
        <v>-1253056.8799999999</v>
      </c>
    </row>
    <row r="292" spans="1:9" x14ac:dyDescent="0.25">
      <c r="A292" s="3">
        <v>291</v>
      </c>
      <c r="B292" s="5">
        <v>45471</v>
      </c>
      <c r="C292" s="3">
        <v>19</v>
      </c>
      <c r="D292" s="3" t="str">
        <f>"2239"</f>
        <v>2239</v>
      </c>
      <c r="E292" s="3" t="str">
        <f>"Дисконт по вкладам, привлеченным от клиентов"</f>
        <v>Дисконт по вкладам, привлеченным от клиентов</v>
      </c>
      <c r="F292" s="3" t="str">
        <f t="shared" si="44"/>
        <v>1</v>
      </c>
      <c r="G292" s="3" t="str">
        <f>"8"</f>
        <v>8</v>
      </c>
      <c r="H292" s="3" t="str">
        <f t="shared" si="45"/>
        <v>1</v>
      </c>
      <c r="I292" s="4">
        <v>-1839820.51</v>
      </c>
    </row>
    <row r="293" spans="1:9" x14ac:dyDescent="0.25">
      <c r="A293" s="3">
        <v>283</v>
      </c>
      <c r="B293" s="5">
        <v>45471</v>
      </c>
      <c r="C293" s="3">
        <v>19</v>
      </c>
      <c r="D293" s="3" t="str">
        <f>"2240"</f>
        <v>2240</v>
      </c>
      <c r="E293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3" s="3" t="str">
        <f t="shared" si="44"/>
        <v>1</v>
      </c>
      <c r="G293" s="3" t="str">
        <f>"7"</f>
        <v>7</v>
      </c>
      <c r="H293" s="3" t="str">
        <f t="shared" si="45"/>
        <v>1</v>
      </c>
      <c r="I293" s="4">
        <v>853634010.5</v>
      </c>
    </row>
    <row r="294" spans="1:9" x14ac:dyDescent="0.25">
      <c r="A294" s="3">
        <v>286</v>
      </c>
      <c r="B294" s="5">
        <v>45471</v>
      </c>
      <c r="C294" s="3">
        <v>19</v>
      </c>
      <c r="D294" s="3" t="str">
        <f>"2240"</f>
        <v>2240</v>
      </c>
      <c r="E294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4" s="3" t="str">
        <f>"2"</f>
        <v>2</v>
      </c>
      <c r="G294" s="3" t="str">
        <f>"9"</f>
        <v>9</v>
      </c>
      <c r="H294" s="3" t="str">
        <f t="shared" si="45"/>
        <v>1</v>
      </c>
      <c r="I294" s="4">
        <v>1959765.33</v>
      </c>
    </row>
    <row r="295" spans="1:9" x14ac:dyDescent="0.25">
      <c r="A295" s="3">
        <v>288</v>
      </c>
      <c r="B295" s="5">
        <v>45471</v>
      </c>
      <c r="C295" s="3">
        <v>19</v>
      </c>
      <c r="D295" s="3" t="str">
        <f>"2240"</f>
        <v>2240</v>
      </c>
      <c r="E295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5" s="3" t="str">
        <f t="shared" ref="F295:F303" si="46">"1"</f>
        <v>1</v>
      </c>
      <c r="G295" s="3" t="str">
        <f>"9"</f>
        <v>9</v>
      </c>
      <c r="H295" s="3" t="str">
        <f t="shared" si="45"/>
        <v>1</v>
      </c>
      <c r="I295" s="4">
        <v>57249284419.349998</v>
      </c>
    </row>
    <row r="296" spans="1:9" x14ac:dyDescent="0.25">
      <c r="A296" s="3">
        <v>296</v>
      </c>
      <c r="B296" s="5">
        <v>45471</v>
      </c>
      <c r="C296" s="3">
        <v>19</v>
      </c>
      <c r="D296" s="3" t="str">
        <f>"2241"</f>
        <v>2241</v>
      </c>
      <c r="E296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96" s="3" t="str">
        <f t="shared" si="46"/>
        <v>1</v>
      </c>
      <c r="G296" s="3" t="str">
        <f>"9"</f>
        <v>9</v>
      </c>
      <c r="H296" s="3" t="str">
        <f t="shared" si="45"/>
        <v>1</v>
      </c>
      <c r="I296" s="4">
        <v>216528</v>
      </c>
    </row>
    <row r="297" spans="1:9" x14ac:dyDescent="0.25">
      <c r="A297" s="3">
        <v>289</v>
      </c>
      <c r="B297" s="5">
        <v>45471</v>
      </c>
      <c r="C297" s="3">
        <v>19</v>
      </c>
      <c r="D297" s="3" t="str">
        <f>"2255"</f>
        <v>2255</v>
      </c>
      <c r="E297" s="3" t="str">
        <f>"Операции «РЕПО» с ценными бумагами"</f>
        <v>Операции «РЕПО» с ценными бумагами</v>
      </c>
      <c r="F297" s="3" t="str">
        <f t="shared" si="46"/>
        <v>1</v>
      </c>
      <c r="G297" s="3" t="str">
        <f t="shared" ref="G297:G303" si="47">"5"</f>
        <v>5</v>
      </c>
      <c r="H297" s="3" t="str">
        <f t="shared" si="45"/>
        <v>1</v>
      </c>
      <c r="I297" s="4">
        <v>10000426037</v>
      </c>
    </row>
    <row r="298" spans="1:9" x14ac:dyDescent="0.25">
      <c r="A298" s="3">
        <v>290</v>
      </c>
      <c r="B298" s="5">
        <v>45471</v>
      </c>
      <c r="C298" s="3">
        <v>19</v>
      </c>
      <c r="D298" s="3" t="str">
        <f>"2301"</f>
        <v>2301</v>
      </c>
      <c r="E298" s="3" t="str">
        <f>"Выпущенные в обращение облигации"</f>
        <v>Выпущенные в обращение облигации</v>
      </c>
      <c r="F298" s="3" t="str">
        <f t="shared" si="46"/>
        <v>1</v>
      </c>
      <c r="G298" s="3" t="str">
        <f t="shared" si="47"/>
        <v>5</v>
      </c>
      <c r="H298" s="3" t="str">
        <f t="shared" si="45"/>
        <v>1</v>
      </c>
      <c r="I298" s="4">
        <v>48996136000</v>
      </c>
    </row>
    <row r="299" spans="1:9" x14ac:dyDescent="0.25">
      <c r="A299" s="3">
        <v>294</v>
      </c>
      <c r="B299" s="5">
        <v>45471</v>
      </c>
      <c r="C299" s="3">
        <v>19</v>
      </c>
      <c r="D299" s="3" t="str">
        <f>"2305"</f>
        <v>2305</v>
      </c>
      <c r="E299" s="3" t="str">
        <f>"Дисконт по выпущенным в обращение ценным бумагам"</f>
        <v>Дисконт по выпущенным в обращение ценным бумагам</v>
      </c>
      <c r="F299" s="3" t="str">
        <f t="shared" si="46"/>
        <v>1</v>
      </c>
      <c r="G299" s="3" t="str">
        <f t="shared" si="47"/>
        <v>5</v>
      </c>
      <c r="H299" s="3" t="str">
        <f t="shared" si="45"/>
        <v>1</v>
      </c>
      <c r="I299" s="4">
        <v>-8638526.5600000005</v>
      </c>
    </row>
    <row r="300" spans="1:9" x14ac:dyDescent="0.25">
      <c r="A300" s="3">
        <v>295</v>
      </c>
      <c r="B300" s="5">
        <v>45471</v>
      </c>
      <c r="C300" s="3">
        <v>19</v>
      </c>
      <c r="D300" s="3" t="str">
        <f>"2403"</f>
        <v>2403</v>
      </c>
      <c r="E300" s="3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300" s="3" t="str">
        <f t="shared" si="46"/>
        <v>1</v>
      </c>
      <c r="G300" s="3" t="str">
        <f t="shared" si="47"/>
        <v>5</v>
      </c>
      <c r="H300" s="3" t="str">
        <f t="shared" si="45"/>
        <v>1</v>
      </c>
      <c r="I300" s="4">
        <v>1518.75</v>
      </c>
    </row>
    <row r="301" spans="1:9" x14ac:dyDescent="0.25">
      <c r="A301" s="3">
        <v>300</v>
      </c>
      <c r="B301" s="5">
        <v>45471</v>
      </c>
      <c r="C301" s="3">
        <v>19</v>
      </c>
      <c r="D301" s="3" t="str">
        <f>"2404"</f>
        <v>2404</v>
      </c>
      <c r="E301" s="3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01" s="3" t="str">
        <f t="shared" si="46"/>
        <v>1</v>
      </c>
      <c r="G301" s="3" t="str">
        <f t="shared" si="47"/>
        <v>5</v>
      </c>
      <c r="H301" s="3" t="str">
        <f t="shared" si="45"/>
        <v>1</v>
      </c>
      <c r="I301" s="4">
        <v>-4150283.85</v>
      </c>
    </row>
    <row r="302" spans="1:9" x14ac:dyDescent="0.25">
      <c r="A302" s="3">
        <v>301</v>
      </c>
      <c r="B302" s="5">
        <v>45471</v>
      </c>
      <c r="C302" s="3">
        <v>19</v>
      </c>
      <c r="D302" s="3" t="str">
        <f>"2405"</f>
        <v>2405</v>
      </c>
      <c r="E302" s="3" t="str">
        <f>"Выкупленные субординированные облигации"</f>
        <v>Выкупленные субординированные облигации</v>
      </c>
      <c r="F302" s="3" t="str">
        <f t="shared" si="46"/>
        <v>1</v>
      </c>
      <c r="G302" s="3" t="str">
        <f t="shared" si="47"/>
        <v>5</v>
      </c>
      <c r="H302" s="3" t="str">
        <f t="shared" si="45"/>
        <v>1</v>
      </c>
      <c r="I302" s="4">
        <v>-510200</v>
      </c>
    </row>
    <row r="303" spans="1:9" x14ac:dyDescent="0.25">
      <c r="A303" s="3">
        <v>292</v>
      </c>
      <c r="B303" s="5">
        <v>45471</v>
      </c>
      <c r="C303" s="3">
        <v>19</v>
      </c>
      <c r="D303" s="3" t="str">
        <f>"2406"</f>
        <v>2406</v>
      </c>
      <c r="E303" s="3" t="str">
        <f>"Субординированные облигации"</f>
        <v>Субординированные облигации</v>
      </c>
      <c r="F303" s="3" t="str">
        <f t="shared" si="46"/>
        <v>1</v>
      </c>
      <c r="G303" s="3" t="str">
        <f t="shared" si="47"/>
        <v>5</v>
      </c>
      <c r="H303" s="3" t="str">
        <f t="shared" si="45"/>
        <v>1</v>
      </c>
      <c r="I303" s="4">
        <v>59100896900</v>
      </c>
    </row>
    <row r="304" spans="1:9" x14ac:dyDescent="0.25">
      <c r="A304" s="3">
        <v>293</v>
      </c>
      <c r="B304" s="5">
        <v>45471</v>
      </c>
      <c r="C304" s="3">
        <v>19</v>
      </c>
      <c r="D304" s="3" t="str">
        <f>"2712"</f>
        <v>2712</v>
      </c>
      <c r="E304" s="3" t="str">
        <f>"Начисленные расходы по срочным вкладам других банков"</f>
        <v>Начисленные расходы по срочным вкладам других банков</v>
      </c>
      <c r="F304" s="3" t="str">
        <f>"2"</f>
        <v>2</v>
      </c>
      <c r="G304" s="3" t="str">
        <f>"3"</f>
        <v>3</v>
      </c>
      <c r="H304" s="3" t="str">
        <f t="shared" si="45"/>
        <v>1</v>
      </c>
      <c r="I304" s="4">
        <v>13458333.33</v>
      </c>
    </row>
    <row r="305" spans="1:9" x14ac:dyDescent="0.25">
      <c r="A305" s="3">
        <v>297</v>
      </c>
      <c r="B305" s="5">
        <v>45471</v>
      </c>
      <c r="C305" s="3">
        <v>19</v>
      </c>
      <c r="D305" s="3" t="str">
        <f>"2719"</f>
        <v>2719</v>
      </c>
      <c r="E305" s="3" t="str">
        <f>"Начисленные расходы по условным вкладам клиентов"</f>
        <v>Начисленные расходы по условным вкладам клиентов</v>
      </c>
      <c r="F305" s="3" t="str">
        <f>"1"</f>
        <v>1</v>
      </c>
      <c r="G305" s="3" t="str">
        <f>"6"</f>
        <v>6</v>
      </c>
      <c r="H305" s="3" t="str">
        <f t="shared" si="45"/>
        <v>1</v>
      </c>
      <c r="I305" s="4">
        <v>1388.69</v>
      </c>
    </row>
    <row r="306" spans="1:9" x14ac:dyDescent="0.25">
      <c r="A306" s="3">
        <v>298</v>
      </c>
      <c r="B306" s="5">
        <v>45471</v>
      </c>
      <c r="C306" s="3">
        <v>19</v>
      </c>
      <c r="D306" s="3" t="str">
        <f>"2719"</f>
        <v>2719</v>
      </c>
      <c r="E306" s="3" t="str">
        <f>"Начисленные расходы по условным вкладам клиентов"</f>
        <v>Начисленные расходы по условным вкладам клиентов</v>
      </c>
      <c r="F306" s="3" t="str">
        <f>"1"</f>
        <v>1</v>
      </c>
      <c r="G306" s="3" t="str">
        <f>"7"</f>
        <v>7</v>
      </c>
      <c r="H306" s="3" t="str">
        <f t="shared" si="45"/>
        <v>1</v>
      </c>
      <c r="I306" s="4">
        <v>2031646.43</v>
      </c>
    </row>
    <row r="307" spans="1:9" x14ac:dyDescent="0.25">
      <c r="A307" s="3">
        <v>299</v>
      </c>
      <c r="B307" s="5">
        <v>45471</v>
      </c>
      <c r="C307" s="3">
        <v>19</v>
      </c>
      <c r="D307" s="3" t="str">
        <f>"2719"</f>
        <v>2719</v>
      </c>
      <c r="E307" s="3" t="str">
        <f>"Начисленные расходы по условным вкладам клиентов"</f>
        <v>Начисленные расходы по условным вкладам клиентов</v>
      </c>
      <c r="F307" s="3" t="str">
        <f>"1"</f>
        <v>1</v>
      </c>
      <c r="G307" s="3" t="str">
        <f t="shared" ref="G307:G312" si="48">"9"</f>
        <v>9</v>
      </c>
      <c r="H307" s="3" t="str">
        <f t="shared" si="45"/>
        <v>1</v>
      </c>
      <c r="I307" s="4">
        <v>18882.509999999998</v>
      </c>
    </row>
    <row r="308" spans="1:9" x14ac:dyDescent="0.25">
      <c r="A308" s="3">
        <v>302</v>
      </c>
      <c r="B308" s="5">
        <v>45471</v>
      </c>
      <c r="C308" s="3">
        <v>19</v>
      </c>
      <c r="D308" s="3" t="str">
        <f>"2720"</f>
        <v>2720</v>
      </c>
      <c r="E308" s="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8" s="3" t="str">
        <f>"2"</f>
        <v>2</v>
      </c>
      <c r="G308" s="3" t="str">
        <f t="shared" si="48"/>
        <v>9</v>
      </c>
      <c r="H308" s="3" t="str">
        <f>"2"</f>
        <v>2</v>
      </c>
      <c r="I308" s="4">
        <v>13438.07</v>
      </c>
    </row>
    <row r="309" spans="1:9" x14ac:dyDescent="0.25">
      <c r="A309" s="3">
        <v>303</v>
      </c>
      <c r="B309" s="5">
        <v>45471</v>
      </c>
      <c r="C309" s="3">
        <v>19</v>
      </c>
      <c r="D309" s="3" t="str">
        <f>"2720"</f>
        <v>2720</v>
      </c>
      <c r="E309" s="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9" s="3" t="str">
        <f>"2"</f>
        <v>2</v>
      </c>
      <c r="G309" s="3" t="str">
        <f t="shared" si="48"/>
        <v>9</v>
      </c>
      <c r="H309" s="3" t="str">
        <f>"1"</f>
        <v>1</v>
      </c>
      <c r="I309" s="4">
        <v>30422.78</v>
      </c>
    </row>
    <row r="310" spans="1:9" x14ac:dyDescent="0.25">
      <c r="A310" s="3">
        <v>310</v>
      </c>
      <c r="B310" s="5">
        <v>45471</v>
      </c>
      <c r="C310" s="3">
        <v>19</v>
      </c>
      <c r="D310" s="3" t="str">
        <f>"2720"</f>
        <v>2720</v>
      </c>
      <c r="E310" s="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0" s="3" t="str">
        <f t="shared" ref="F310:F317" si="49">"1"</f>
        <v>1</v>
      </c>
      <c r="G310" s="3" t="str">
        <f t="shared" si="48"/>
        <v>9</v>
      </c>
      <c r="H310" s="3" t="str">
        <f>"1"</f>
        <v>1</v>
      </c>
      <c r="I310" s="4">
        <v>3149385.78</v>
      </c>
    </row>
    <row r="311" spans="1:9" x14ac:dyDescent="0.25">
      <c r="A311" s="3">
        <v>311</v>
      </c>
      <c r="B311" s="5">
        <v>45471</v>
      </c>
      <c r="C311" s="3">
        <v>19</v>
      </c>
      <c r="D311" s="3" t="str">
        <f>"2720"</f>
        <v>2720</v>
      </c>
      <c r="E311" s="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1" s="3" t="str">
        <f t="shared" si="49"/>
        <v>1</v>
      </c>
      <c r="G311" s="3" t="str">
        <f t="shared" si="48"/>
        <v>9</v>
      </c>
      <c r="H311" s="3" t="str">
        <f>"3"</f>
        <v>3</v>
      </c>
      <c r="I311" s="4">
        <v>41.03</v>
      </c>
    </row>
    <row r="312" spans="1:9" x14ac:dyDescent="0.25">
      <c r="A312" s="3">
        <v>312</v>
      </c>
      <c r="B312" s="5">
        <v>45471</v>
      </c>
      <c r="C312" s="3">
        <v>19</v>
      </c>
      <c r="D312" s="3" t="str">
        <f>"2720"</f>
        <v>2720</v>
      </c>
      <c r="E312" s="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2" s="3" t="str">
        <f t="shared" si="49"/>
        <v>1</v>
      </c>
      <c r="G312" s="3" t="str">
        <f t="shared" si="48"/>
        <v>9</v>
      </c>
      <c r="H312" s="3" t="str">
        <f>"2"</f>
        <v>2</v>
      </c>
      <c r="I312" s="4">
        <v>18331.62</v>
      </c>
    </row>
    <row r="313" spans="1:9" x14ac:dyDescent="0.25">
      <c r="A313" s="3">
        <v>304</v>
      </c>
      <c r="B313" s="5">
        <v>45471</v>
      </c>
      <c r="C313" s="3">
        <v>19</v>
      </c>
      <c r="D313" s="3" t="str">
        <f t="shared" ref="D313:D321" si="50">"2721"</f>
        <v>2721</v>
      </c>
      <c r="E313" s="3" t="str">
        <f t="shared" ref="E313:E321" si="51">"Начисленные расходы по срочным вкладам клиентов"</f>
        <v>Начисленные расходы по срочным вкладам клиентов</v>
      </c>
      <c r="F313" s="3" t="str">
        <f t="shared" si="49"/>
        <v>1</v>
      </c>
      <c r="G313" s="3" t="str">
        <f>"6"</f>
        <v>6</v>
      </c>
      <c r="H313" s="3" t="str">
        <f>"1"</f>
        <v>1</v>
      </c>
      <c r="I313" s="4">
        <v>66876629.200000003</v>
      </c>
    </row>
    <row r="314" spans="1:9" x14ac:dyDescent="0.25">
      <c r="A314" s="3">
        <v>305</v>
      </c>
      <c r="B314" s="5">
        <v>45471</v>
      </c>
      <c r="C314" s="3">
        <v>19</v>
      </c>
      <c r="D314" s="3" t="str">
        <f t="shared" si="50"/>
        <v>2721</v>
      </c>
      <c r="E314" s="3" t="str">
        <f t="shared" si="51"/>
        <v>Начисленные расходы по срочным вкладам клиентов</v>
      </c>
      <c r="F314" s="3" t="str">
        <f t="shared" si="49"/>
        <v>1</v>
      </c>
      <c r="G314" s="3" t="str">
        <f>"7"</f>
        <v>7</v>
      </c>
      <c r="H314" s="3" t="str">
        <f>"2"</f>
        <v>2</v>
      </c>
      <c r="I314" s="4">
        <v>2283470.77</v>
      </c>
    </row>
    <row r="315" spans="1:9" x14ac:dyDescent="0.25">
      <c r="A315" s="3">
        <v>306</v>
      </c>
      <c r="B315" s="5">
        <v>45471</v>
      </c>
      <c r="C315" s="3">
        <v>19</v>
      </c>
      <c r="D315" s="3" t="str">
        <f t="shared" si="50"/>
        <v>2721</v>
      </c>
      <c r="E315" s="3" t="str">
        <f t="shared" si="51"/>
        <v>Начисленные расходы по срочным вкладам клиентов</v>
      </c>
      <c r="F315" s="3" t="str">
        <f t="shared" si="49"/>
        <v>1</v>
      </c>
      <c r="G315" s="3" t="str">
        <f>"8"</f>
        <v>8</v>
      </c>
      <c r="H315" s="3" t="str">
        <f>"1"</f>
        <v>1</v>
      </c>
      <c r="I315" s="4">
        <v>95706707.049999997</v>
      </c>
    </row>
    <row r="316" spans="1:9" x14ac:dyDescent="0.25">
      <c r="A316" s="3">
        <v>307</v>
      </c>
      <c r="B316" s="5">
        <v>45471</v>
      </c>
      <c r="C316" s="3">
        <v>19</v>
      </c>
      <c r="D316" s="3" t="str">
        <f t="shared" si="50"/>
        <v>2721</v>
      </c>
      <c r="E316" s="3" t="str">
        <f t="shared" si="51"/>
        <v>Начисленные расходы по срочным вкладам клиентов</v>
      </c>
      <c r="F316" s="3" t="str">
        <f t="shared" si="49"/>
        <v>1</v>
      </c>
      <c r="G316" s="3" t="str">
        <f>"7"</f>
        <v>7</v>
      </c>
      <c r="H316" s="3" t="str">
        <f>"1"</f>
        <v>1</v>
      </c>
      <c r="I316" s="4">
        <v>246352232.44999999</v>
      </c>
    </row>
    <row r="317" spans="1:9" x14ac:dyDescent="0.25">
      <c r="A317" s="3">
        <v>308</v>
      </c>
      <c r="B317" s="5">
        <v>45471</v>
      </c>
      <c r="C317" s="3">
        <v>19</v>
      </c>
      <c r="D317" s="3" t="str">
        <f t="shared" si="50"/>
        <v>2721</v>
      </c>
      <c r="E317" s="3" t="str">
        <f t="shared" si="51"/>
        <v>Начисленные расходы по срочным вкладам клиентов</v>
      </c>
      <c r="F317" s="3" t="str">
        <f t="shared" si="49"/>
        <v>1</v>
      </c>
      <c r="G317" s="3" t="str">
        <f>"5"</f>
        <v>5</v>
      </c>
      <c r="H317" s="3" t="str">
        <f>"1"</f>
        <v>1</v>
      </c>
      <c r="I317" s="4">
        <v>1140328683.6300001</v>
      </c>
    </row>
    <row r="318" spans="1:9" x14ac:dyDescent="0.25">
      <c r="A318" s="3">
        <v>309</v>
      </c>
      <c r="B318" s="5">
        <v>45471</v>
      </c>
      <c r="C318" s="3">
        <v>19</v>
      </c>
      <c r="D318" s="3" t="str">
        <f t="shared" si="50"/>
        <v>2721</v>
      </c>
      <c r="E318" s="3" t="str">
        <f t="shared" si="51"/>
        <v>Начисленные расходы по срочным вкладам клиентов</v>
      </c>
      <c r="F318" s="3" t="str">
        <f>"2"</f>
        <v>2</v>
      </c>
      <c r="G318" s="3" t="str">
        <f>"9"</f>
        <v>9</v>
      </c>
      <c r="H318" s="3" t="str">
        <f>"2"</f>
        <v>2</v>
      </c>
      <c r="I318" s="4">
        <v>24118672.52</v>
      </c>
    </row>
    <row r="319" spans="1:9" x14ac:dyDescent="0.25">
      <c r="A319" s="3">
        <v>313</v>
      </c>
      <c r="B319" s="5">
        <v>45471</v>
      </c>
      <c r="C319" s="3">
        <v>19</v>
      </c>
      <c r="D319" s="3" t="str">
        <f t="shared" si="50"/>
        <v>2721</v>
      </c>
      <c r="E319" s="3" t="str">
        <f t="shared" si="51"/>
        <v>Начисленные расходы по срочным вкладам клиентов</v>
      </c>
      <c r="F319" s="3" t="str">
        <f>"2"</f>
        <v>2</v>
      </c>
      <c r="G319" s="3" t="str">
        <f>"9"</f>
        <v>9</v>
      </c>
      <c r="H319" s="3" t="str">
        <f>"1"</f>
        <v>1</v>
      </c>
      <c r="I319" s="4">
        <v>697974431.90999997</v>
      </c>
    </row>
    <row r="320" spans="1:9" x14ac:dyDescent="0.25">
      <c r="A320" s="3">
        <v>314</v>
      </c>
      <c r="B320" s="5">
        <v>45471</v>
      </c>
      <c r="C320" s="3">
        <v>19</v>
      </c>
      <c r="D320" s="3" t="str">
        <f t="shared" si="50"/>
        <v>2721</v>
      </c>
      <c r="E320" s="3" t="str">
        <f t="shared" si="51"/>
        <v>Начисленные расходы по срочным вкладам клиентов</v>
      </c>
      <c r="F320" s="3" t="str">
        <f>"1"</f>
        <v>1</v>
      </c>
      <c r="G320" s="3" t="str">
        <f>"9"</f>
        <v>9</v>
      </c>
      <c r="H320" s="3" t="str">
        <f>"1"</f>
        <v>1</v>
      </c>
      <c r="I320" s="4">
        <v>43781343180</v>
      </c>
    </row>
    <row r="321" spans="1:9" x14ac:dyDescent="0.25">
      <c r="A321" s="3">
        <v>328</v>
      </c>
      <c r="B321" s="5">
        <v>45471</v>
      </c>
      <c r="C321" s="3">
        <v>19</v>
      </c>
      <c r="D321" s="3" t="str">
        <f t="shared" si="50"/>
        <v>2721</v>
      </c>
      <c r="E321" s="3" t="str">
        <f t="shared" si="51"/>
        <v>Начисленные расходы по срочным вкладам клиентов</v>
      </c>
      <c r="F321" s="3" t="str">
        <f>"1"</f>
        <v>1</v>
      </c>
      <c r="G321" s="3" t="str">
        <f>"9"</f>
        <v>9</v>
      </c>
      <c r="H321" s="3" t="str">
        <f>"2"</f>
        <v>2</v>
      </c>
      <c r="I321" s="4">
        <v>334654200.77999997</v>
      </c>
    </row>
    <row r="322" spans="1:9" x14ac:dyDescent="0.25">
      <c r="A322" s="3">
        <v>315</v>
      </c>
      <c r="B322" s="5">
        <v>45471</v>
      </c>
      <c r="C322" s="3">
        <v>19</v>
      </c>
      <c r="D322" s="3" t="str">
        <f>"2725"</f>
        <v>2725</v>
      </c>
      <c r="E322" s="3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2" s="3" t="str">
        <f>"1"</f>
        <v>1</v>
      </c>
      <c r="G322" s="3" t="str">
        <f>"5"</f>
        <v>5</v>
      </c>
      <c r="H322" s="3" t="str">
        <f t="shared" ref="H322:H342" si="52">"1"</f>
        <v>1</v>
      </c>
      <c r="I322" s="4">
        <v>6393715.0099999998</v>
      </c>
    </row>
    <row r="323" spans="1:9" x14ac:dyDescent="0.25">
      <c r="A323" s="3">
        <v>317</v>
      </c>
      <c r="B323" s="5">
        <v>45471</v>
      </c>
      <c r="C323" s="3">
        <v>19</v>
      </c>
      <c r="D323" s="3" t="str">
        <f>"2730"</f>
        <v>2730</v>
      </c>
      <c r="E323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23" s="3" t="str">
        <f>"1"</f>
        <v>1</v>
      </c>
      <c r="G323" s="3" t="str">
        <f>"5"</f>
        <v>5</v>
      </c>
      <c r="H323" s="3" t="str">
        <f t="shared" si="52"/>
        <v>1</v>
      </c>
      <c r="I323" s="4">
        <v>2061512422.25</v>
      </c>
    </row>
    <row r="324" spans="1:9" x14ac:dyDescent="0.25">
      <c r="A324" s="3">
        <v>316</v>
      </c>
      <c r="B324" s="5">
        <v>45471</v>
      </c>
      <c r="C324" s="3">
        <v>19</v>
      </c>
      <c r="D324" s="3" t="str">
        <f>"2731"</f>
        <v>2731</v>
      </c>
      <c r="E324" s="3" t="str">
        <f>"Начисленные расходы по прочим операциям"</f>
        <v>Начисленные расходы по прочим операциям</v>
      </c>
      <c r="F324" s="3" t="str">
        <f>"1"</f>
        <v>1</v>
      </c>
      <c r="G324" s="3" t="str">
        <f>"5"</f>
        <v>5</v>
      </c>
      <c r="H324" s="3" t="str">
        <f t="shared" si="52"/>
        <v>1</v>
      </c>
      <c r="I324" s="4">
        <v>4429235.95</v>
      </c>
    </row>
    <row r="325" spans="1:9" x14ac:dyDescent="0.25">
      <c r="A325" s="3">
        <v>321</v>
      </c>
      <c r="B325" s="5">
        <v>45471</v>
      </c>
      <c r="C325" s="3">
        <v>19</v>
      </c>
      <c r="D325" s="3" t="str">
        <f>"2731"</f>
        <v>2731</v>
      </c>
      <c r="E325" s="3" t="str">
        <f>"Начисленные расходы по прочим операциям"</f>
        <v>Начисленные расходы по прочим операциям</v>
      </c>
      <c r="F325" s="3" t="str">
        <f>"2"</f>
        <v>2</v>
      </c>
      <c r="G325" s="3" t="str">
        <f>"9"</f>
        <v>9</v>
      </c>
      <c r="H325" s="3" t="str">
        <f t="shared" si="52"/>
        <v>1</v>
      </c>
      <c r="I325" s="4">
        <v>87932523.75</v>
      </c>
    </row>
    <row r="326" spans="1:9" x14ac:dyDescent="0.25">
      <c r="A326" s="3">
        <v>329</v>
      </c>
      <c r="B326" s="5">
        <v>45471</v>
      </c>
      <c r="C326" s="3">
        <v>19</v>
      </c>
      <c r="D326" s="3" t="str">
        <f>"2731"</f>
        <v>2731</v>
      </c>
      <c r="E326" s="3" t="str">
        <f>"Начисленные расходы по прочим операциям"</f>
        <v>Начисленные расходы по прочим операциям</v>
      </c>
      <c r="F326" s="3" t="str">
        <f>"1"</f>
        <v>1</v>
      </c>
      <c r="G326" s="3" t="str">
        <f>"9"</f>
        <v>9</v>
      </c>
      <c r="H326" s="3" t="str">
        <f t="shared" si="52"/>
        <v>1</v>
      </c>
      <c r="I326" s="4">
        <v>2019770568.54</v>
      </c>
    </row>
    <row r="327" spans="1:9" x14ac:dyDescent="0.25">
      <c r="A327" s="3">
        <v>318</v>
      </c>
      <c r="B327" s="5">
        <v>45471</v>
      </c>
      <c r="C327" s="3">
        <v>19</v>
      </c>
      <c r="D327" s="3" t="str">
        <f>"2756"</f>
        <v>2756</v>
      </c>
      <c r="E327" s="3" t="str">
        <f>"Начисленные расходы по субординированным облигациям"</f>
        <v>Начисленные расходы по субординированным облигациям</v>
      </c>
      <c r="F327" s="3" t="str">
        <f>"1"</f>
        <v>1</v>
      </c>
      <c r="G327" s="3" t="str">
        <f>"5"</f>
        <v>5</v>
      </c>
      <c r="H327" s="3" t="str">
        <f t="shared" si="52"/>
        <v>1</v>
      </c>
      <c r="I327" s="4">
        <v>3179436636.8600001</v>
      </c>
    </row>
    <row r="328" spans="1:9" x14ac:dyDescent="0.25">
      <c r="A328" s="3">
        <v>319</v>
      </c>
      <c r="B328" s="5">
        <v>45471</v>
      </c>
      <c r="C328" s="3">
        <v>19</v>
      </c>
      <c r="D328" s="3" t="str">
        <f t="shared" ref="D328:D334" si="53">"2770"</f>
        <v>2770</v>
      </c>
      <c r="E328" s="3" t="str">
        <f t="shared" ref="E328:E334" si="54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8" s="3" t="str">
        <f>"1"</f>
        <v>1</v>
      </c>
      <c r="G328" s="3" t="str">
        <f>"6"</f>
        <v>6</v>
      </c>
      <c r="H328" s="3" t="str">
        <f t="shared" si="52"/>
        <v>1</v>
      </c>
      <c r="I328" s="4">
        <v>101203929.38</v>
      </c>
    </row>
    <row r="329" spans="1:9" x14ac:dyDescent="0.25">
      <c r="A329" s="3">
        <v>320</v>
      </c>
      <c r="B329" s="5">
        <v>45471</v>
      </c>
      <c r="C329" s="3">
        <v>19</v>
      </c>
      <c r="D329" s="3" t="str">
        <f t="shared" si="53"/>
        <v>2770</v>
      </c>
      <c r="E329" s="3" t="str">
        <f t="shared" si="54"/>
        <v>Начисленные расходы по административно-хозяйственной деятельности</v>
      </c>
      <c r="F329" s="3" t="str">
        <f>"1"</f>
        <v>1</v>
      </c>
      <c r="G329" s="3" t="str">
        <f>"5"</f>
        <v>5</v>
      </c>
      <c r="H329" s="3" t="str">
        <f t="shared" si="52"/>
        <v>1</v>
      </c>
      <c r="I329" s="4">
        <v>2440191.0699999998</v>
      </c>
    </row>
    <row r="330" spans="1:9" x14ac:dyDescent="0.25">
      <c r="A330" s="3">
        <v>322</v>
      </c>
      <c r="B330" s="5">
        <v>45471</v>
      </c>
      <c r="C330" s="3">
        <v>19</v>
      </c>
      <c r="D330" s="3" t="str">
        <f t="shared" si="53"/>
        <v>2770</v>
      </c>
      <c r="E330" s="3" t="str">
        <f t="shared" si="54"/>
        <v>Начисленные расходы по административно-хозяйственной деятельности</v>
      </c>
      <c r="F330" s="3" t="str">
        <f>"1"</f>
        <v>1</v>
      </c>
      <c r="G330" s="3" t="str">
        <f>"9"</f>
        <v>9</v>
      </c>
      <c r="H330" s="3" t="str">
        <f t="shared" si="52"/>
        <v>1</v>
      </c>
      <c r="I330" s="4">
        <v>179418541.47</v>
      </c>
    </row>
    <row r="331" spans="1:9" x14ac:dyDescent="0.25">
      <c r="A331" s="3">
        <v>323</v>
      </c>
      <c r="B331" s="5">
        <v>45471</v>
      </c>
      <c r="C331" s="3">
        <v>19</v>
      </c>
      <c r="D331" s="3" t="str">
        <f t="shared" si="53"/>
        <v>2770</v>
      </c>
      <c r="E331" s="3" t="str">
        <f t="shared" si="54"/>
        <v>Начисленные расходы по административно-хозяйственной деятельности</v>
      </c>
      <c r="F331" s="3" t="str">
        <f>"2"</f>
        <v>2</v>
      </c>
      <c r="G331" s="3" t="str">
        <f>"9"</f>
        <v>9</v>
      </c>
      <c r="H331" s="3" t="str">
        <f t="shared" si="52"/>
        <v>1</v>
      </c>
      <c r="I331" s="4">
        <v>2421500</v>
      </c>
    </row>
    <row r="332" spans="1:9" x14ac:dyDescent="0.25">
      <c r="A332" s="3">
        <v>324</v>
      </c>
      <c r="B332" s="5">
        <v>45471</v>
      </c>
      <c r="C332" s="3">
        <v>19</v>
      </c>
      <c r="D332" s="3" t="str">
        <f t="shared" si="53"/>
        <v>2770</v>
      </c>
      <c r="E332" s="3" t="str">
        <f t="shared" si="54"/>
        <v>Начисленные расходы по административно-хозяйственной деятельности</v>
      </c>
      <c r="F332" s="3" t="str">
        <f>"1"</f>
        <v>1</v>
      </c>
      <c r="G332" s="3" t="str">
        <f>"7"</f>
        <v>7</v>
      </c>
      <c r="H332" s="3" t="str">
        <f t="shared" si="52"/>
        <v>1</v>
      </c>
      <c r="I332" s="4">
        <v>3346545804.54</v>
      </c>
    </row>
    <row r="333" spans="1:9" x14ac:dyDescent="0.25">
      <c r="A333" s="3">
        <v>326</v>
      </c>
      <c r="B333" s="5">
        <v>45471</v>
      </c>
      <c r="C333" s="3">
        <v>19</v>
      </c>
      <c r="D333" s="3" t="str">
        <f t="shared" si="53"/>
        <v>2770</v>
      </c>
      <c r="E333" s="3" t="str">
        <f t="shared" si="54"/>
        <v>Начисленные расходы по административно-хозяйственной деятельности</v>
      </c>
      <c r="F333" s="3" t="str">
        <f>"1"</f>
        <v>1</v>
      </c>
      <c r="G333" s="3" t="str">
        <f>"8"</f>
        <v>8</v>
      </c>
      <c r="H333" s="3" t="str">
        <f t="shared" si="52"/>
        <v>1</v>
      </c>
      <c r="I333" s="4">
        <v>439458801</v>
      </c>
    </row>
    <row r="334" spans="1:9" x14ac:dyDescent="0.25">
      <c r="A334" s="3">
        <v>333</v>
      </c>
      <c r="B334" s="5">
        <v>45471</v>
      </c>
      <c r="C334" s="3">
        <v>19</v>
      </c>
      <c r="D334" s="3" t="str">
        <f t="shared" si="53"/>
        <v>2770</v>
      </c>
      <c r="E334" s="3" t="str">
        <f t="shared" si="54"/>
        <v>Начисленные расходы по административно-хозяйственной деятельности</v>
      </c>
      <c r="F334" s="3" t="str">
        <f>"2"</f>
        <v>2</v>
      </c>
      <c r="G334" s="3" t="str">
        <f>"7"</f>
        <v>7</v>
      </c>
      <c r="H334" s="3" t="str">
        <f t="shared" si="52"/>
        <v>1</v>
      </c>
      <c r="I334" s="4">
        <v>49657013.32</v>
      </c>
    </row>
    <row r="335" spans="1:9" x14ac:dyDescent="0.25">
      <c r="A335" s="3">
        <v>325</v>
      </c>
      <c r="B335" s="5">
        <v>45471</v>
      </c>
      <c r="C335" s="3">
        <v>19</v>
      </c>
      <c r="D335" s="3" t="str">
        <f t="shared" ref="D335:D341" si="55">"2794"</f>
        <v>2794</v>
      </c>
      <c r="E335" s="3" t="str">
        <f t="shared" ref="E335:E341" si="56">"Доходы будущих периодов"</f>
        <v>Доходы будущих периодов</v>
      </c>
      <c r="F335" s="3" t="str">
        <f>"1"</f>
        <v>1</v>
      </c>
      <c r="G335" s="3" t="str">
        <f>"5"</f>
        <v>5</v>
      </c>
      <c r="H335" s="3" t="str">
        <f t="shared" si="52"/>
        <v>1</v>
      </c>
      <c r="I335" s="4">
        <v>27293</v>
      </c>
    </row>
    <row r="336" spans="1:9" x14ac:dyDescent="0.25">
      <c r="A336" s="3">
        <v>327</v>
      </c>
      <c r="B336" s="5">
        <v>45471</v>
      </c>
      <c r="C336" s="3">
        <v>19</v>
      </c>
      <c r="D336" s="3" t="str">
        <f t="shared" si="55"/>
        <v>2794</v>
      </c>
      <c r="E336" s="3" t="str">
        <f t="shared" si="56"/>
        <v>Доходы будущих периодов</v>
      </c>
      <c r="F336" s="3" t="str">
        <f>"1"</f>
        <v>1</v>
      </c>
      <c r="G336" s="3" t="str">
        <f>"6"</f>
        <v>6</v>
      </c>
      <c r="H336" s="3" t="str">
        <f t="shared" si="52"/>
        <v>1</v>
      </c>
      <c r="I336" s="4">
        <v>6987</v>
      </c>
    </row>
    <row r="337" spans="1:9" x14ac:dyDescent="0.25">
      <c r="A337" s="3">
        <v>331</v>
      </c>
      <c r="B337" s="5">
        <v>45471</v>
      </c>
      <c r="C337" s="3">
        <v>19</v>
      </c>
      <c r="D337" s="3" t="str">
        <f t="shared" si="55"/>
        <v>2794</v>
      </c>
      <c r="E337" s="3" t="str">
        <f t="shared" si="56"/>
        <v>Доходы будущих периодов</v>
      </c>
      <c r="F337" s="3" t="str">
        <f>"1"</f>
        <v>1</v>
      </c>
      <c r="G337" s="3" t="str">
        <f>"9"</f>
        <v>9</v>
      </c>
      <c r="H337" s="3" t="str">
        <f t="shared" si="52"/>
        <v>1</v>
      </c>
      <c r="I337" s="4">
        <v>10446250913.51</v>
      </c>
    </row>
    <row r="338" spans="1:9" x14ac:dyDescent="0.25">
      <c r="A338" s="3">
        <v>332</v>
      </c>
      <c r="B338" s="5">
        <v>45471</v>
      </c>
      <c r="C338" s="3">
        <v>19</v>
      </c>
      <c r="D338" s="3" t="str">
        <f t="shared" si="55"/>
        <v>2794</v>
      </c>
      <c r="E338" s="3" t="str">
        <f t="shared" si="56"/>
        <v>Доходы будущих периодов</v>
      </c>
      <c r="F338" s="3" t="str">
        <f>"1"</f>
        <v>1</v>
      </c>
      <c r="G338" s="3" t="str">
        <f>"7"</f>
        <v>7</v>
      </c>
      <c r="H338" s="3" t="str">
        <f t="shared" si="52"/>
        <v>1</v>
      </c>
      <c r="I338" s="4">
        <v>3993539</v>
      </c>
    </row>
    <row r="339" spans="1:9" x14ac:dyDescent="0.25">
      <c r="A339" s="3">
        <v>334</v>
      </c>
      <c r="B339" s="5">
        <v>45471</v>
      </c>
      <c r="C339" s="3">
        <v>19</v>
      </c>
      <c r="D339" s="3" t="str">
        <f t="shared" si="55"/>
        <v>2794</v>
      </c>
      <c r="E339" s="3" t="str">
        <f t="shared" si="56"/>
        <v>Доходы будущих периодов</v>
      </c>
      <c r="F339" s="3" t="str">
        <f>"2"</f>
        <v>2</v>
      </c>
      <c r="G339" s="3" t="str">
        <f>"9"</f>
        <v>9</v>
      </c>
      <c r="H339" s="3" t="str">
        <f t="shared" si="52"/>
        <v>1</v>
      </c>
      <c r="I339" s="4">
        <v>292962117.97000003</v>
      </c>
    </row>
    <row r="340" spans="1:9" x14ac:dyDescent="0.25">
      <c r="A340" s="3">
        <v>337</v>
      </c>
      <c r="B340" s="5">
        <v>45471</v>
      </c>
      <c r="C340" s="3">
        <v>19</v>
      </c>
      <c r="D340" s="3" t="str">
        <f t="shared" si="55"/>
        <v>2794</v>
      </c>
      <c r="E340" s="3" t="str">
        <f t="shared" si="56"/>
        <v>Доходы будущих периодов</v>
      </c>
      <c r="F340" s="3" t="str">
        <f>"1"</f>
        <v>1</v>
      </c>
      <c r="G340" s="3" t="str">
        <f>"8"</f>
        <v>8</v>
      </c>
      <c r="H340" s="3" t="str">
        <f t="shared" si="52"/>
        <v>1</v>
      </c>
      <c r="I340" s="4">
        <v>136416</v>
      </c>
    </row>
    <row r="341" spans="1:9" x14ac:dyDescent="0.25">
      <c r="A341" s="3">
        <v>340</v>
      </c>
      <c r="B341" s="5">
        <v>45471</v>
      </c>
      <c r="C341" s="3">
        <v>19</v>
      </c>
      <c r="D341" s="3" t="str">
        <f t="shared" si="55"/>
        <v>2794</v>
      </c>
      <c r="E341" s="3" t="str">
        <f t="shared" si="56"/>
        <v>Доходы будущих периодов</v>
      </c>
      <c r="F341" s="3" t="str">
        <f>"2"</f>
        <v>2</v>
      </c>
      <c r="G341" s="3" t="str">
        <f>"7"</f>
        <v>7</v>
      </c>
      <c r="H341" s="3" t="str">
        <f t="shared" si="52"/>
        <v>1</v>
      </c>
      <c r="I341" s="4">
        <v>1995</v>
      </c>
    </row>
    <row r="342" spans="1:9" x14ac:dyDescent="0.25">
      <c r="A342" s="3">
        <v>330</v>
      </c>
      <c r="B342" s="5">
        <v>45471</v>
      </c>
      <c r="C342" s="3">
        <v>19</v>
      </c>
      <c r="D342" s="3" t="str">
        <f>"2811"</f>
        <v>2811</v>
      </c>
      <c r="E342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2" s="3" t="str">
        <f>"2"</f>
        <v>2</v>
      </c>
      <c r="G342" s="3" t="str">
        <f>""</f>
        <v/>
      </c>
      <c r="H342" s="3" t="str">
        <f t="shared" si="52"/>
        <v>1</v>
      </c>
      <c r="I342" s="4">
        <v>2000000</v>
      </c>
    </row>
    <row r="343" spans="1:9" x14ac:dyDescent="0.25">
      <c r="A343" s="3">
        <v>335</v>
      </c>
      <c r="B343" s="5">
        <v>45471</v>
      </c>
      <c r="C343" s="3">
        <v>19</v>
      </c>
      <c r="D343" s="3" t="str">
        <f>"2811"</f>
        <v>2811</v>
      </c>
      <c r="E343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3" s="3" t="str">
        <f>"2"</f>
        <v>2</v>
      </c>
      <c r="G343" s="3" t="str">
        <f>""</f>
        <v/>
      </c>
      <c r="H343" s="3" t="str">
        <f>"2"</f>
        <v>2</v>
      </c>
      <c r="I343" s="4">
        <v>7071900</v>
      </c>
    </row>
    <row r="344" spans="1:9" x14ac:dyDescent="0.25">
      <c r="A344" s="3">
        <v>339</v>
      </c>
      <c r="B344" s="5">
        <v>45471</v>
      </c>
      <c r="C344" s="3">
        <v>19</v>
      </c>
      <c r="D344" s="3" t="str">
        <f>"2811"</f>
        <v>2811</v>
      </c>
      <c r="E344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4" s="3" t="str">
        <f>"2"</f>
        <v>2</v>
      </c>
      <c r="G344" s="3" t="str">
        <f>""</f>
        <v/>
      </c>
      <c r="H344" s="3" t="str">
        <f>"3"</f>
        <v>3</v>
      </c>
      <c r="I344" s="4">
        <v>73335.75</v>
      </c>
    </row>
    <row r="345" spans="1:9" x14ac:dyDescent="0.25">
      <c r="A345" s="3">
        <v>338</v>
      </c>
      <c r="B345" s="5">
        <v>45471</v>
      </c>
      <c r="C345" s="3">
        <v>19</v>
      </c>
      <c r="D345" s="3" t="str">
        <f>"2812"</f>
        <v>2812</v>
      </c>
      <c r="E345" s="3" t="str">
        <f>"Начисленные комиссионные расходы по агентским услугам"</f>
        <v>Начисленные комиссионные расходы по агентским услугам</v>
      </c>
      <c r="F345" s="3" t="str">
        <f>"1"</f>
        <v>1</v>
      </c>
      <c r="G345" s="3" t="str">
        <f>""</f>
        <v/>
      </c>
      <c r="H345" s="3" t="str">
        <f>"1"</f>
        <v>1</v>
      </c>
      <c r="I345" s="4">
        <v>67987451.989999995</v>
      </c>
    </row>
    <row r="346" spans="1:9" x14ac:dyDescent="0.25">
      <c r="A346" s="3">
        <v>376</v>
      </c>
      <c r="B346" s="5">
        <v>45471</v>
      </c>
      <c r="C346" s="3">
        <v>19</v>
      </c>
      <c r="D346" s="3" t="str">
        <f>"2813"</f>
        <v>2813</v>
      </c>
      <c r="E346" s="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6" s="3" t="str">
        <f>"1"</f>
        <v>1</v>
      </c>
      <c r="G346" s="3" t="str">
        <f>""</f>
        <v/>
      </c>
      <c r="H346" s="3" t="str">
        <f>"1"</f>
        <v>1</v>
      </c>
      <c r="I346" s="4">
        <v>34841622.060000002</v>
      </c>
    </row>
    <row r="347" spans="1:9" x14ac:dyDescent="0.25">
      <c r="A347" s="3">
        <v>336</v>
      </c>
      <c r="B347" s="5">
        <v>45471</v>
      </c>
      <c r="C347" s="3">
        <v>19</v>
      </c>
      <c r="D347" s="3" t="str">
        <f>"2818"</f>
        <v>2818</v>
      </c>
      <c r="E347" s="3" t="str">
        <f>"Начисленные прочие комиссионные расходы"</f>
        <v>Начисленные прочие комиссионные расходы</v>
      </c>
      <c r="F347" s="3" t="str">
        <f>"1"</f>
        <v>1</v>
      </c>
      <c r="G347" s="3" t="str">
        <f>""</f>
        <v/>
      </c>
      <c r="H347" s="3" t="str">
        <f>"1"</f>
        <v>1</v>
      </c>
      <c r="I347" s="4">
        <v>52912548.240000002</v>
      </c>
    </row>
    <row r="348" spans="1:9" x14ac:dyDescent="0.25">
      <c r="A348" s="3">
        <v>345</v>
      </c>
      <c r="B348" s="5">
        <v>45471</v>
      </c>
      <c r="C348" s="3">
        <v>19</v>
      </c>
      <c r="D348" s="3" t="str">
        <f>"2818"</f>
        <v>2818</v>
      </c>
      <c r="E348" s="3" t="str">
        <f>"Начисленные прочие комиссионные расходы"</f>
        <v>Начисленные прочие комиссионные расходы</v>
      </c>
      <c r="F348" s="3" t="str">
        <f>"2"</f>
        <v>2</v>
      </c>
      <c r="G348" s="3" t="str">
        <f>""</f>
        <v/>
      </c>
      <c r="H348" s="3" t="str">
        <f>"1"</f>
        <v>1</v>
      </c>
      <c r="I348" s="4">
        <v>2343711884.6700001</v>
      </c>
    </row>
    <row r="349" spans="1:9" x14ac:dyDescent="0.25">
      <c r="A349" s="3">
        <v>343</v>
      </c>
      <c r="B349" s="5">
        <v>45471</v>
      </c>
      <c r="C349" s="3">
        <v>19</v>
      </c>
      <c r="D349" s="3" t="str">
        <f>"2851"</f>
        <v>2851</v>
      </c>
      <c r="E349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9" s="3" t="str">
        <f>"1"</f>
        <v>1</v>
      </c>
      <c r="G349" s="3" t="str">
        <f>"1"</f>
        <v>1</v>
      </c>
      <c r="H349" s="3" t="str">
        <f>"1"</f>
        <v>1</v>
      </c>
      <c r="I349" s="4">
        <v>4471882875.5299997</v>
      </c>
    </row>
    <row r="350" spans="1:9" x14ac:dyDescent="0.25">
      <c r="A350" s="3">
        <v>347</v>
      </c>
      <c r="B350" s="5">
        <v>45471</v>
      </c>
      <c r="C350" s="3">
        <v>19</v>
      </c>
      <c r="D350" s="3" t="str">
        <f>"2852"</f>
        <v>2852</v>
      </c>
      <c r="E350" s="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50" s="3" t="str">
        <f>"2"</f>
        <v>2</v>
      </c>
      <c r="G350" s="3" t="str">
        <f>"5"</f>
        <v>5</v>
      </c>
      <c r="H350" s="3" t="str">
        <f>"2"</f>
        <v>2</v>
      </c>
      <c r="I350" s="4">
        <v>1373777.86</v>
      </c>
    </row>
    <row r="351" spans="1:9" x14ac:dyDescent="0.25">
      <c r="A351" s="3">
        <v>344</v>
      </c>
      <c r="B351" s="5">
        <v>45471</v>
      </c>
      <c r="C351" s="3">
        <v>19</v>
      </c>
      <c r="D351" s="3" t="str">
        <f>"2853"</f>
        <v>2853</v>
      </c>
      <c r="E351" s="3" t="str">
        <f>"Расчеты с акционерами (по дивидендам)"</f>
        <v>Расчеты с акционерами (по дивидендам)</v>
      </c>
      <c r="F351" s="3" t="str">
        <f>"1"</f>
        <v>1</v>
      </c>
      <c r="G351" s="3" t="str">
        <f>"9"</f>
        <v>9</v>
      </c>
      <c r="H351" s="3" t="str">
        <f>"1"</f>
        <v>1</v>
      </c>
      <c r="I351" s="4">
        <v>149083200</v>
      </c>
    </row>
    <row r="352" spans="1:9" x14ac:dyDescent="0.25">
      <c r="A352" s="3">
        <v>346</v>
      </c>
      <c r="B352" s="5">
        <v>45471</v>
      </c>
      <c r="C352" s="3">
        <v>19</v>
      </c>
      <c r="D352" s="3" t="str">
        <f>"2853"</f>
        <v>2853</v>
      </c>
      <c r="E352" s="3" t="str">
        <f>"Расчеты с акционерами (по дивидендам)"</f>
        <v>Расчеты с акционерами (по дивидендам)</v>
      </c>
      <c r="F352" s="3" t="str">
        <f>"1"</f>
        <v>1</v>
      </c>
      <c r="G352" s="3" t="str">
        <f>"7"</f>
        <v>7</v>
      </c>
      <c r="H352" s="3" t="str">
        <f>"1"</f>
        <v>1</v>
      </c>
      <c r="I352" s="4">
        <v>111243600</v>
      </c>
    </row>
    <row r="353" spans="1:9" x14ac:dyDescent="0.25">
      <c r="A353" s="3">
        <v>349</v>
      </c>
      <c r="B353" s="5">
        <v>45471</v>
      </c>
      <c r="C353" s="3">
        <v>19</v>
      </c>
      <c r="D353" s="3" t="str">
        <f>"2853"</f>
        <v>2853</v>
      </c>
      <c r="E353" s="3" t="str">
        <f>"Расчеты с акционерами (по дивидендам)"</f>
        <v>Расчеты с акционерами (по дивидендам)</v>
      </c>
      <c r="F353" s="3" t="str">
        <f>"2"</f>
        <v>2</v>
      </c>
      <c r="G353" s="3" t="str">
        <f>"9"</f>
        <v>9</v>
      </c>
      <c r="H353" s="3" t="str">
        <f>"1"</f>
        <v>1</v>
      </c>
      <c r="I353" s="4">
        <v>1753200</v>
      </c>
    </row>
    <row r="354" spans="1:9" x14ac:dyDescent="0.25">
      <c r="A354" s="3">
        <v>350</v>
      </c>
      <c r="B354" s="5">
        <v>45471</v>
      </c>
      <c r="C354" s="3">
        <v>19</v>
      </c>
      <c r="D354" s="3" t="str">
        <f>"2853"</f>
        <v>2853</v>
      </c>
      <c r="E354" s="3" t="str">
        <f>"Расчеты с акционерами (по дивидендам)"</f>
        <v>Расчеты с акционерами (по дивидендам)</v>
      </c>
      <c r="F354" s="3" t="str">
        <f>"2"</f>
        <v>2</v>
      </c>
      <c r="G354" s="3" t="str">
        <f>"7"</f>
        <v>7</v>
      </c>
      <c r="H354" s="3" t="str">
        <f>"1"</f>
        <v>1</v>
      </c>
      <c r="I354" s="4">
        <v>109800</v>
      </c>
    </row>
    <row r="355" spans="1:9" x14ac:dyDescent="0.25">
      <c r="A355" s="3">
        <v>341</v>
      </c>
      <c r="B355" s="5">
        <v>45471</v>
      </c>
      <c r="C355" s="3">
        <v>19</v>
      </c>
      <c r="D355" s="3" t="str">
        <f>"2854"</f>
        <v>2854</v>
      </c>
      <c r="E355" s="3" t="str">
        <f>"Расчеты с работниками"</f>
        <v>Расчеты с работниками</v>
      </c>
      <c r="F355" s="3" t="str">
        <f>""</f>
        <v/>
      </c>
      <c r="G355" s="3" t="str">
        <f>""</f>
        <v/>
      </c>
      <c r="H355" s="3" t="str">
        <f>""</f>
        <v/>
      </c>
      <c r="I355" s="4">
        <v>3869496722.3200002</v>
      </c>
    </row>
    <row r="356" spans="1:9" x14ac:dyDescent="0.25">
      <c r="A356" s="3">
        <v>348</v>
      </c>
      <c r="B356" s="5">
        <v>45471</v>
      </c>
      <c r="C356" s="3">
        <v>19</v>
      </c>
      <c r="D356" s="3" t="str">
        <f>"2856"</f>
        <v>2856</v>
      </c>
      <c r="E356" s="3" t="str">
        <f>"Кредиторы по капитальным вложениям"</f>
        <v>Кредиторы по капитальным вложениям</v>
      </c>
      <c r="F356" s="3" t="str">
        <f>"1"</f>
        <v>1</v>
      </c>
      <c r="G356" s="3" t="str">
        <f>"7"</f>
        <v>7</v>
      </c>
      <c r="H356" s="3" t="str">
        <f>"1"</f>
        <v>1</v>
      </c>
      <c r="I356" s="4">
        <v>4434400000</v>
      </c>
    </row>
    <row r="357" spans="1:9" x14ac:dyDescent="0.25">
      <c r="A357" s="3">
        <v>342</v>
      </c>
      <c r="B357" s="5">
        <v>45471</v>
      </c>
      <c r="C357" s="3">
        <v>19</v>
      </c>
      <c r="D357" s="3" t="str">
        <f>"2857"</f>
        <v>2857</v>
      </c>
      <c r="E357" s="3" t="str">
        <f>"Отложенные налоговые обязательства"</f>
        <v>Отложенные налоговые обязательства</v>
      </c>
      <c r="F357" s="3" t="str">
        <f>""</f>
        <v/>
      </c>
      <c r="G357" s="3" t="str">
        <f>""</f>
        <v/>
      </c>
      <c r="H357" s="3" t="str">
        <f>""</f>
        <v/>
      </c>
      <c r="I357" s="4">
        <v>2152366141.6100001</v>
      </c>
    </row>
    <row r="358" spans="1:9" x14ac:dyDescent="0.25">
      <c r="A358" s="3">
        <v>351</v>
      </c>
      <c r="B358" s="5">
        <v>45471</v>
      </c>
      <c r="C358" s="3">
        <v>19</v>
      </c>
      <c r="D358" s="3" t="str">
        <f t="shared" ref="D358:D375" si="57">"2860"</f>
        <v>2860</v>
      </c>
      <c r="E358" s="3" t="str">
        <f t="shared" ref="E358:E375" si="58">"Прочие кредиторы по банковской деятельности"</f>
        <v>Прочие кредиторы по банковской деятельности</v>
      </c>
      <c r="F358" s="3" t="str">
        <f t="shared" ref="F358:F365" si="59">"1"</f>
        <v>1</v>
      </c>
      <c r="G358" s="3" t="str">
        <f>"4"</f>
        <v>4</v>
      </c>
      <c r="H358" s="3" t="str">
        <f>"2"</f>
        <v>2</v>
      </c>
      <c r="I358" s="4">
        <v>398562853.75999999</v>
      </c>
    </row>
    <row r="359" spans="1:9" x14ac:dyDescent="0.25">
      <c r="A359" s="3">
        <v>352</v>
      </c>
      <c r="B359" s="5">
        <v>45471</v>
      </c>
      <c r="C359" s="3">
        <v>19</v>
      </c>
      <c r="D359" s="3" t="str">
        <f t="shared" si="57"/>
        <v>2860</v>
      </c>
      <c r="E359" s="3" t="str">
        <f t="shared" si="58"/>
        <v>Прочие кредиторы по банковской деятельности</v>
      </c>
      <c r="F359" s="3" t="str">
        <f t="shared" si="59"/>
        <v>1</v>
      </c>
      <c r="G359" s="3" t="str">
        <f>"2"</f>
        <v>2</v>
      </c>
      <c r="H359" s="3" t="str">
        <f>"1"</f>
        <v>1</v>
      </c>
      <c r="I359" s="4">
        <v>1203200</v>
      </c>
    </row>
    <row r="360" spans="1:9" x14ac:dyDescent="0.25">
      <c r="A360" s="3">
        <v>353</v>
      </c>
      <c r="B360" s="5">
        <v>45471</v>
      </c>
      <c r="C360" s="3">
        <v>19</v>
      </c>
      <c r="D360" s="3" t="str">
        <f t="shared" si="57"/>
        <v>2860</v>
      </c>
      <c r="E360" s="3" t="str">
        <f t="shared" si="58"/>
        <v>Прочие кредиторы по банковской деятельности</v>
      </c>
      <c r="F360" s="3" t="str">
        <f t="shared" si="59"/>
        <v>1</v>
      </c>
      <c r="G360" s="3" t="str">
        <f>"9"</f>
        <v>9</v>
      </c>
      <c r="H360" s="3" t="str">
        <f>"2"</f>
        <v>2</v>
      </c>
      <c r="I360" s="4">
        <v>57560.55</v>
      </c>
    </row>
    <row r="361" spans="1:9" x14ac:dyDescent="0.25">
      <c r="A361" s="3">
        <v>354</v>
      </c>
      <c r="B361" s="5">
        <v>45471</v>
      </c>
      <c r="C361" s="3">
        <v>19</v>
      </c>
      <c r="D361" s="3" t="str">
        <f t="shared" si="57"/>
        <v>2860</v>
      </c>
      <c r="E361" s="3" t="str">
        <f t="shared" si="58"/>
        <v>Прочие кредиторы по банковской деятельности</v>
      </c>
      <c r="F361" s="3" t="str">
        <f t="shared" si="59"/>
        <v>1</v>
      </c>
      <c r="G361" s="3" t="str">
        <f>"6"</f>
        <v>6</v>
      </c>
      <c r="H361" s="3" t="str">
        <f>"1"</f>
        <v>1</v>
      </c>
      <c r="I361" s="4">
        <v>1911859038.3499999</v>
      </c>
    </row>
    <row r="362" spans="1:9" x14ac:dyDescent="0.25">
      <c r="A362" s="3">
        <v>355</v>
      </c>
      <c r="B362" s="5">
        <v>45471</v>
      </c>
      <c r="C362" s="3">
        <v>19</v>
      </c>
      <c r="D362" s="3" t="str">
        <f t="shared" si="57"/>
        <v>2860</v>
      </c>
      <c r="E362" s="3" t="str">
        <f t="shared" si="58"/>
        <v>Прочие кредиторы по банковской деятельности</v>
      </c>
      <c r="F362" s="3" t="str">
        <f t="shared" si="59"/>
        <v>1</v>
      </c>
      <c r="G362" s="3" t="str">
        <f>"1"</f>
        <v>1</v>
      </c>
      <c r="H362" s="3" t="str">
        <f>"1"</f>
        <v>1</v>
      </c>
      <c r="I362" s="4">
        <v>683861504.27999997</v>
      </c>
    </row>
    <row r="363" spans="1:9" x14ac:dyDescent="0.25">
      <c r="A363" s="3">
        <v>356</v>
      </c>
      <c r="B363" s="5">
        <v>45471</v>
      </c>
      <c r="C363" s="3">
        <v>19</v>
      </c>
      <c r="D363" s="3" t="str">
        <f t="shared" si="57"/>
        <v>2860</v>
      </c>
      <c r="E363" s="3" t="str">
        <f t="shared" si="58"/>
        <v>Прочие кредиторы по банковской деятельности</v>
      </c>
      <c r="F363" s="3" t="str">
        <f t="shared" si="59"/>
        <v>1</v>
      </c>
      <c r="G363" s="3" t="str">
        <f>"5"</f>
        <v>5</v>
      </c>
      <c r="H363" s="3" t="str">
        <f>"1"</f>
        <v>1</v>
      </c>
      <c r="I363" s="4">
        <v>3445946838.0500002</v>
      </c>
    </row>
    <row r="364" spans="1:9" x14ac:dyDescent="0.25">
      <c r="A364" s="3">
        <v>357</v>
      </c>
      <c r="B364" s="5">
        <v>45471</v>
      </c>
      <c r="C364" s="3">
        <v>19</v>
      </c>
      <c r="D364" s="3" t="str">
        <f t="shared" si="57"/>
        <v>2860</v>
      </c>
      <c r="E364" s="3" t="str">
        <f t="shared" si="58"/>
        <v>Прочие кредиторы по банковской деятельности</v>
      </c>
      <c r="F364" s="3" t="str">
        <f t="shared" si="59"/>
        <v>1</v>
      </c>
      <c r="G364" s="3" t="str">
        <f>"8"</f>
        <v>8</v>
      </c>
      <c r="H364" s="3" t="str">
        <f>"1"</f>
        <v>1</v>
      </c>
      <c r="I364" s="4">
        <v>592685991.07000005</v>
      </c>
    </row>
    <row r="365" spans="1:9" x14ac:dyDescent="0.25">
      <c r="A365" s="3">
        <v>358</v>
      </c>
      <c r="B365" s="5">
        <v>45471</v>
      </c>
      <c r="C365" s="3">
        <v>19</v>
      </c>
      <c r="D365" s="3" t="str">
        <f t="shared" si="57"/>
        <v>2860</v>
      </c>
      <c r="E365" s="3" t="str">
        <f t="shared" si="58"/>
        <v>Прочие кредиторы по банковской деятельности</v>
      </c>
      <c r="F365" s="3" t="str">
        <f t="shared" si="59"/>
        <v>1</v>
      </c>
      <c r="G365" s="3" t="str">
        <f>"9"</f>
        <v>9</v>
      </c>
      <c r="H365" s="3" t="str">
        <f>"1"</f>
        <v>1</v>
      </c>
      <c r="I365" s="4">
        <v>2278841376.8699999</v>
      </c>
    </row>
    <row r="366" spans="1:9" x14ac:dyDescent="0.25">
      <c r="A366" s="3">
        <v>360</v>
      </c>
      <c r="B366" s="5">
        <v>45471</v>
      </c>
      <c r="C366" s="3">
        <v>19</v>
      </c>
      <c r="D366" s="3" t="str">
        <f t="shared" si="57"/>
        <v>2860</v>
      </c>
      <c r="E366" s="3" t="str">
        <f t="shared" si="58"/>
        <v>Прочие кредиторы по банковской деятельности</v>
      </c>
      <c r="F366" s="3" t="str">
        <f t="shared" ref="F366:F371" si="60">"2"</f>
        <v>2</v>
      </c>
      <c r="G366" s="3" t="str">
        <f>"5"</f>
        <v>5</v>
      </c>
      <c r="H366" s="3" t="str">
        <f>"2"</f>
        <v>2</v>
      </c>
      <c r="I366" s="4">
        <v>7336157660.5100002</v>
      </c>
    </row>
    <row r="367" spans="1:9" x14ac:dyDescent="0.25">
      <c r="A367" s="3">
        <v>361</v>
      </c>
      <c r="B367" s="5">
        <v>45471</v>
      </c>
      <c r="C367" s="3">
        <v>19</v>
      </c>
      <c r="D367" s="3" t="str">
        <f t="shared" si="57"/>
        <v>2860</v>
      </c>
      <c r="E367" s="3" t="str">
        <f t="shared" si="58"/>
        <v>Прочие кредиторы по банковской деятельности</v>
      </c>
      <c r="F367" s="3" t="str">
        <f t="shared" si="60"/>
        <v>2</v>
      </c>
      <c r="G367" s="3" t="str">
        <f>"4"</f>
        <v>4</v>
      </c>
      <c r="H367" s="3" t="str">
        <f>"3"</f>
        <v>3</v>
      </c>
      <c r="I367" s="4">
        <v>12222624.199999999</v>
      </c>
    </row>
    <row r="368" spans="1:9" x14ac:dyDescent="0.25">
      <c r="A368" s="3">
        <v>362</v>
      </c>
      <c r="B368" s="5">
        <v>45471</v>
      </c>
      <c r="C368" s="3">
        <v>19</v>
      </c>
      <c r="D368" s="3" t="str">
        <f t="shared" si="57"/>
        <v>2860</v>
      </c>
      <c r="E368" s="3" t="str">
        <f t="shared" si="58"/>
        <v>Прочие кредиторы по банковской деятельности</v>
      </c>
      <c r="F368" s="3" t="str">
        <f t="shared" si="60"/>
        <v>2</v>
      </c>
      <c r="G368" s="3" t="str">
        <f>"7"</f>
        <v>7</v>
      </c>
      <c r="H368" s="3" t="str">
        <f>"1"</f>
        <v>1</v>
      </c>
      <c r="I368" s="4">
        <v>9402095.1300000008</v>
      </c>
    </row>
    <row r="369" spans="1:9" x14ac:dyDescent="0.25">
      <c r="A369" s="3">
        <v>363</v>
      </c>
      <c r="B369" s="5">
        <v>45471</v>
      </c>
      <c r="C369" s="3">
        <v>19</v>
      </c>
      <c r="D369" s="3" t="str">
        <f t="shared" si="57"/>
        <v>2860</v>
      </c>
      <c r="E369" s="3" t="str">
        <f t="shared" si="58"/>
        <v>Прочие кредиторы по банковской деятельности</v>
      </c>
      <c r="F369" s="3" t="str">
        <f t="shared" si="60"/>
        <v>2</v>
      </c>
      <c r="G369" s="3" t="str">
        <f>"5"</f>
        <v>5</v>
      </c>
      <c r="H369" s="3" t="str">
        <f>"1"</f>
        <v>1</v>
      </c>
      <c r="I369" s="4">
        <v>893325928.83000004</v>
      </c>
    </row>
    <row r="370" spans="1:9" x14ac:dyDescent="0.25">
      <c r="A370" s="3">
        <v>364</v>
      </c>
      <c r="B370" s="5">
        <v>45471</v>
      </c>
      <c r="C370" s="3">
        <v>19</v>
      </c>
      <c r="D370" s="3" t="str">
        <f t="shared" si="57"/>
        <v>2860</v>
      </c>
      <c r="E370" s="3" t="str">
        <f t="shared" si="58"/>
        <v>Прочие кредиторы по банковской деятельности</v>
      </c>
      <c r="F370" s="3" t="str">
        <f t="shared" si="60"/>
        <v>2</v>
      </c>
      <c r="G370" s="3" t="str">
        <f>"9"</f>
        <v>9</v>
      </c>
      <c r="H370" s="3" t="str">
        <f>"1"</f>
        <v>1</v>
      </c>
      <c r="I370" s="4">
        <v>3120270.82</v>
      </c>
    </row>
    <row r="371" spans="1:9" x14ac:dyDescent="0.25">
      <c r="A371" s="3">
        <v>365</v>
      </c>
      <c r="B371" s="5">
        <v>45471</v>
      </c>
      <c r="C371" s="3">
        <v>19</v>
      </c>
      <c r="D371" s="3" t="str">
        <f t="shared" si="57"/>
        <v>2860</v>
      </c>
      <c r="E371" s="3" t="str">
        <f t="shared" si="58"/>
        <v>Прочие кредиторы по банковской деятельности</v>
      </c>
      <c r="F371" s="3" t="str">
        <f t="shared" si="60"/>
        <v>2</v>
      </c>
      <c r="G371" s="3" t="str">
        <f>"7"</f>
        <v>7</v>
      </c>
      <c r="H371" s="3" t="str">
        <f>"3"</f>
        <v>3</v>
      </c>
      <c r="I371" s="4">
        <v>4425558.53</v>
      </c>
    </row>
    <row r="372" spans="1:9" x14ac:dyDescent="0.25">
      <c r="A372" s="3">
        <v>366</v>
      </c>
      <c r="B372" s="5">
        <v>45471</v>
      </c>
      <c r="C372" s="3">
        <v>19</v>
      </c>
      <c r="D372" s="3" t="str">
        <f t="shared" si="57"/>
        <v>2860</v>
      </c>
      <c r="E372" s="3" t="str">
        <f t="shared" si="58"/>
        <v>Прочие кредиторы по банковской деятельности</v>
      </c>
      <c r="F372" s="3" t="str">
        <f>"1"</f>
        <v>1</v>
      </c>
      <c r="G372" s="3" t="str">
        <f>"7"</f>
        <v>7</v>
      </c>
      <c r="H372" s="3" t="str">
        <f>"1"</f>
        <v>1</v>
      </c>
      <c r="I372" s="4">
        <v>16570538728.280001</v>
      </c>
    </row>
    <row r="373" spans="1:9" x14ac:dyDescent="0.25">
      <c r="A373" s="3">
        <v>367</v>
      </c>
      <c r="B373" s="5">
        <v>45471</v>
      </c>
      <c r="C373" s="3">
        <v>19</v>
      </c>
      <c r="D373" s="3" t="str">
        <f t="shared" si="57"/>
        <v>2860</v>
      </c>
      <c r="E373" s="3" t="str">
        <f t="shared" si="58"/>
        <v>Прочие кредиторы по банковской деятельности</v>
      </c>
      <c r="F373" s="3" t="str">
        <f>"2"</f>
        <v>2</v>
      </c>
      <c r="G373" s="3" t="str">
        <f>"9"</f>
        <v>9</v>
      </c>
      <c r="H373" s="3" t="str">
        <f>"3"</f>
        <v>3</v>
      </c>
      <c r="I373" s="4">
        <v>1347708.34</v>
      </c>
    </row>
    <row r="374" spans="1:9" x14ac:dyDescent="0.25">
      <c r="A374" s="3">
        <v>373</v>
      </c>
      <c r="B374" s="5">
        <v>45471</v>
      </c>
      <c r="C374" s="3">
        <v>19</v>
      </c>
      <c r="D374" s="3" t="str">
        <f t="shared" si="57"/>
        <v>2860</v>
      </c>
      <c r="E374" s="3" t="str">
        <f t="shared" si="58"/>
        <v>Прочие кредиторы по банковской деятельности</v>
      </c>
      <c r="F374" s="3" t="str">
        <f>"2"</f>
        <v>2</v>
      </c>
      <c r="G374" s="3" t="str">
        <f>"9"</f>
        <v>9</v>
      </c>
      <c r="H374" s="3" t="str">
        <f>"2"</f>
        <v>2</v>
      </c>
      <c r="I374" s="4">
        <v>92594.74</v>
      </c>
    </row>
    <row r="375" spans="1:9" x14ac:dyDescent="0.25">
      <c r="A375" s="3">
        <v>411</v>
      </c>
      <c r="B375" s="5">
        <v>45471</v>
      </c>
      <c r="C375" s="3">
        <v>19</v>
      </c>
      <c r="D375" s="3" t="str">
        <f t="shared" si="57"/>
        <v>2860</v>
      </c>
      <c r="E375" s="3" t="str">
        <f t="shared" si="58"/>
        <v>Прочие кредиторы по банковской деятельности</v>
      </c>
      <c r="F375" s="3" t="str">
        <f>"1"</f>
        <v>1</v>
      </c>
      <c r="G375" s="3" t="str">
        <f>"4"</f>
        <v>4</v>
      </c>
      <c r="H375" s="3" t="str">
        <f>"1"</f>
        <v>1</v>
      </c>
      <c r="I375" s="4">
        <v>6547423600.3500004</v>
      </c>
    </row>
    <row r="376" spans="1:9" x14ac:dyDescent="0.25">
      <c r="A376" s="3">
        <v>359</v>
      </c>
      <c r="B376" s="5">
        <v>45471</v>
      </c>
      <c r="C376" s="3">
        <v>19</v>
      </c>
      <c r="D376" s="3" t="str">
        <f>"2861"</f>
        <v>2861</v>
      </c>
      <c r="E376" s="3" t="str">
        <f>"Резерв на отпускные выплаты"</f>
        <v>Резерв на отпускные выплаты</v>
      </c>
      <c r="F376" s="3" t="str">
        <f>""</f>
        <v/>
      </c>
      <c r="G376" s="3" t="str">
        <f>""</f>
        <v/>
      </c>
      <c r="H376" s="3" t="str">
        <f>""</f>
        <v/>
      </c>
      <c r="I376" s="4">
        <v>3060644658.1599998</v>
      </c>
    </row>
    <row r="377" spans="1:9" x14ac:dyDescent="0.25">
      <c r="A377" s="3">
        <v>368</v>
      </c>
      <c r="B377" s="5">
        <v>45471</v>
      </c>
      <c r="C377" s="3">
        <v>19</v>
      </c>
      <c r="D377" s="3" t="str">
        <f>"2863"</f>
        <v>2863</v>
      </c>
      <c r="E377" s="3" t="str">
        <f>"Обязательства по привилегированным акциям"</f>
        <v>Обязательства по привилегированным акциям</v>
      </c>
      <c r="F377" s="3" t="str">
        <f>"1"</f>
        <v>1</v>
      </c>
      <c r="G377" s="3" t="str">
        <f>"5"</f>
        <v>5</v>
      </c>
      <c r="H377" s="3" t="str">
        <f t="shared" ref="H377:H387" si="61">"1"</f>
        <v>1</v>
      </c>
      <c r="I377" s="4">
        <v>3372841.5</v>
      </c>
    </row>
    <row r="378" spans="1:9" x14ac:dyDescent="0.25">
      <c r="A378" s="3">
        <v>369</v>
      </c>
      <c r="B378" s="5">
        <v>45471</v>
      </c>
      <c r="C378" s="3">
        <v>19</v>
      </c>
      <c r="D378" s="3" t="str">
        <f>"2863"</f>
        <v>2863</v>
      </c>
      <c r="E378" s="3" t="str">
        <f>"Обязательства по привилегированным акциям"</f>
        <v>Обязательства по привилегированным акциям</v>
      </c>
      <c r="F378" s="3" t="str">
        <f>"1"</f>
        <v>1</v>
      </c>
      <c r="G378" s="3" t="str">
        <f>"9"</f>
        <v>9</v>
      </c>
      <c r="H378" s="3" t="str">
        <f t="shared" si="61"/>
        <v>1</v>
      </c>
      <c r="I378" s="4">
        <v>27339718.5</v>
      </c>
    </row>
    <row r="379" spans="1:9" x14ac:dyDescent="0.25">
      <c r="A379" s="3">
        <v>370</v>
      </c>
      <c r="B379" s="5">
        <v>45471</v>
      </c>
      <c r="C379" s="3">
        <v>19</v>
      </c>
      <c r="D379" s="3" t="str">
        <f>"2863"</f>
        <v>2863</v>
      </c>
      <c r="E379" s="3" t="str">
        <f>"Обязательства по привилегированным акциям"</f>
        <v>Обязательства по привилегированным акциям</v>
      </c>
      <c r="F379" s="3" t="str">
        <f>"1"</f>
        <v>1</v>
      </c>
      <c r="G379" s="3" t="str">
        <f>"7"</f>
        <v>7</v>
      </c>
      <c r="H379" s="3" t="str">
        <f t="shared" si="61"/>
        <v>1</v>
      </c>
      <c r="I379" s="4">
        <v>40377139.5</v>
      </c>
    </row>
    <row r="380" spans="1:9" x14ac:dyDescent="0.25">
      <c r="A380" s="3">
        <v>371</v>
      </c>
      <c r="B380" s="5">
        <v>45471</v>
      </c>
      <c r="C380" s="3">
        <v>19</v>
      </c>
      <c r="D380" s="3" t="str">
        <f>"2863"</f>
        <v>2863</v>
      </c>
      <c r="E380" s="3" t="str">
        <f>"Обязательства по привилегированным акциям"</f>
        <v>Обязательства по привилегированным акциям</v>
      </c>
      <c r="F380" s="3" t="str">
        <f>"2"</f>
        <v>2</v>
      </c>
      <c r="G380" s="3" t="str">
        <f>"9"</f>
        <v>9</v>
      </c>
      <c r="H380" s="3" t="str">
        <f t="shared" si="61"/>
        <v>1</v>
      </c>
      <c r="I380" s="4">
        <v>252700.5</v>
      </c>
    </row>
    <row r="381" spans="1:9" x14ac:dyDescent="0.25">
      <c r="A381" s="3">
        <v>372</v>
      </c>
      <c r="B381" s="5">
        <v>45471</v>
      </c>
      <c r="C381" s="3">
        <v>19</v>
      </c>
      <c r="D381" s="3" t="str">
        <f>"2865"</f>
        <v>2865</v>
      </c>
      <c r="E381" s="3" t="str">
        <f>"Обязательства по выпущенным электронным деньгам"</f>
        <v>Обязательства по выпущенным электронным деньгам</v>
      </c>
      <c r="F381" s="3" t="str">
        <f>"1"</f>
        <v>1</v>
      </c>
      <c r="G381" s="3" t="str">
        <f>"9"</f>
        <v>9</v>
      </c>
      <c r="H381" s="3" t="str">
        <f t="shared" si="61"/>
        <v>1</v>
      </c>
      <c r="I381" s="4">
        <v>52797751.859999999</v>
      </c>
    </row>
    <row r="382" spans="1:9" x14ac:dyDescent="0.25">
      <c r="A382" s="3">
        <v>380</v>
      </c>
      <c r="B382" s="5">
        <v>45471</v>
      </c>
      <c r="C382" s="3">
        <v>19</v>
      </c>
      <c r="D382" s="3" t="str">
        <f>"2865"</f>
        <v>2865</v>
      </c>
      <c r="E382" s="3" t="str">
        <f>"Обязательства по выпущенным электронным деньгам"</f>
        <v>Обязательства по выпущенным электронным деньгам</v>
      </c>
      <c r="F382" s="3" t="str">
        <f>"2"</f>
        <v>2</v>
      </c>
      <c r="G382" s="3" t="str">
        <f>"9"</f>
        <v>9</v>
      </c>
      <c r="H382" s="3" t="str">
        <f t="shared" si="61"/>
        <v>1</v>
      </c>
      <c r="I382" s="4">
        <v>8243876.4299999997</v>
      </c>
    </row>
    <row r="383" spans="1:9" x14ac:dyDescent="0.25">
      <c r="A383" s="3">
        <v>375</v>
      </c>
      <c r="B383" s="5">
        <v>45471</v>
      </c>
      <c r="C383" s="3">
        <v>19</v>
      </c>
      <c r="D383" s="3" t="str">
        <f>"2867"</f>
        <v>2867</v>
      </c>
      <c r="E383" s="3" t="str">
        <f>"Прочие кредиторы по неосновной деятельности"</f>
        <v>Прочие кредиторы по неосновной деятельности</v>
      </c>
      <c r="F383" s="3" t="str">
        <f>"1"</f>
        <v>1</v>
      </c>
      <c r="G383" s="3" t="str">
        <f>"1"</f>
        <v>1</v>
      </c>
      <c r="H383" s="3" t="str">
        <f t="shared" si="61"/>
        <v>1</v>
      </c>
      <c r="I383" s="4">
        <v>762192949</v>
      </c>
    </row>
    <row r="384" spans="1:9" x14ac:dyDescent="0.25">
      <c r="A384" s="3">
        <v>377</v>
      </c>
      <c r="B384" s="5">
        <v>45471</v>
      </c>
      <c r="C384" s="3">
        <v>19</v>
      </c>
      <c r="D384" s="3" t="str">
        <f>"2867"</f>
        <v>2867</v>
      </c>
      <c r="E384" s="3" t="str">
        <f>"Прочие кредиторы по неосновной деятельности"</f>
        <v>Прочие кредиторы по неосновной деятельности</v>
      </c>
      <c r="F384" s="3" t="str">
        <f>"1"</f>
        <v>1</v>
      </c>
      <c r="G384" s="3" t="str">
        <f>"9"</f>
        <v>9</v>
      </c>
      <c r="H384" s="3" t="str">
        <f t="shared" si="61"/>
        <v>1</v>
      </c>
      <c r="I384" s="4">
        <v>16266261.609999999</v>
      </c>
    </row>
    <row r="385" spans="1:9" x14ac:dyDescent="0.25">
      <c r="A385" s="3">
        <v>383</v>
      </c>
      <c r="B385" s="5">
        <v>45471</v>
      </c>
      <c r="C385" s="3">
        <v>19</v>
      </c>
      <c r="D385" s="3" t="str">
        <f>"2867"</f>
        <v>2867</v>
      </c>
      <c r="E385" s="3" t="str">
        <f>"Прочие кредиторы по неосновной деятельности"</f>
        <v>Прочие кредиторы по неосновной деятельности</v>
      </c>
      <c r="F385" s="3" t="str">
        <f>"2"</f>
        <v>2</v>
      </c>
      <c r="G385" s="3" t="str">
        <f>"9"</f>
        <v>9</v>
      </c>
      <c r="H385" s="3" t="str">
        <f t="shared" si="61"/>
        <v>1</v>
      </c>
      <c r="I385" s="4">
        <v>416490</v>
      </c>
    </row>
    <row r="386" spans="1:9" x14ac:dyDescent="0.25">
      <c r="A386" s="3">
        <v>396</v>
      </c>
      <c r="B386" s="5">
        <v>45471</v>
      </c>
      <c r="C386" s="3">
        <v>19</v>
      </c>
      <c r="D386" s="3" t="str">
        <f>"2867"</f>
        <v>2867</v>
      </c>
      <c r="E386" s="3" t="str">
        <f>"Прочие кредиторы по неосновной деятельности"</f>
        <v>Прочие кредиторы по неосновной деятельности</v>
      </c>
      <c r="F386" s="3" t="str">
        <f>"1"</f>
        <v>1</v>
      </c>
      <c r="G386" s="3" t="str">
        <f>"7"</f>
        <v>7</v>
      </c>
      <c r="H386" s="3" t="str">
        <f t="shared" si="61"/>
        <v>1</v>
      </c>
      <c r="I386" s="4">
        <v>24751747.100000001</v>
      </c>
    </row>
    <row r="387" spans="1:9" x14ac:dyDescent="0.25">
      <c r="A387" s="3">
        <v>405</v>
      </c>
      <c r="B387" s="5">
        <v>45471</v>
      </c>
      <c r="C387" s="3">
        <v>19</v>
      </c>
      <c r="D387" s="3" t="str">
        <f>"2867"</f>
        <v>2867</v>
      </c>
      <c r="E387" s="3" t="str">
        <f>"Прочие кредиторы по неосновной деятельности"</f>
        <v>Прочие кредиторы по неосновной деятельности</v>
      </c>
      <c r="F387" s="3" t="str">
        <f>"1"</f>
        <v>1</v>
      </c>
      <c r="G387" s="3" t="str">
        <f>"4"</f>
        <v>4</v>
      </c>
      <c r="H387" s="3" t="str">
        <f t="shared" si="61"/>
        <v>1</v>
      </c>
      <c r="I387" s="4">
        <v>79672.89</v>
      </c>
    </row>
    <row r="388" spans="1:9" x14ac:dyDescent="0.25">
      <c r="A388" s="3">
        <v>424</v>
      </c>
      <c r="B388" s="5">
        <v>45471</v>
      </c>
      <c r="C388" s="3">
        <v>19</v>
      </c>
      <c r="D388" s="3" t="str">
        <f>"2869"</f>
        <v>2869</v>
      </c>
      <c r="E388" s="3" t="str">
        <f>"Выданные гарантии"</f>
        <v>Выданные гарантии</v>
      </c>
      <c r="F388" s="3" t="str">
        <f>"1"</f>
        <v>1</v>
      </c>
      <c r="G388" s="3" t="str">
        <f>"7"</f>
        <v>7</v>
      </c>
      <c r="H388" s="3" t="str">
        <f>"2"</f>
        <v>2</v>
      </c>
      <c r="I388" s="4">
        <v>11150500.460000001</v>
      </c>
    </row>
    <row r="389" spans="1:9" x14ac:dyDescent="0.25">
      <c r="A389" s="3">
        <v>384</v>
      </c>
      <c r="B389" s="5">
        <v>45471</v>
      </c>
      <c r="C389" s="3">
        <v>19</v>
      </c>
      <c r="D389" s="3" t="str">
        <f>"2870"</f>
        <v>2870</v>
      </c>
      <c r="E389" s="3" t="str">
        <f>"Прочие транзитные счета"</f>
        <v>Прочие транзитные счета</v>
      </c>
      <c r="F389" s="3" t="str">
        <f>"1"</f>
        <v>1</v>
      </c>
      <c r="G389" s="3" t="str">
        <f>"4"</f>
        <v>4</v>
      </c>
      <c r="H389" s="3" t="str">
        <f>"1"</f>
        <v>1</v>
      </c>
      <c r="I389" s="4">
        <v>5671603.25</v>
      </c>
    </row>
    <row r="390" spans="1:9" x14ac:dyDescent="0.25">
      <c r="A390" s="3">
        <v>388</v>
      </c>
      <c r="B390" s="5">
        <v>45471</v>
      </c>
      <c r="C390" s="3">
        <v>19</v>
      </c>
      <c r="D390" s="3" t="str">
        <f>"2892"</f>
        <v>2892</v>
      </c>
      <c r="E390" s="3" t="str">
        <f>"Обязательства по операциям форвард"</f>
        <v>Обязательства по операциям форвард</v>
      </c>
      <c r="F390" s="3" t="str">
        <f>"2"</f>
        <v>2</v>
      </c>
      <c r="G390" s="3" t="str">
        <f>"4"</f>
        <v>4</v>
      </c>
      <c r="H390" s="3" t="str">
        <f>"1"</f>
        <v>1</v>
      </c>
      <c r="I390" s="4">
        <v>609191850</v>
      </c>
    </row>
    <row r="391" spans="1:9" x14ac:dyDescent="0.25">
      <c r="A391" s="3">
        <v>385</v>
      </c>
      <c r="B391" s="5">
        <v>45471</v>
      </c>
      <c r="C391" s="3">
        <v>19</v>
      </c>
      <c r="D391" s="3" t="str">
        <f>"2895"</f>
        <v>2895</v>
      </c>
      <c r="E391" s="3" t="str">
        <f>"Обязательства по операциям своп"</f>
        <v>Обязательства по операциям своп</v>
      </c>
      <c r="F391" s="3" t="str">
        <f>"2"</f>
        <v>2</v>
      </c>
      <c r="G391" s="3" t="str">
        <f>"4"</f>
        <v>4</v>
      </c>
      <c r="H391" s="3" t="str">
        <f>"2"</f>
        <v>2</v>
      </c>
      <c r="I391" s="4">
        <v>9614811.7200000007</v>
      </c>
    </row>
    <row r="392" spans="1:9" x14ac:dyDescent="0.25">
      <c r="A392" s="3">
        <v>374</v>
      </c>
      <c r="B392" s="5">
        <v>45471</v>
      </c>
      <c r="C392" s="3">
        <v>19</v>
      </c>
      <c r="D392" s="3" t="str">
        <f>"3001"</f>
        <v>3001</v>
      </c>
      <c r="E392" s="3" t="str">
        <f>"Уставный капитал – простые акции"</f>
        <v>Уставный капитал – простые акции</v>
      </c>
      <c r="F392" s="3" t="str">
        <f>""</f>
        <v/>
      </c>
      <c r="G392" s="3" t="str">
        <f>""</f>
        <v/>
      </c>
      <c r="H392" s="3" t="str">
        <f>""</f>
        <v/>
      </c>
      <c r="I392" s="4">
        <v>17363740402</v>
      </c>
    </row>
    <row r="393" spans="1:9" x14ac:dyDescent="0.25">
      <c r="A393" s="3">
        <v>378</v>
      </c>
      <c r="B393" s="5">
        <v>45471</v>
      </c>
      <c r="C393" s="3">
        <v>19</v>
      </c>
      <c r="D393" s="3" t="str">
        <f>"3003"</f>
        <v>3003</v>
      </c>
      <c r="E393" s="3" t="str">
        <f>"Выкупленные простые акции"</f>
        <v>Выкупленные простые акции</v>
      </c>
      <c r="F393" s="3" t="str">
        <f>""</f>
        <v/>
      </c>
      <c r="G393" s="3" t="str">
        <f>""</f>
        <v/>
      </c>
      <c r="H393" s="3" t="str">
        <f>""</f>
        <v/>
      </c>
      <c r="I393" s="4">
        <v>-9548276610.5200005</v>
      </c>
    </row>
    <row r="394" spans="1:9" x14ac:dyDescent="0.25">
      <c r="A394" s="3">
        <v>379</v>
      </c>
      <c r="B394" s="5">
        <v>45471</v>
      </c>
      <c r="C394" s="3">
        <v>19</v>
      </c>
      <c r="D394" s="3" t="str">
        <f>"3025"</f>
        <v>3025</v>
      </c>
      <c r="E394" s="3" t="str">
        <f>"Уставный капитал – привилегированные акции"</f>
        <v>Уставный капитал – привилегированные акции</v>
      </c>
      <c r="F394" s="3" t="str">
        <f>""</f>
        <v/>
      </c>
      <c r="G394" s="3" t="str">
        <f>""</f>
        <v/>
      </c>
      <c r="H394" s="3" t="str">
        <f>""</f>
        <v/>
      </c>
      <c r="I394" s="4">
        <v>409150000</v>
      </c>
    </row>
    <row r="395" spans="1:9" x14ac:dyDescent="0.25">
      <c r="A395" s="3">
        <v>381</v>
      </c>
      <c r="B395" s="5">
        <v>45471</v>
      </c>
      <c r="C395" s="3">
        <v>19</v>
      </c>
      <c r="D395" s="3" t="str">
        <f>"3027"</f>
        <v>3027</v>
      </c>
      <c r="E395" s="3" t="str">
        <f>"Выкупленные привилегированные акции"</f>
        <v>Выкупленные привилегированные акции</v>
      </c>
      <c r="F395" s="3" t="str">
        <f>""</f>
        <v/>
      </c>
      <c r="G395" s="3" t="str">
        <f>""</f>
        <v/>
      </c>
      <c r="H395" s="3" t="str">
        <f>""</f>
        <v/>
      </c>
      <c r="I395" s="4">
        <v>-481844819.58999997</v>
      </c>
    </row>
    <row r="396" spans="1:9" x14ac:dyDescent="0.25">
      <c r="A396" s="3">
        <v>435</v>
      </c>
      <c r="B396" s="5">
        <v>45471</v>
      </c>
      <c r="C396" s="3">
        <v>19</v>
      </c>
      <c r="D396" s="3" t="str">
        <f>"3101"</f>
        <v>3101</v>
      </c>
      <c r="E396" s="3" t="str">
        <f>"Дополнительный оплаченный капитал"</f>
        <v>Дополнительный оплаченный капитал</v>
      </c>
      <c r="F396" s="3" t="str">
        <f>""</f>
        <v/>
      </c>
      <c r="G396" s="3" t="str">
        <f>""</f>
        <v/>
      </c>
      <c r="H396" s="3" t="str">
        <f>""</f>
        <v/>
      </c>
      <c r="I396" s="4">
        <v>712370782.46000004</v>
      </c>
    </row>
    <row r="397" spans="1:9" x14ac:dyDescent="0.25">
      <c r="A397" s="3">
        <v>382</v>
      </c>
      <c r="B397" s="5">
        <v>45471</v>
      </c>
      <c r="C397" s="3">
        <v>19</v>
      </c>
      <c r="D397" s="3" t="str">
        <f>"3540"</f>
        <v>3540</v>
      </c>
      <c r="E397" s="3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7" s="3" t="str">
        <f>""</f>
        <v/>
      </c>
      <c r="G397" s="3" t="str">
        <f>""</f>
        <v/>
      </c>
      <c r="H397" s="3" t="str">
        <f>""</f>
        <v/>
      </c>
      <c r="I397" s="4">
        <v>1447935014.72</v>
      </c>
    </row>
    <row r="398" spans="1:9" x14ac:dyDescent="0.25">
      <c r="A398" s="3">
        <v>386</v>
      </c>
      <c r="B398" s="5">
        <v>45471</v>
      </c>
      <c r="C398" s="3">
        <v>19</v>
      </c>
      <c r="D398" s="3" t="str">
        <f>"3561"</f>
        <v>3561</v>
      </c>
      <c r="E398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8" s="3" t="str">
        <f>"1"</f>
        <v>1</v>
      </c>
      <c r="G398" s="3" t="str">
        <f>""</f>
        <v/>
      </c>
      <c r="H398" s="3" t="str">
        <f>"2"</f>
        <v>2</v>
      </c>
      <c r="I398" s="4">
        <v>-400619355.32999998</v>
      </c>
    </row>
    <row r="399" spans="1:9" x14ac:dyDescent="0.25">
      <c r="A399" s="3">
        <v>392</v>
      </c>
      <c r="B399" s="5">
        <v>45471</v>
      </c>
      <c r="C399" s="3">
        <v>19</v>
      </c>
      <c r="D399" s="3" t="str">
        <f>"3561"</f>
        <v>3561</v>
      </c>
      <c r="E399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9" s="3" t="str">
        <f>"1"</f>
        <v>1</v>
      </c>
      <c r="G399" s="3" t="str">
        <f>""</f>
        <v/>
      </c>
      <c r="H399" s="3" t="str">
        <f>"1"</f>
        <v>1</v>
      </c>
      <c r="I399" s="4">
        <v>-9160275874.7999992</v>
      </c>
    </row>
    <row r="400" spans="1:9" x14ac:dyDescent="0.25">
      <c r="A400" s="3">
        <v>389</v>
      </c>
      <c r="B400" s="5">
        <v>45471</v>
      </c>
      <c r="C400" s="3">
        <v>19</v>
      </c>
      <c r="D400" s="3" t="str">
        <f>"3562"</f>
        <v>3562</v>
      </c>
      <c r="E400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0" s="3" t="str">
        <f>"1"</f>
        <v>1</v>
      </c>
      <c r="G400" s="3" t="str">
        <f>""</f>
        <v/>
      </c>
      <c r="H400" s="3" t="str">
        <f>"1"</f>
        <v>1</v>
      </c>
      <c r="I400" s="4">
        <v>359831373.64999998</v>
      </c>
    </row>
    <row r="401" spans="1:9" x14ac:dyDescent="0.25">
      <c r="A401" s="3">
        <v>395</v>
      </c>
      <c r="B401" s="5">
        <v>45471</v>
      </c>
      <c r="C401" s="3">
        <v>19</v>
      </c>
      <c r="D401" s="3" t="str">
        <f>"3562"</f>
        <v>3562</v>
      </c>
      <c r="E401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1" s="3" t="str">
        <f>"1"</f>
        <v>1</v>
      </c>
      <c r="G401" s="3" t="str">
        <f>""</f>
        <v/>
      </c>
      <c r="H401" s="3" t="str">
        <f>"2"</f>
        <v>2</v>
      </c>
      <c r="I401" s="4">
        <v>788570797.39999998</v>
      </c>
    </row>
    <row r="402" spans="1:9" x14ac:dyDescent="0.25">
      <c r="A402" s="3">
        <v>391</v>
      </c>
      <c r="B402" s="5">
        <v>45471</v>
      </c>
      <c r="C402" s="3">
        <v>19</v>
      </c>
      <c r="D402" s="3" t="str">
        <f>"3580"</f>
        <v>3580</v>
      </c>
      <c r="E402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2" s="3" t="str">
        <f>""</f>
        <v/>
      </c>
      <c r="G402" s="3" t="str">
        <f>""</f>
        <v/>
      </c>
      <c r="H402" s="3" t="str">
        <f>""</f>
        <v/>
      </c>
      <c r="I402" s="4">
        <v>625308273726.15002</v>
      </c>
    </row>
    <row r="403" spans="1:9" x14ac:dyDescent="0.25">
      <c r="A403" s="3">
        <v>387</v>
      </c>
      <c r="B403" s="5">
        <v>45471</v>
      </c>
      <c r="C403" s="3">
        <v>19</v>
      </c>
      <c r="D403" s="3" t="str">
        <f>"3599"</f>
        <v>3599</v>
      </c>
      <c r="E403" s="3" t="str">
        <f>"Нераспределенная чистая прибыль (непокрытый убыток)"</f>
        <v>Нераспределенная чистая прибыль (непокрытый убыток)</v>
      </c>
      <c r="F403" s="3" t="str">
        <f>""</f>
        <v/>
      </c>
      <c r="G403" s="3" t="str">
        <f>""</f>
        <v/>
      </c>
      <c r="H403" s="3" t="str">
        <f>""</f>
        <v/>
      </c>
      <c r="I403" s="4">
        <v>234547433650.04999</v>
      </c>
    </row>
    <row r="404" spans="1:9" x14ac:dyDescent="0.25">
      <c r="A404" s="3">
        <v>390</v>
      </c>
      <c r="B404" s="5">
        <v>45471</v>
      </c>
      <c r="C404" s="3">
        <v>19</v>
      </c>
      <c r="D404" s="3" t="str">
        <f>"4052"</f>
        <v>4052</v>
      </c>
      <c r="E404" s="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04" s="3" t="str">
        <f>""</f>
        <v/>
      </c>
      <c r="G404" s="3" t="str">
        <f>""</f>
        <v/>
      </c>
      <c r="H404" s="3" t="str">
        <f>""</f>
        <v/>
      </c>
      <c r="I404" s="4">
        <v>848856958.48000002</v>
      </c>
    </row>
    <row r="405" spans="1:9" x14ac:dyDescent="0.25">
      <c r="A405" s="3">
        <v>394</v>
      </c>
      <c r="B405" s="5">
        <v>45471</v>
      </c>
      <c r="C405" s="3">
        <v>19</v>
      </c>
      <c r="D405" s="3" t="str">
        <f>"4101"</f>
        <v>4101</v>
      </c>
      <c r="E405" s="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05" s="3" t="str">
        <f>""</f>
        <v/>
      </c>
      <c r="G405" s="3" t="str">
        <f>""</f>
        <v/>
      </c>
      <c r="H405" s="3" t="str">
        <f>""</f>
        <v/>
      </c>
      <c r="I405" s="4">
        <v>3558826388.9000001</v>
      </c>
    </row>
    <row r="406" spans="1:9" x14ac:dyDescent="0.25">
      <c r="A406" s="3">
        <v>393</v>
      </c>
      <c r="B406" s="5">
        <v>45471</v>
      </c>
      <c r="C406" s="3">
        <v>19</v>
      </c>
      <c r="D406" s="3" t="str">
        <f>"4103"</f>
        <v>4103</v>
      </c>
      <c r="E406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06" s="3" t="str">
        <f>""</f>
        <v/>
      </c>
      <c r="G406" s="3" t="str">
        <f>""</f>
        <v/>
      </c>
      <c r="H406" s="3" t="str">
        <f>""</f>
        <v/>
      </c>
      <c r="I406" s="4">
        <v>9331916666.6499996</v>
      </c>
    </row>
    <row r="407" spans="1:9" x14ac:dyDescent="0.25">
      <c r="A407" s="3">
        <v>397</v>
      </c>
      <c r="B407" s="5">
        <v>45471</v>
      </c>
      <c r="C407" s="3">
        <v>19</v>
      </c>
      <c r="D407" s="3" t="str">
        <f>"4251"</f>
        <v>4251</v>
      </c>
      <c r="E407" s="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07" s="3" t="str">
        <f>""</f>
        <v/>
      </c>
      <c r="G407" s="3" t="str">
        <f>""</f>
        <v/>
      </c>
      <c r="H407" s="3" t="str">
        <f>""</f>
        <v/>
      </c>
      <c r="I407" s="4">
        <v>923422865.80999994</v>
      </c>
    </row>
    <row r="408" spans="1:9" x14ac:dyDescent="0.25">
      <c r="A408" s="3">
        <v>399</v>
      </c>
      <c r="B408" s="5">
        <v>45471</v>
      </c>
      <c r="C408" s="3">
        <v>19</v>
      </c>
      <c r="D408" s="3" t="str">
        <f>"4253"</f>
        <v>4253</v>
      </c>
      <c r="E408" s="3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8" s="3" t="str">
        <f>""</f>
        <v/>
      </c>
      <c r="G408" s="3" t="str">
        <f>""</f>
        <v/>
      </c>
      <c r="H408" s="3" t="str">
        <f>""</f>
        <v/>
      </c>
      <c r="I408" s="4">
        <v>1307220756.7</v>
      </c>
    </row>
    <row r="409" spans="1:9" x14ac:dyDescent="0.25">
      <c r="A409" s="3">
        <v>398</v>
      </c>
      <c r="B409" s="5">
        <v>45471</v>
      </c>
      <c r="C409" s="3">
        <v>19</v>
      </c>
      <c r="D409" s="3" t="str">
        <f>"4254"</f>
        <v>4254</v>
      </c>
      <c r="E409" s="3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09" s="3" t="str">
        <f>""</f>
        <v/>
      </c>
      <c r="G409" s="3" t="str">
        <f>""</f>
        <v/>
      </c>
      <c r="H409" s="3" t="str">
        <f>""</f>
        <v/>
      </c>
      <c r="I409" s="4">
        <v>2698614322.21</v>
      </c>
    </row>
    <row r="410" spans="1:9" x14ac:dyDescent="0.25">
      <c r="A410" s="3">
        <v>400</v>
      </c>
      <c r="B410" s="5">
        <v>45471</v>
      </c>
      <c r="C410" s="3">
        <v>19</v>
      </c>
      <c r="D410" s="3" t="str">
        <f>"4265"</f>
        <v>4265</v>
      </c>
      <c r="E410" s="3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10" s="3" t="str">
        <f>""</f>
        <v/>
      </c>
      <c r="G410" s="3" t="str">
        <f>""</f>
        <v/>
      </c>
      <c r="H410" s="3" t="str">
        <f>""</f>
        <v/>
      </c>
      <c r="I410" s="4">
        <v>775609494.54999995</v>
      </c>
    </row>
    <row r="411" spans="1:9" x14ac:dyDescent="0.25">
      <c r="A411" s="3">
        <v>403</v>
      </c>
      <c r="B411" s="5">
        <v>45471</v>
      </c>
      <c r="C411" s="3">
        <v>19</v>
      </c>
      <c r="D411" s="3" t="str">
        <f>"4401"</f>
        <v>4401</v>
      </c>
      <c r="E411" s="3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11" s="3" t="str">
        <f>""</f>
        <v/>
      </c>
      <c r="G411" s="3" t="str">
        <f>""</f>
        <v/>
      </c>
      <c r="H411" s="3" t="str">
        <f>""</f>
        <v/>
      </c>
      <c r="I411" s="4">
        <v>2359547729.02</v>
      </c>
    </row>
    <row r="412" spans="1:9" x14ac:dyDescent="0.25">
      <c r="A412" s="3">
        <v>401</v>
      </c>
      <c r="B412" s="5">
        <v>45471</v>
      </c>
      <c r="C412" s="3">
        <v>19</v>
      </c>
      <c r="D412" s="3" t="str">
        <f>"4403"</f>
        <v>4403</v>
      </c>
      <c r="E412" s="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12" s="3" t="str">
        <f>""</f>
        <v/>
      </c>
      <c r="G412" s="3" t="str">
        <f>""</f>
        <v/>
      </c>
      <c r="H412" s="3" t="str">
        <f>""</f>
        <v/>
      </c>
      <c r="I412" s="4">
        <v>364341570209.26001</v>
      </c>
    </row>
    <row r="413" spans="1:9" x14ac:dyDescent="0.25">
      <c r="A413" s="3">
        <v>402</v>
      </c>
      <c r="B413" s="5">
        <v>45471</v>
      </c>
      <c r="C413" s="3">
        <v>19</v>
      </c>
      <c r="D413" s="3" t="str">
        <f>"4411"</f>
        <v>4411</v>
      </c>
      <c r="E413" s="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13" s="3" t="str">
        <f>""</f>
        <v/>
      </c>
      <c r="G413" s="3" t="str">
        <f>""</f>
        <v/>
      </c>
      <c r="H413" s="3" t="str">
        <f>""</f>
        <v/>
      </c>
      <c r="I413" s="4">
        <v>393673624.42000002</v>
      </c>
    </row>
    <row r="414" spans="1:9" x14ac:dyDescent="0.25">
      <c r="A414" s="3">
        <v>404</v>
      </c>
      <c r="B414" s="5">
        <v>45471</v>
      </c>
      <c r="C414" s="3">
        <v>19</v>
      </c>
      <c r="D414" s="3" t="str">
        <f>"4417"</f>
        <v>4417</v>
      </c>
      <c r="E414" s="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14" s="3" t="str">
        <f>""</f>
        <v/>
      </c>
      <c r="G414" s="3" t="str">
        <f>""</f>
        <v/>
      </c>
      <c r="H414" s="3" t="str">
        <f>""</f>
        <v/>
      </c>
      <c r="I414" s="4">
        <v>4929783083.8000002</v>
      </c>
    </row>
    <row r="415" spans="1:9" x14ac:dyDescent="0.25">
      <c r="A415" s="3">
        <v>408</v>
      </c>
      <c r="B415" s="5">
        <v>45471</v>
      </c>
      <c r="C415" s="3">
        <v>19</v>
      </c>
      <c r="D415" s="3" t="str">
        <f>"4424"</f>
        <v>4424</v>
      </c>
      <c r="E415" s="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15" s="3" t="str">
        <f>""</f>
        <v/>
      </c>
      <c r="G415" s="3" t="str">
        <f>""</f>
        <v/>
      </c>
      <c r="H415" s="3" t="str">
        <f>""</f>
        <v/>
      </c>
      <c r="I415" s="4">
        <v>970935189.14999998</v>
      </c>
    </row>
    <row r="416" spans="1:9" x14ac:dyDescent="0.25">
      <c r="A416" s="3">
        <v>406</v>
      </c>
      <c r="B416" s="5">
        <v>45471</v>
      </c>
      <c r="C416" s="3">
        <v>19</v>
      </c>
      <c r="D416" s="3" t="str">
        <f>"4429"</f>
        <v>4429</v>
      </c>
      <c r="E416" s="3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6" s="3" t="str">
        <f>""</f>
        <v/>
      </c>
      <c r="G416" s="3" t="str">
        <f>""</f>
        <v/>
      </c>
      <c r="H416" s="3" t="str">
        <f>""</f>
        <v/>
      </c>
      <c r="I416" s="4">
        <v>199896.92</v>
      </c>
    </row>
    <row r="417" spans="1:9" x14ac:dyDescent="0.25">
      <c r="A417" s="3">
        <v>407</v>
      </c>
      <c r="B417" s="5">
        <v>45471</v>
      </c>
      <c r="C417" s="3">
        <v>19</v>
      </c>
      <c r="D417" s="3" t="str">
        <f>"4434"</f>
        <v>4434</v>
      </c>
      <c r="E417" s="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7" s="3" t="str">
        <f>""</f>
        <v/>
      </c>
      <c r="G417" s="3" t="str">
        <f>""</f>
        <v/>
      </c>
      <c r="H417" s="3" t="str">
        <f>""</f>
        <v/>
      </c>
      <c r="I417" s="4">
        <v>26795807498.91</v>
      </c>
    </row>
    <row r="418" spans="1:9" x14ac:dyDescent="0.25">
      <c r="A418" s="3">
        <v>410</v>
      </c>
      <c r="B418" s="5">
        <v>45471</v>
      </c>
      <c r="C418" s="3">
        <v>19</v>
      </c>
      <c r="D418" s="3" t="str">
        <f>"4440"</f>
        <v>4440</v>
      </c>
      <c r="E418" s="3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18" s="3" t="str">
        <f>""</f>
        <v/>
      </c>
      <c r="G418" s="3" t="str">
        <f>""</f>
        <v/>
      </c>
      <c r="H418" s="3" t="str">
        <f>""</f>
        <v/>
      </c>
      <c r="I418" s="4">
        <v>120060608.31999999</v>
      </c>
    </row>
    <row r="419" spans="1:9" x14ac:dyDescent="0.25">
      <c r="A419" s="3">
        <v>409</v>
      </c>
      <c r="B419" s="5">
        <v>45471</v>
      </c>
      <c r="C419" s="3">
        <v>19</v>
      </c>
      <c r="D419" s="3" t="str">
        <f>"4452"</f>
        <v>4452</v>
      </c>
      <c r="E419" s="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9" s="3" t="str">
        <f>""</f>
        <v/>
      </c>
      <c r="G419" s="3" t="str">
        <f>""</f>
        <v/>
      </c>
      <c r="H419" s="3" t="str">
        <f>""</f>
        <v/>
      </c>
      <c r="I419" s="4">
        <v>60775963268.449997</v>
      </c>
    </row>
    <row r="420" spans="1:9" x14ac:dyDescent="0.25">
      <c r="A420" s="3">
        <v>413</v>
      </c>
      <c r="B420" s="5">
        <v>45471</v>
      </c>
      <c r="C420" s="3">
        <v>19</v>
      </c>
      <c r="D420" s="3" t="str">
        <f>"4453"</f>
        <v>4453</v>
      </c>
      <c r="E420" s="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20" s="3" t="str">
        <f>""</f>
        <v/>
      </c>
      <c r="G420" s="3" t="str">
        <f>""</f>
        <v/>
      </c>
      <c r="H420" s="3" t="str">
        <f>""</f>
        <v/>
      </c>
      <c r="I420" s="4">
        <v>24592283698.880001</v>
      </c>
    </row>
    <row r="421" spans="1:9" x14ac:dyDescent="0.25">
      <c r="A421" s="3">
        <v>422</v>
      </c>
      <c r="B421" s="5">
        <v>45471</v>
      </c>
      <c r="C421" s="3">
        <v>19</v>
      </c>
      <c r="D421" s="3" t="str">
        <f>"4454"</f>
        <v>4454</v>
      </c>
      <c r="E421" s="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21" s="3" t="str">
        <f>""</f>
        <v/>
      </c>
      <c r="G421" s="3" t="str">
        <f>""</f>
        <v/>
      </c>
      <c r="H421" s="3" t="str">
        <f>""</f>
        <v/>
      </c>
      <c r="I421" s="4">
        <v>14162971.59</v>
      </c>
    </row>
    <row r="422" spans="1:9" x14ac:dyDescent="0.25">
      <c r="A422" s="3">
        <v>416</v>
      </c>
      <c r="B422" s="5">
        <v>45471</v>
      </c>
      <c r="C422" s="3">
        <v>19</v>
      </c>
      <c r="D422" s="3" t="str">
        <f>"4455"</f>
        <v>4455</v>
      </c>
      <c r="E422" s="3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22" s="3" t="str">
        <f>""</f>
        <v/>
      </c>
      <c r="G422" s="3" t="str">
        <f>""</f>
        <v/>
      </c>
      <c r="H422" s="3" t="str">
        <f>""</f>
        <v/>
      </c>
      <c r="I422" s="4">
        <v>19781293.350000001</v>
      </c>
    </row>
    <row r="423" spans="1:9" x14ac:dyDescent="0.25">
      <c r="A423" s="3">
        <v>414</v>
      </c>
      <c r="B423" s="5">
        <v>45471</v>
      </c>
      <c r="C423" s="3">
        <v>19</v>
      </c>
      <c r="D423" s="3" t="str">
        <f>"4465"</f>
        <v>4465</v>
      </c>
      <c r="E423" s="3" t="str">
        <f>"Доходы по операциям «РЕПО» с ценными бумагами"</f>
        <v>Доходы по операциям «РЕПО» с ценными бумагами</v>
      </c>
      <c r="F423" s="3" t="str">
        <f>""</f>
        <v/>
      </c>
      <c r="G423" s="3" t="str">
        <f>""</f>
        <v/>
      </c>
      <c r="H423" s="3" t="str">
        <f>""</f>
        <v/>
      </c>
      <c r="I423" s="4">
        <v>348065878.56999999</v>
      </c>
    </row>
    <row r="424" spans="1:9" x14ac:dyDescent="0.25">
      <c r="A424" s="3">
        <v>412</v>
      </c>
      <c r="B424" s="5">
        <v>45471</v>
      </c>
      <c r="C424" s="3">
        <v>19</v>
      </c>
      <c r="D424" s="3" t="str">
        <f>"4476"</f>
        <v>4476</v>
      </c>
      <c r="E424" s="3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424" s="3" t="str">
        <f>""</f>
        <v/>
      </c>
      <c r="G424" s="3" t="str">
        <f>""</f>
        <v/>
      </c>
      <c r="H424" s="3" t="str">
        <f>""</f>
        <v/>
      </c>
      <c r="I424" s="4">
        <v>244862315.5</v>
      </c>
    </row>
    <row r="425" spans="1:9" x14ac:dyDescent="0.25">
      <c r="A425" s="3">
        <v>415</v>
      </c>
      <c r="B425" s="5">
        <v>45471</v>
      </c>
      <c r="C425" s="3">
        <v>19</v>
      </c>
      <c r="D425" s="3" t="str">
        <f>"4510"</f>
        <v>4510</v>
      </c>
      <c r="E425" s="3" t="str">
        <f>"Доходы по купле-продаже ценных бумаг"</f>
        <v>Доходы по купле-продаже ценных бумаг</v>
      </c>
      <c r="F425" s="3" t="str">
        <f>""</f>
        <v/>
      </c>
      <c r="G425" s="3" t="str">
        <f>""</f>
        <v/>
      </c>
      <c r="H425" s="3" t="str">
        <f>""</f>
        <v/>
      </c>
      <c r="I425" s="4">
        <v>31806071.91</v>
      </c>
    </row>
    <row r="426" spans="1:9" x14ac:dyDescent="0.25">
      <c r="A426" s="3">
        <v>420</v>
      </c>
      <c r="B426" s="5">
        <v>45471</v>
      </c>
      <c r="C426" s="3">
        <v>19</v>
      </c>
      <c r="D426" s="3" t="str">
        <f>"4530"</f>
        <v>4530</v>
      </c>
      <c r="E426" s="3" t="str">
        <f>"Доходы по купле-продаже иностранной валюты"</f>
        <v>Доходы по купле-продаже иностранной валюты</v>
      </c>
      <c r="F426" s="3" t="str">
        <f>""</f>
        <v/>
      </c>
      <c r="G426" s="3" t="str">
        <f>""</f>
        <v/>
      </c>
      <c r="H426" s="3" t="str">
        <f>""</f>
        <v/>
      </c>
      <c r="I426" s="4">
        <v>16553995416.49</v>
      </c>
    </row>
    <row r="427" spans="1:9" x14ac:dyDescent="0.25">
      <c r="A427" s="3">
        <v>417</v>
      </c>
      <c r="B427" s="5">
        <v>45471</v>
      </c>
      <c r="C427" s="3">
        <v>19</v>
      </c>
      <c r="D427" s="3" t="str">
        <f>"4570"</f>
        <v>4570</v>
      </c>
      <c r="E427" s="3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27" s="3" t="str">
        <f>""</f>
        <v/>
      </c>
      <c r="G427" s="3" t="str">
        <f>""</f>
        <v/>
      </c>
      <c r="H427" s="3" t="str">
        <f>""</f>
        <v/>
      </c>
      <c r="I427" s="4">
        <v>8291739415</v>
      </c>
    </row>
    <row r="428" spans="1:9" x14ac:dyDescent="0.25">
      <c r="A428" s="3">
        <v>418</v>
      </c>
      <c r="B428" s="5">
        <v>45471</v>
      </c>
      <c r="C428" s="3">
        <v>19</v>
      </c>
      <c r="D428" s="3" t="str">
        <f>"4593"</f>
        <v>4593</v>
      </c>
      <c r="E428" s="3" t="str">
        <f>"Доходы от переоценки операций своп"</f>
        <v>Доходы от переоценки операций своп</v>
      </c>
      <c r="F428" s="3" t="str">
        <f>""</f>
        <v/>
      </c>
      <c r="G428" s="3" t="str">
        <f>""</f>
        <v/>
      </c>
      <c r="H428" s="3" t="str">
        <f>""</f>
        <v/>
      </c>
      <c r="I428" s="4">
        <v>31209623359.830002</v>
      </c>
    </row>
    <row r="429" spans="1:9" x14ac:dyDescent="0.25">
      <c r="A429" s="3">
        <v>421</v>
      </c>
      <c r="B429" s="5">
        <v>45471</v>
      </c>
      <c r="C429" s="3">
        <v>19</v>
      </c>
      <c r="D429" s="3" t="str">
        <f>"4601"</f>
        <v>4601</v>
      </c>
      <c r="E429" s="3" t="str">
        <f>"Комиссионные доходы за услуги по переводным операциям"</f>
        <v>Комиссионные доходы за услуги по переводным операциям</v>
      </c>
      <c r="F429" s="3" t="str">
        <f>""</f>
        <v/>
      </c>
      <c r="G429" s="3" t="str">
        <f>""</f>
        <v/>
      </c>
      <c r="H429" s="3" t="str">
        <f>""</f>
        <v/>
      </c>
      <c r="I429" s="4">
        <v>13867412108.65</v>
      </c>
    </row>
    <row r="430" spans="1:9" x14ac:dyDescent="0.25">
      <c r="A430" s="3">
        <v>419</v>
      </c>
      <c r="B430" s="5">
        <v>45471</v>
      </c>
      <c r="C430" s="3">
        <v>19</v>
      </c>
      <c r="D430" s="3" t="str">
        <f>"4604"</f>
        <v>4604</v>
      </c>
      <c r="E430" s="3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30" s="3" t="str">
        <f>""</f>
        <v/>
      </c>
      <c r="G430" s="3" t="str">
        <f>""</f>
        <v/>
      </c>
      <c r="H430" s="3" t="str">
        <f>""</f>
        <v/>
      </c>
      <c r="I430" s="4">
        <v>9535109.4499999993</v>
      </c>
    </row>
    <row r="431" spans="1:9" x14ac:dyDescent="0.25">
      <c r="A431" s="3">
        <v>429</v>
      </c>
      <c r="B431" s="5">
        <v>45471</v>
      </c>
      <c r="C431" s="3">
        <v>19</v>
      </c>
      <c r="D431" s="3" t="str">
        <f>"4605"</f>
        <v>4605</v>
      </c>
      <c r="E431" s="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31" s="3" t="str">
        <f>""</f>
        <v/>
      </c>
      <c r="G431" s="3" t="str">
        <f>""</f>
        <v/>
      </c>
      <c r="H431" s="3" t="str">
        <f>""</f>
        <v/>
      </c>
      <c r="I431" s="4">
        <v>129615.53</v>
      </c>
    </row>
    <row r="432" spans="1:9" x14ac:dyDescent="0.25">
      <c r="A432" s="3">
        <v>427</v>
      </c>
      <c r="B432" s="5">
        <v>45471</v>
      </c>
      <c r="C432" s="3">
        <v>19</v>
      </c>
      <c r="D432" s="3" t="str">
        <f>"4606"</f>
        <v>4606</v>
      </c>
      <c r="E432" s="3" t="str">
        <f>"Комиссионные доходы за услуги по операциям с гарантиями"</f>
        <v>Комиссионные доходы за услуги по операциям с гарантиями</v>
      </c>
      <c r="F432" s="3" t="str">
        <f>""</f>
        <v/>
      </c>
      <c r="G432" s="3" t="str">
        <f>""</f>
        <v/>
      </c>
      <c r="H432" s="3" t="str">
        <f>""</f>
        <v/>
      </c>
      <c r="I432" s="4">
        <v>51585119.609999999</v>
      </c>
    </row>
    <row r="433" spans="1:9" x14ac:dyDescent="0.25">
      <c r="A433" s="3">
        <v>425</v>
      </c>
      <c r="B433" s="5">
        <v>45471</v>
      </c>
      <c r="C433" s="3">
        <v>19</v>
      </c>
      <c r="D433" s="3" t="str">
        <f>"4607"</f>
        <v>4607</v>
      </c>
      <c r="E433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33" s="3" t="str">
        <f>""</f>
        <v/>
      </c>
      <c r="G433" s="3" t="str">
        <f>""</f>
        <v/>
      </c>
      <c r="H433" s="3" t="str">
        <f>""</f>
        <v/>
      </c>
      <c r="I433" s="4">
        <v>5725527651.1099997</v>
      </c>
    </row>
    <row r="434" spans="1:9" x14ac:dyDescent="0.25">
      <c r="A434" s="3">
        <v>423</v>
      </c>
      <c r="B434" s="5">
        <v>45471</v>
      </c>
      <c r="C434" s="3">
        <v>19</v>
      </c>
      <c r="D434" s="3" t="str">
        <f>"4608"</f>
        <v>4608</v>
      </c>
      <c r="E434" s="3" t="str">
        <f>"Прочие комиссионные доходы"</f>
        <v>Прочие комиссионные доходы</v>
      </c>
      <c r="F434" s="3" t="str">
        <f>""</f>
        <v/>
      </c>
      <c r="G434" s="3" t="str">
        <f>""</f>
        <v/>
      </c>
      <c r="H434" s="3" t="str">
        <f>""</f>
        <v/>
      </c>
      <c r="I434" s="4">
        <v>18820898070.939999</v>
      </c>
    </row>
    <row r="435" spans="1:9" x14ac:dyDescent="0.25">
      <c r="A435" s="3">
        <v>428</v>
      </c>
      <c r="B435" s="5">
        <v>45471</v>
      </c>
      <c r="C435" s="3">
        <v>19</v>
      </c>
      <c r="D435" s="3" t="str">
        <f>"4611"</f>
        <v>4611</v>
      </c>
      <c r="E435" s="3" t="str">
        <f>"Комиссионные доходы за услуги по кассовым операциям"</f>
        <v>Комиссионные доходы за услуги по кассовым операциям</v>
      </c>
      <c r="F435" s="3" t="str">
        <f>""</f>
        <v/>
      </c>
      <c r="G435" s="3" t="str">
        <f>""</f>
        <v/>
      </c>
      <c r="H435" s="3" t="str">
        <f>""</f>
        <v/>
      </c>
      <c r="I435" s="4">
        <v>16802863553.09</v>
      </c>
    </row>
    <row r="436" spans="1:9" x14ac:dyDescent="0.25">
      <c r="A436" s="3">
        <v>426</v>
      </c>
      <c r="B436" s="5">
        <v>45471</v>
      </c>
      <c r="C436" s="3">
        <v>19</v>
      </c>
      <c r="D436" s="3" t="str">
        <f>"4612"</f>
        <v>4612</v>
      </c>
      <c r="E436" s="3" t="str">
        <f>"Комиссионные доходы по документарным расчетам"</f>
        <v>Комиссионные доходы по документарным расчетам</v>
      </c>
      <c r="F436" s="3" t="str">
        <f>""</f>
        <v/>
      </c>
      <c r="G436" s="3" t="str">
        <f>""</f>
        <v/>
      </c>
      <c r="H436" s="3" t="str">
        <f>""</f>
        <v/>
      </c>
      <c r="I436" s="4">
        <v>89510</v>
      </c>
    </row>
    <row r="437" spans="1:9" x14ac:dyDescent="0.25">
      <c r="A437" s="3">
        <v>432</v>
      </c>
      <c r="B437" s="5">
        <v>45471</v>
      </c>
      <c r="C437" s="3">
        <v>19</v>
      </c>
      <c r="D437" s="3" t="str">
        <f>"4615"</f>
        <v>4615</v>
      </c>
      <c r="E437" s="3" t="str">
        <f>"Комиссионные доходы за услуги по инкассации"</f>
        <v>Комиссионные доходы за услуги по инкассации</v>
      </c>
      <c r="F437" s="3" t="str">
        <f>""</f>
        <v/>
      </c>
      <c r="G437" s="3" t="str">
        <f>""</f>
        <v/>
      </c>
      <c r="H437" s="3" t="str">
        <f>""</f>
        <v/>
      </c>
      <c r="I437" s="4">
        <v>3116199.31</v>
      </c>
    </row>
    <row r="438" spans="1:9" x14ac:dyDescent="0.25">
      <c r="A438" s="3">
        <v>430</v>
      </c>
      <c r="B438" s="5">
        <v>45471</v>
      </c>
      <c r="C438" s="3">
        <v>19</v>
      </c>
      <c r="D438" s="3" t="str">
        <f>"4617"</f>
        <v>4617</v>
      </c>
      <c r="E438" s="3" t="str">
        <f>"Комиссионные доходы за услуги по сейфовым операциям"</f>
        <v>Комиссионные доходы за услуги по сейфовым операциям</v>
      </c>
      <c r="F438" s="3" t="str">
        <f>""</f>
        <v/>
      </c>
      <c r="G438" s="3" t="str">
        <f>""</f>
        <v/>
      </c>
      <c r="H438" s="3" t="str">
        <f>""</f>
        <v/>
      </c>
      <c r="I438" s="4">
        <v>3033377.21</v>
      </c>
    </row>
    <row r="439" spans="1:9" x14ac:dyDescent="0.25">
      <c r="A439" s="3">
        <v>431</v>
      </c>
      <c r="B439" s="5">
        <v>45471</v>
      </c>
      <c r="C439" s="3">
        <v>19</v>
      </c>
      <c r="D439" s="3" t="str">
        <f>"4619"</f>
        <v>4619</v>
      </c>
      <c r="E439" s="3" t="str">
        <f>"Комиссионные доходы за обслуживание платежных карточек"</f>
        <v>Комиссионные доходы за обслуживание платежных карточек</v>
      </c>
      <c r="F439" s="3" t="str">
        <f>""</f>
        <v/>
      </c>
      <c r="G439" s="3" t="str">
        <f>""</f>
        <v/>
      </c>
      <c r="H439" s="3" t="str">
        <f>""</f>
        <v/>
      </c>
      <c r="I439" s="4">
        <v>200904231620.72</v>
      </c>
    </row>
    <row r="440" spans="1:9" x14ac:dyDescent="0.25">
      <c r="A440" s="3">
        <v>438</v>
      </c>
      <c r="B440" s="5">
        <v>45471</v>
      </c>
      <c r="C440" s="3">
        <v>19</v>
      </c>
      <c r="D440" s="3" t="str">
        <f>"4703"</f>
        <v>4703</v>
      </c>
      <c r="E440" s="3" t="str">
        <f>"Доход от переоценки иностранной валюты"</f>
        <v>Доход от переоценки иностранной валюты</v>
      </c>
      <c r="F440" s="3" t="str">
        <f>""</f>
        <v/>
      </c>
      <c r="G440" s="3" t="str">
        <f>""</f>
        <v/>
      </c>
      <c r="H440" s="3" t="str">
        <f>""</f>
        <v/>
      </c>
      <c r="I440" s="4">
        <v>158132215004.76001</v>
      </c>
    </row>
    <row r="441" spans="1:9" x14ac:dyDescent="0.25">
      <c r="A441" s="3">
        <v>458</v>
      </c>
      <c r="B441" s="5">
        <v>45471</v>
      </c>
      <c r="C441" s="3">
        <v>19</v>
      </c>
      <c r="D441" s="3" t="str">
        <f>"4733"</f>
        <v>4733</v>
      </c>
      <c r="E441" s="3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41" s="3" t="str">
        <f>""</f>
        <v/>
      </c>
      <c r="G441" s="3" t="str">
        <f>""</f>
        <v/>
      </c>
      <c r="H441" s="3" t="str">
        <f>""</f>
        <v/>
      </c>
      <c r="I441" s="4">
        <v>58436272279.260002</v>
      </c>
    </row>
    <row r="442" spans="1:9" x14ac:dyDescent="0.25">
      <c r="A442" s="3">
        <v>434</v>
      </c>
      <c r="B442" s="5">
        <v>45471</v>
      </c>
      <c r="C442" s="3">
        <v>19</v>
      </c>
      <c r="D442" s="3" t="str">
        <f>"4734"</f>
        <v>4734</v>
      </c>
      <c r="E442" s="3" t="str">
        <f>"Доходы от прочей переоценки"</f>
        <v>Доходы от прочей переоценки</v>
      </c>
      <c r="F442" s="3" t="str">
        <f>""</f>
        <v/>
      </c>
      <c r="G442" s="3" t="str">
        <f>""</f>
        <v/>
      </c>
      <c r="H442" s="3" t="str">
        <f>""</f>
        <v/>
      </c>
      <c r="I442" s="4">
        <v>14019140.119999999</v>
      </c>
    </row>
    <row r="443" spans="1:9" x14ac:dyDescent="0.25">
      <c r="A443" s="3">
        <v>433</v>
      </c>
      <c r="B443" s="5">
        <v>45471</v>
      </c>
      <c r="C443" s="3">
        <v>19</v>
      </c>
      <c r="D443" s="3" t="str">
        <f>"4852"</f>
        <v>4852</v>
      </c>
      <c r="E443" s="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43" s="3" t="str">
        <f>""</f>
        <v/>
      </c>
      <c r="G443" s="3" t="str">
        <f>""</f>
        <v/>
      </c>
      <c r="H443" s="3" t="str">
        <f>""</f>
        <v/>
      </c>
      <c r="I443" s="4">
        <v>86032424.439999998</v>
      </c>
    </row>
    <row r="444" spans="1:9" x14ac:dyDescent="0.25">
      <c r="A444" s="3">
        <v>436</v>
      </c>
      <c r="B444" s="5">
        <v>45471</v>
      </c>
      <c r="C444" s="3">
        <v>19</v>
      </c>
      <c r="D444" s="3" t="str">
        <f>"4900"</f>
        <v>4900</v>
      </c>
      <c r="E444" s="3" t="str">
        <f>"Неустойка (штраф, пеня)"</f>
        <v>Неустойка (штраф, пеня)</v>
      </c>
      <c r="F444" s="3" t="str">
        <f>""</f>
        <v/>
      </c>
      <c r="G444" s="3" t="str">
        <f>""</f>
        <v/>
      </c>
      <c r="H444" s="3" t="str">
        <f>""</f>
        <v/>
      </c>
      <c r="I444" s="4">
        <v>9366939332.6399994</v>
      </c>
    </row>
    <row r="445" spans="1:9" x14ac:dyDescent="0.25">
      <c r="A445" s="3">
        <v>437</v>
      </c>
      <c r="B445" s="5">
        <v>45471</v>
      </c>
      <c r="C445" s="3">
        <v>19</v>
      </c>
      <c r="D445" s="3" t="str">
        <f>"4921"</f>
        <v>4921</v>
      </c>
      <c r="E445" s="3" t="str">
        <f>"Прочие доходы от банковской деятельности"</f>
        <v>Прочие доходы от банковской деятельности</v>
      </c>
      <c r="F445" s="3" t="str">
        <f>""</f>
        <v/>
      </c>
      <c r="G445" s="3" t="str">
        <f>""</f>
        <v/>
      </c>
      <c r="H445" s="3" t="str">
        <f>""</f>
        <v/>
      </c>
      <c r="I445" s="4">
        <v>16761972.609999999</v>
      </c>
    </row>
    <row r="446" spans="1:9" x14ac:dyDescent="0.25">
      <c r="A446" s="3">
        <v>441</v>
      </c>
      <c r="B446" s="5">
        <v>45471</v>
      </c>
      <c r="C446" s="3">
        <v>19</v>
      </c>
      <c r="D446" s="3" t="str">
        <f>"4922"</f>
        <v>4922</v>
      </c>
      <c r="E446" s="3" t="str">
        <f>"Прочие доходы от неосновной деятельности"</f>
        <v>Прочие доходы от неосновной деятельности</v>
      </c>
      <c r="F446" s="3" t="str">
        <f>""</f>
        <v/>
      </c>
      <c r="G446" s="3" t="str">
        <f>""</f>
        <v/>
      </c>
      <c r="H446" s="3" t="str">
        <f>""</f>
        <v/>
      </c>
      <c r="I446" s="4">
        <v>1207808.95</v>
      </c>
    </row>
    <row r="447" spans="1:9" x14ac:dyDescent="0.25">
      <c r="A447" s="3">
        <v>478</v>
      </c>
      <c r="B447" s="5">
        <v>45471</v>
      </c>
      <c r="C447" s="3">
        <v>19</v>
      </c>
      <c r="D447" s="3" t="str">
        <f>"4923"</f>
        <v>4923</v>
      </c>
      <c r="E447" s="3" t="str">
        <f>"Доходы, связанные с получением дивидендов по акциям"</f>
        <v>Доходы, связанные с получением дивидендов по акциям</v>
      </c>
      <c r="F447" s="3" t="str">
        <f>""</f>
        <v/>
      </c>
      <c r="G447" s="3" t="str">
        <f>""</f>
        <v/>
      </c>
      <c r="H447" s="3" t="str">
        <f>""</f>
        <v/>
      </c>
      <c r="I447" s="4">
        <v>18816985</v>
      </c>
    </row>
    <row r="448" spans="1:9" x14ac:dyDescent="0.25">
      <c r="A448" s="3">
        <v>439</v>
      </c>
      <c r="B448" s="5">
        <v>45471</v>
      </c>
      <c r="C448" s="3">
        <v>19</v>
      </c>
      <c r="D448" s="3" t="str">
        <f>"4951"</f>
        <v>4951</v>
      </c>
      <c r="E448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48" s="3" t="str">
        <f>""</f>
        <v/>
      </c>
      <c r="G448" s="3" t="str">
        <f>""</f>
        <v/>
      </c>
      <c r="H448" s="3" t="str">
        <f>""</f>
        <v/>
      </c>
      <c r="I448" s="4">
        <v>21219818.370000001</v>
      </c>
    </row>
    <row r="449" spans="1:9" x14ac:dyDescent="0.25">
      <c r="A449" s="3">
        <v>468</v>
      </c>
      <c r="B449" s="5">
        <v>45471</v>
      </c>
      <c r="C449" s="3">
        <v>19</v>
      </c>
      <c r="D449" s="3" t="str">
        <f>"4953"</f>
        <v>4953</v>
      </c>
      <c r="E449" s="3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49" s="3" t="str">
        <f>""</f>
        <v/>
      </c>
      <c r="G449" s="3" t="str">
        <f>""</f>
        <v/>
      </c>
      <c r="H449" s="3" t="str">
        <f>""</f>
        <v/>
      </c>
      <c r="I449" s="4">
        <v>199330231.81999999</v>
      </c>
    </row>
    <row r="450" spans="1:9" x14ac:dyDescent="0.25">
      <c r="A450" s="3">
        <v>440</v>
      </c>
      <c r="B450" s="5">
        <v>45471</v>
      </c>
      <c r="C450" s="3">
        <v>19</v>
      </c>
      <c r="D450" s="3" t="str">
        <f>"4954"</f>
        <v>4954</v>
      </c>
      <c r="E450" s="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50" s="3" t="str">
        <f>""</f>
        <v/>
      </c>
      <c r="G450" s="3" t="str">
        <f>""</f>
        <v/>
      </c>
      <c r="H450" s="3" t="str">
        <f>""</f>
        <v/>
      </c>
      <c r="I450" s="4">
        <v>698264296.19000006</v>
      </c>
    </row>
    <row r="451" spans="1:9" x14ac:dyDescent="0.25">
      <c r="A451" s="3">
        <v>442</v>
      </c>
      <c r="B451" s="5">
        <v>45471</v>
      </c>
      <c r="C451" s="3">
        <v>19</v>
      </c>
      <c r="D451" s="3" t="str">
        <f>"4955"</f>
        <v>4955</v>
      </c>
      <c r="E451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51" s="3" t="str">
        <f>""</f>
        <v/>
      </c>
      <c r="G451" s="3" t="str">
        <f>""</f>
        <v/>
      </c>
      <c r="H451" s="3" t="str">
        <f>""</f>
        <v/>
      </c>
      <c r="I451" s="4">
        <v>24724186525.66</v>
      </c>
    </row>
    <row r="452" spans="1:9" x14ac:dyDescent="0.25">
      <c r="A452" s="3">
        <v>446</v>
      </c>
      <c r="B452" s="5">
        <v>45471</v>
      </c>
      <c r="C452" s="3">
        <v>19</v>
      </c>
      <c r="D452" s="3" t="str">
        <f>"4956"</f>
        <v>4956</v>
      </c>
      <c r="E452" s="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52" s="3" t="str">
        <f>""</f>
        <v/>
      </c>
      <c r="G452" s="3" t="str">
        <f>""</f>
        <v/>
      </c>
      <c r="H452" s="3" t="str">
        <f>""</f>
        <v/>
      </c>
      <c r="I452" s="4">
        <v>2667561.4</v>
      </c>
    </row>
    <row r="453" spans="1:9" x14ac:dyDescent="0.25">
      <c r="A453" s="3">
        <v>443</v>
      </c>
      <c r="B453" s="5">
        <v>45471</v>
      </c>
      <c r="C453" s="3">
        <v>19</v>
      </c>
      <c r="D453" s="3" t="str">
        <f>"4957"</f>
        <v>4957</v>
      </c>
      <c r="E453" s="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53" s="3" t="str">
        <f>""</f>
        <v/>
      </c>
      <c r="G453" s="3" t="str">
        <f>""</f>
        <v/>
      </c>
      <c r="H453" s="3" t="str">
        <f>""</f>
        <v/>
      </c>
      <c r="I453" s="4">
        <v>455569982.38999999</v>
      </c>
    </row>
    <row r="454" spans="1:9" x14ac:dyDescent="0.25">
      <c r="A454" s="3">
        <v>445</v>
      </c>
      <c r="B454" s="5">
        <v>45471</v>
      </c>
      <c r="C454" s="3">
        <v>19</v>
      </c>
      <c r="D454" s="3" t="str">
        <f>"4958"</f>
        <v>4958</v>
      </c>
      <c r="E454" s="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54" s="3" t="str">
        <f>""</f>
        <v/>
      </c>
      <c r="G454" s="3" t="str">
        <f>""</f>
        <v/>
      </c>
      <c r="H454" s="3" t="str">
        <f>""</f>
        <v/>
      </c>
      <c r="I454" s="4">
        <v>32291044.16</v>
      </c>
    </row>
    <row r="455" spans="1:9" x14ac:dyDescent="0.25">
      <c r="A455" s="3">
        <v>444</v>
      </c>
      <c r="B455" s="5">
        <v>45471</v>
      </c>
      <c r="C455" s="3">
        <v>19</v>
      </c>
      <c r="D455" s="3" t="str">
        <f>"5124"</f>
        <v>5124</v>
      </c>
      <c r="E455" s="3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55" s="3" t="str">
        <f>""</f>
        <v/>
      </c>
      <c r="G455" s="3" t="str">
        <f>""</f>
        <v/>
      </c>
      <c r="H455" s="3" t="str">
        <f>""</f>
        <v/>
      </c>
      <c r="I455" s="4">
        <v>732756944.49000001</v>
      </c>
    </row>
    <row r="456" spans="1:9" x14ac:dyDescent="0.25">
      <c r="A456" s="3">
        <v>449</v>
      </c>
      <c r="B456" s="5">
        <v>45471</v>
      </c>
      <c r="C456" s="3">
        <v>19</v>
      </c>
      <c r="D456" s="3" t="str">
        <f>"5211"</f>
        <v>5211</v>
      </c>
      <c r="E456" s="3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56" s="3" t="str">
        <f>""</f>
        <v/>
      </c>
      <c r="G456" s="3" t="str">
        <f>""</f>
        <v/>
      </c>
      <c r="H456" s="3" t="str">
        <f>""</f>
        <v/>
      </c>
      <c r="I456" s="4">
        <v>16065118.720000001</v>
      </c>
    </row>
    <row r="457" spans="1:9" x14ac:dyDescent="0.25">
      <c r="A457" s="3">
        <v>448</v>
      </c>
      <c r="B457" s="5">
        <v>45471</v>
      </c>
      <c r="C457" s="3">
        <v>19</v>
      </c>
      <c r="D457" s="3" t="str">
        <f>"5215"</f>
        <v>5215</v>
      </c>
      <c r="E457" s="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57" s="3" t="str">
        <f>""</f>
        <v/>
      </c>
      <c r="G457" s="3" t="str">
        <f>""</f>
        <v/>
      </c>
      <c r="H457" s="3" t="str">
        <f>""</f>
        <v/>
      </c>
      <c r="I457" s="4">
        <v>75477733072.339996</v>
      </c>
    </row>
    <row r="458" spans="1:9" x14ac:dyDescent="0.25">
      <c r="A458" s="3">
        <v>447</v>
      </c>
      <c r="B458" s="5">
        <v>45471</v>
      </c>
      <c r="C458" s="3">
        <v>19</v>
      </c>
      <c r="D458" s="3" t="str">
        <f>"5217"</f>
        <v>5217</v>
      </c>
      <c r="E458" s="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58" s="3" t="str">
        <f>""</f>
        <v/>
      </c>
      <c r="G458" s="3" t="str">
        <f>""</f>
        <v/>
      </c>
      <c r="H458" s="3" t="str">
        <f>""</f>
        <v/>
      </c>
      <c r="I458" s="4">
        <v>212337699274.97</v>
      </c>
    </row>
    <row r="459" spans="1:9" x14ac:dyDescent="0.25">
      <c r="A459" s="3">
        <v>477</v>
      </c>
      <c r="B459" s="5">
        <v>45471</v>
      </c>
      <c r="C459" s="3">
        <v>19</v>
      </c>
      <c r="D459" s="3" t="str">
        <f>"5219"</f>
        <v>5219</v>
      </c>
      <c r="E459" s="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9" s="3" t="str">
        <f>""</f>
        <v/>
      </c>
      <c r="G459" s="3" t="str">
        <f>""</f>
        <v/>
      </c>
      <c r="H459" s="3" t="str">
        <f>""</f>
        <v/>
      </c>
      <c r="I459" s="4">
        <v>112314.08</v>
      </c>
    </row>
    <row r="460" spans="1:9" x14ac:dyDescent="0.25">
      <c r="A460" s="3">
        <v>456</v>
      </c>
      <c r="B460" s="5">
        <v>45471</v>
      </c>
      <c r="C460" s="3">
        <v>19</v>
      </c>
      <c r="D460" s="3" t="str">
        <f>"5236"</f>
        <v>5236</v>
      </c>
      <c r="E460" s="3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60" s="3" t="str">
        <f>""</f>
        <v/>
      </c>
      <c r="G460" s="3" t="str">
        <f>""</f>
        <v/>
      </c>
      <c r="H460" s="3" t="str">
        <f>""</f>
        <v/>
      </c>
      <c r="I460" s="4">
        <v>104814511.05</v>
      </c>
    </row>
    <row r="461" spans="1:9" x14ac:dyDescent="0.25">
      <c r="A461" s="3">
        <v>450</v>
      </c>
      <c r="B461" s="5">
        <v>45471</v>
      </c>
      <c r="C461" s="3">
        <v>19</v>
      </c>
      <c r="D461" s="3" t="str">
        <f>"5240"</f>
        <v>5240</v>
      </c>
      <c r="E461" s="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61" s="3" t="str">
        <f>""</f>
        <v/>
      </c>
      <c r="G461" s="3" t="str">
        <f>""</f>
        <v/>
      </c>
      <c r="H461" s="3" t="str">
        <f>""</f>
        <v/>
      </c>
      <c r="I461" s="4">
        <v>23357199572.380001</v>
      </c>
    </row>
    <row r="462" spans="1:9" x14ac:dyDescent="0.25">
      <c r="A462" s="3">
        <v>452</v>
      </c>
      <c r="B462" s="5">
        <v>45471</v>
      </c>
      <c r="C462" s="3">
        <v>19</v>
      </c>
      <c r="D462" s="3" t="str">
        <f>"5250"</f>
        <v>5250</v>
      </c>
      <c r="E462" s="3" t="s">
        <v>10</v>
      </c>
      <c r="F462" s="3" t="str">
        <f>""</f>
        <v/>
      </c>
      <c r="G462" s="3" t="str">
        <f>""</f>
        <v/>
      </c>
      <c r="H462" s="3" t="str">
        <f>""</f>
        <v/>
      </c>
      <c r="I462" s="4">
        <v>5276215890.4899998</v>
      </c>
    </row>
    <row r="463" spans="1:9" x14ac:dyDescent="0.25">
      <c r="A463" s="3">
        <v>451</v>
      </c>
      <c r="B463" s="5">
        <v>45471</v>
      </c>
      <c r="C463" s="3">
        <v>19</v>
      </c>
      <c r="D463" s="3" t="str">
        <f>"5301"</f>
        <v>5301</v>
      </c>
      <c r="E463" s="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63" s="3" t="str">
        <f>""</f>
        <v/>
      </c>
      <c r="G463" s="3" t="str">
        <f>""</f>
        <v/>
      </c>
      <c r="H463" s="3" t="str">
        <f>""</f>
        <v/>
      </c>
      <c r="I463" s="4">
        <v>2767014972.7600002</v>
      </c>
    </row>
    <row r="464" spans="1:9" x14ac:dyDescent="0.25">
      <c r="A464" s="3">
        <v>453</v>
      </c>
      <c r="B464" s="5">
        <v>45471</v>
      </c>
      <c r="C464" s="3">
        <v>19</v>
      </c>
      <c r="D464" s="3" t="str">
        <f>"5306"</f>
        <v>5306</v>
      </c>
      <c r="E464" s="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64" s="3" t="str">
        <f>""</f>
        <v/>
      </c>
      <c r="G464" s="3" t="str">
        <f>""</f>
        <v/>
      </c>
      <c r="H464" s="3" t="str">
        <f>""</f>
        <v/>
      </c>
      <c r="I464" s="4">
        <v>790163116.89999998</v>
      </c>
    </row>
    <row r="465" spans="1:9" x14ac:dyDescent="0.25">
      <c r="A465" s="3">
        <v>469</v>
      </c>
      <c r="B465" s="5">
        <v>45471</v>
      </c>
      <c r="C465" s="3">
        <v>19</v>
      </c>
      <c r="D465" s="3" t="str">
        <f>"5307"</f>
        <v>5307</v>
      </c>
      <c r="E465" s="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65" s="3" t="str">
        <f>""</f>
        <v/>
      </c>
      <c r="G465" s="3" t="str">
        <f>""</f>
        <v/>
      </c>
      <c r="H465" s="3" t="str">
        <f>""</f>
        <v/>
      </c>
      <c r="I465" s="4">
        <v>22300360.219999999</v>
      </c>
    </row>
    <row r="466" spans="1:9" x14ac:dyDescent="0.25">
      <c r="A466" s="3">
        <v>454</v>
      </c>
      <c r="B466" s="5">
        <v>45471</v>
      </c>
      <c r="C466" s="3">
        <v>19</v>
      </c>
      <c r="D466" s="3" t="str">
        <f>"5404"</f>
        <v>5404</v>
      </c>
      <c r="E466" s="3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66" s="3" t="str">
        <f>""</f>
        <v/>
      </c>
      <c r="G466" s="3" t="str">
        <f>""</f>
        <v/>
      </c>
      <c r="H466" s="3" t="str">
        <f>""</f>
        <v/>
      </c>
      <c r="I466" s="4">
        <v>21475108.75</v>
      </c>
    </row>
    <row r="467" spans="1:9" x14ac:dyDescent="0.25">
      <c r="A467" s="3">
        <v>455</v>
      </c>
      <c r="B467" s="5">
        <v>45471</v>
      </c>
      <c r="C467" s="3">
        <v>19</v>
      </c>
      <c r="D467" s="3" t="str">
        <f>"5406"</f>
        <v>5406</v>
      </c>
      <c r="E467" s="3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67" s="3" t="str">
        <f>""</f>
        <v/>
      </c>
      <c r="G467" s="3" t="str">
        <f>""</f>
        <v/>
      </c>
      <c r="H467" s="3" t="str">
        <f>""</f>
        <v/>
      </c>
      <c r="I467" s="4">
        <v>3161865329.0900002</v>
      </c>
    </row>
    <row r="468" spans="1:9" x14ac:dyDescent="0.25">
      <c r="A468" s="3">
        <v>457</v>
      </c>
      <c r="B468" s="5">
        <v>45471</v>
      </c>
      <c r="C468" s="3">
        <v>19</v>
      </c>
      <c r="D468" s="3" t="str">
        <f>"5451"</f>
        <v>5451</v>
      </c>
      <c r="E468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68" s="3" t="str">
        <f>""</f>
        <v/>
      </c>
      <c r="G468" s="3" t="str">
        <f>""</f>
        <v/>
      </c>
      <c r="H468" s="3" t="str">
        <f>""</f>
        <v/>
      </c>
      <c r="I468" s="4">
        <v>16369807.029999999</v>
      </c>
    </row>
    <row r="469" spans="1:9" x14ac:dyDescent="0.25">
      <c r="A469" s="3">
        <v>463</v>
      </c>
      <c r="B469" s="5">
        <v>45471</v>
      </c>
      <c r="C469" s="3">
        <v>19</v>
      </c>
      <c r="D469" s="3" t="str">
        <f>"5453"</f>
        <v>5453</v>
      </c>
      <c r="E469" s="3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9" s="3" t="str">
        <f>""</f>
        <v/>
      </c>
      <c r="G469" s="3" t="str">
        <f>""</f>
        <v/>
      </c>
      <c r="H469" s="3" t="str">
        <f>""</f>
        <v/>
      </c>
      <c r="I469" s="4">
        <v>1742909446.78</v>
      </c>
    </row>
    <row r="470" spans="1:9" x14ac:dyDescent="0.25">
      <c r="A470" s="3">
        <v>460</v>
      </c>
      <c r="B470" s="5">
        <v>45471</v>
      </c>
      <c r="C470" s="3">
        <v>19</v>
      </c>
      <c r="D470" s="3" t="str">
        <f>"5455"</f>
        <v>5455</v>
      </c>
      <c r="E470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70" s="3" t="str">
        <f>""</f>
        <v/>
      </c>
      <c r="G470" s="3" t="str">
        <f>""</f>
        <v/>
      </c>
      <c r="H470" s="3" t="str">
        <f>""</f>
        <v/>
      </c>
      <c r="I470" s="4">
        <v>80756657495.690002</v>
      </c>
    </row>
    <row r="471" spans="1:9" x14ac:dyDescent="0.25">
      <c r="A471" s="3">
        <v>459</v>
      </c>
      <c r="B471" s="5">
        <v>45471</v>
      </c>
      <c r="C471" s="3">
        <v>19</v>
      </c>
      <c r="D471" s="3" t="str">
        <f>"5456"</f>
        <v>5456</v>
      </c>
      <c r="E471" s="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71" s="3" t="str">
        <f>""</f>
        <v/>
      </c>
      <c r="G471" s="3" t="str">
        <f>""</f>
        <v/>
      </c>
      <c r="H471" s="3" t="str">
        <f>""</f>
        <v/>
      </c>
      <c r="I471" s="4">
        <v>1633756.82</v>
      </c>
    </row>
    <row r="472" spans="1:9" x14ac:dyDescent="0.25">
      <c r="A472" s="3">
        <v>462</v>
      </c>
      <c r="B472" s="5">
        <v>45471</v>
      </c>
      <c r="C472" s="3">
        <v>19</v>
      </c>
      <c r="D472" s="3" t="str">
        <f>"5457"</f>
        <v>5457</v>
      </c>
      <c r="E472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72" s="3" t="str">
        <f>""</f>
        <v/>
      </c>
      <c r="G472" s="3" t="str">
        <f>""</f>
        <v/>
      </c>
      <c r="H472" s="3" t="str">
        <f>""</f>
        <v/>
      </c>
      <c r="I472" s="4">
        <v>554932761.65999997</v>
      </c>
    </row>
    <row r="473" spans="1:9" x14ac:dyDescent="0.25">
      <c r="A473" s="3">
        <v>461</v>
      </c>
      <c r="B473" s="5">
        <v>45471</v>
      </c>
      <c r="C473" s="3">
        <v>19</v>
      </c>
      <c r="D473" s="3" t="str">
        <f>"5464"</f>
        <v>5464</v>
      </c>
      <c r="E473" s="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73" s="3" t="str">
        <f>""</f>
        <v/>
      </c>
      <c r="G473" s="3" t="str">
        <f>""</f>
        <v/>
      </c>
      <c r="H473" s="3" t="str">
        <f>""</f>
        <v/>
      </c>
      <c r="I473" s="4">
        <v>439081763.52999997</v>
      </c>
    </row>
    <row r="474" spans="1:9" x14ac:dyDescent="0.25">
      <c r="A474" s="3">
        <v>465</v>
      </c>
      <c r="B474" s="5">
        <v>45471</v>
      </c>
      <c r="C474" s="3">
        <v>19</v>
      </c>
      <c r="D474" s="3" t="str">
        <f>"5510"</f>
        <v>5510</v>
      </c>
      <c r="E474" s="3" t="str">
        <f>"Расходы по купле-продаже ценных бумаг"</f>
        <v>Расходы по купле-продаже ценных бумаг</v>
      </c>
      <c r="F474" s="3" t="str">
        <f>""</f>
        <v/>
      </c>
      <c r="G474" s="3" t="str">
        <f>""</f>
        <v/>
      </c>
      <c r="H474" s="3" t="str">
        <f>""</f>
        <v/>
      </c>
      <c r="I474" s="4">
        <v>234503836.94</v>
      </c>
    </row>
    <row r="475" spans="1:9" x14ac:dyDescent="0.25">
      <c r="A475" s="3">
        <v>464</v>
      </c>
      <c r="B475" s="5">
        <v>45471</v>
      </c>
      <c r="C475" s="3">
        <v>19</v>
      </c>
      <c r="D475" s="3" t="str">
        <f>"5530"</f>
        <v>5530</v>
      </c>
      <c r="E475" s="3" t="str">
        <f>"Расходы по купле-продаже иностранной валюты"</f>
        <v>Расходы по купле-продаже иностранной валюты</v>
      </c>
      <c r="F475" s="3" t="str">
        <f>""</f>
        <v/>
      </c>
      <c r="G475" s="3" t="str">
        <f>""</f>
        <v/>
      </c>
      <c r="H475" s="3" t="str">
        <f>""</f>
        <v/>
      </c>
      <c r="I475" s="4">
        <v>1836294705.47</v>
      </c>
    </row>
    <row r="476" spans="1:9" x14ac:dyDescent="0.25">
      <c r="A476" s="3">
        <v>466</v>
      </c>
      <c r="B476" s="5">
        <v>45471</v>
      </c>
      <c r="C476" s="3">
        <v>19</v>
      </c>
      <c r="D476" s="3" t="str">
        <f>"5570"</f>
        <v>5570</v>
      </c>
      <c r="E476" s="3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76" s="3" t="str">
        <f>""</f>
        <v/>
      </c>
      <c r="G476" s="3" t="str">
        <f>""</f>
        <v/>
      </c>
      <c r="H476" s="3" t="str">
        <f>""</f>
        <v/>
      </c>
      <c r="I476" s="4">
        <v>6331835756.75</v>
      </c>
    </row>
    <row r="477" spans="1:9" x14ac:dyDescent="0.25">
      <c r="A477" s="3">
        <v>467</v>
      </c>
      <c r="B477" s="5">
        <v>45471</v>
      </c>
      <c r="C477" s="3">
        <v>19</v>
      </c>
      <c r="D477" s="3" t="str">
        <f>"5593"</f>
        <v>5593</v>
      </c>
      <c r="E477" s="3" t="str">
        <f>"Расходы от переоценки операций своп"</f>
        <v>Расходы от переоценки операций своп</v>
      </c>
      <c r="F477" s="3" t="str">
        <f>""</f>
        <v/>
      </c>
      <c r="G477" s="3" t="str">
        <f>""</f>
        <v/>
      </c>
      <c r="H477" s="3" t="str">
        <f>""</f>
        <v/>
      </c>
      <c r="I477" s="4">
        <v>29411964266.290001</v>
      </c>
    </row>
    <row r="478" spans="1:9" x14ac:dyDescent="0.25">
      <c r="A478" s="3">
        <v>470</v>
      </c>
      <c r="B478" s="5">
        <v>45471</v>
      </c>
      <c r="C478" s="3">
        <v>19</v>
      </c>
      <c r="D478" s="3" t="str">
        <f>"5601"</f>
        <v>5601</v>
      </c>
      <c r="E478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78" s="3" t="str">
        <f>""</f>
        <v/>
      </c>
      <c r="G478" s="3" t="str">
        <f>""</f>
        <v/>
      </c>
      <c r="H478" s="3" t="str">
        <f>""</f>
        <v/>
      </c>
      <c r="I478" s="4">
        <v>747255252.11000001</v>
      </c>
    </row>
    <row r="479" spans="1:9" x14ac:dyDescent="0.25">
      <c r="A479" s="3">
        <v>474</v>
      </c>
      <c r="B479" s="5">
        <v>45471</v>
      </c>
      <c r="C479" s="3">
        <v>19</v>
      </c>
      <c r="D479" s="3" t="str">
        <f>"5602"</f>
        <v>5602</v>
      </c>
      <c r="E479" s="3" t="str">
        <f>"Комиссионные расходы по полученным агентским услугам"</f>
        <v>Комиссионные расходы по полученным агентским услугам</v>
      </c>
      <c r="F479" s="3" t="str">
        <f>""</f>
        <v/>
      </c>
      <c r="G479" s="3" t="str">
        <f>""</f>
        <v/>
      </c>
      <c r="H479" s="3" t="str">
        <f>""</f>
        <v/>
      </c>
      <c r="I479" s="4">
        <v>398078063.82999998</v>
      </c>
    </row>
    <row r="480" spans="1:9" x14ac:dyDescent="0.25">
      <c r="A480" s="3">
        <v>506</v>
      </c>
      <c r="B480" s="5">
        <v>45471</v>
      </c>
      <c r="C480" s="3">
        <v>19</v>
      </c>
      <c r="D480" s="3" t="str">
        <f>"5603"</f>
        <v>5603</v>
      </c>
      <c r="E480" s="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80" s="3" t="str">
        <f>""</f>
        <v/>
      </c>
      <c r="G480" s="3" t="str">
        <f>""</f>
        <v/>
      </c>
      <c r="H480" s="3" t="str">
        <f>""</f>
        <v/>
      </c>
      <c r="I480" s="4">
        <v>289309731.76999998</v>
      </c>
    </row>
    <row r="481" spans="1:9" x14ac:dyDescent="0.25">
      <c r="A481" s="3">
        <v>471</v>
      </c>
      <c r="B481" s="5">
        <v>45471</v>
      </c>
      <c r="C481" s="3">
        <v>19</v>
      </c>
      <c r="D481" s="3" t="str">
        <f>"5604"</f>
        <v>5604</v>
      </c>
      <c r="E481" s="3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81" s="3" t="str">
        <f>""</f>
        <v/>
      </c>
      <c r="G481" s="3" t="str">
        <f>""</f>
        <v/>
      </c>
      <c r="H481" s="3" t="str">
        <f>""</f>
        <v/>
      </c>
      <c r="I481" s="4">
        <v>105166269.03</v>
      </c>
    </row>
    <row r="482" spans="1:9" x14ac:dyDescent="0.25">
      <c r="A482" s="3">
        <v>472</v>
      </c>
      <c r="B482" s="5">
        <v>45471</v>
      </c>
      <c r="C482" s="3">
        <v>19</v>
      </c>
      <c r="D482" s="3" t="str">
        <f>"5608"</f>
        <v>5608</v>
      </c>
      <c r="E482" s="3" t="str">
        <f>"Прочие комиссионные расходы"</f>
        <v>Прочие комиссионные расходы</v>
      </c>
      <c r="F482" s="3" t="str">
        <f>""</f>
        <v/>
      </c>
      <c r="G482" s="3" t="str">
        <f>""</f>
        <v/>
      </c>
      <c r="H482" s="3" t="str">
        <f>""</f>
        <v/>
      </c>
      <c r="I482" s="4">
        <v>14843359453.99</v>
      </c>
    </row>
    <row r="483" spans="1:9" x14ac:dyDescent="0.25">
      <c r="A483" s="3">
        <v>492</v>
      </c>
      <c r="B483" s="5">
        <v>45471</v>
      </c>
      <c r="C483" s="3">
        <v>19</v>
      </c>
      <c r="D483" s="3" t="str">
        <f>"5609"</f>
        <v>5609</v>
      </c>
      <c r="E483" s="3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83" s="3" t="str">
        <f>""</f>
        <v/>
      </c>
      <c r="G483" s="3" t="str">
        <f>""</f>
        <v/>
      </c>
      <c r="H483" s="3" t="str">
        <f>""</f>
        <v/>
      </c>
      <c r="I483" s="4">
        <v>9096743.2200000007</v>
      </c>
    </row>
    <row r="484" spans="1:9" x14ac:dyDescent="0.25">
      <c r="A484" s="3">
        <v>473</v>
      </c>
      <c r="B484" s="5">
        <v>45471</v>
      </c>
      <c r="C484" s="3">
        <v>19</v>
      </c>
      <c r="D484" s="3" t="str">
        <f>"5610"</f>
        <v>5610</v>
      </c>
      <c r="E484" s="3" t="str">
        <f>"Комиссионные расходы по документарным расчетам"</f>
        <v>Комиссионные расходы по документарным расчетам</v>
      </c>
      <c r="F484" s="3" t="str">
        <f>""</f>
        <v/>
      </c>
      <c r="G484" s="3" t="str">
        <f>""</f>
        <v/>
      </c>
      <c r="H484" s="3" t="str">
        <f>""</f>
        <v/>
      </c>
      <c r="I484" s="4">
        <v>9119525.0899999999</v>
      </c>
    </row>
    <row r="485" spans="1:9" x14ac:dyDescent="0.25">
      <c r="A485" s="3">
        <v>476</v>
      </c>
      <c r="B485" s="5">
        <v>45471</v>
      </c>
      <c r="C485" s="3">
        <v>19</v>
      </c>
      <c r="D485" s="3" t="str">
        <f>"5703"</f>
        <v>5703</v>
      </c>
      <c r="E485" s="3" t="str">
        <f>"Расходы от переоценки иностранной валюты"</f>
        <v>Расходы от переоценки иностранной валюты</v>
      </c>
      <c r="F485" s="3" t="str">
        <f>""</f>
        <v/>
      </c>
      <c r="G485" s="3" t="str">
        <f>""</f>
        <v/>
      </c>
      <c r="H485" s="3" t="str">
        <f>""</f>
        <v/>
      </c>
      <c r="I485" s="4">
        <v>161386146754.42001</v>
      </c>
    </row>
    <row r="486" spans="1:9" x14ac:dyDescent="0.25">
      <c r="A486" s="3">
        <v>475</v>
      </c>
      <c r="B486" s="5">
        <v>45471</v>
      </c>
      <c r="C486" s="3">
        <v>19</v>
      </c>
      <c r="D486" s="3" t="str">
        <f>"5721"</f>
        <v>5721</v>
      </c>
      <c r="E486" s="3" t="str">
        <f>"Расходы по оплате труда"</f>
        <v>Расходы по оплате труда</v>
      </c>
      <c r="F486" s="3" t="str">
        <f>""</f>
        <v/>
      </c>
      <c r="G486" s="3" t="str">
        <f>""</f>
        <v/>
      </c>
      <c r="H486" s="3" t="str">
        <f>""</f>
        <v/>
      </c>
      <c r="I486" s="4">
        <v>26700041872.93</v>
      </c>
    </row>
    <row r="487" spans="1:9" x14ac:dyDescent="0.25">
      <c r="A487" s="3">
        <v>479</v>
      </c>
      <c r="B487" s="5">
        <v>45471</v>
      </c>
      <c r="C487" s="3">
        <v>19</v>
      </c>
      <c r="D487" s="3" t="str">
        <f>"5722"</f>
        <v>5722</v>
      </c>
      <c r="E487" s="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87" s="3" t="str">
        <f>""</f>
        <v/>
      </c>
      <c r="G487" s="3" t="str">
        <f>""</f>
        <v/>
      </c>
      <c r="H487" s="3" t="str">
        <f>""</f>
        <v/>
      </c>
      <c r="I487" s="4">
        <v>1564911887</v>
      </c>
    </row>
    <row r="488" spans="1:9" x14ac:dyDescent="0.25">
      <c r="A488" s="3">
        <v>481</v>
      </c>
      <c r="B488" s="5">
        <v>45471</v>
      </c>
      <c r="C488" s="3">
        <v>19</v>
      </c>
      <c r="D488" s="3" t="str">
        <f>"5729"</f>
        <v>5729</v>
      </c>
      <c r="E488" s="3" t="str">
        <f>"Прочие выплаты"</f>
        <v>Прочие выплаты</v>
      </c>
      <c r="F488" s="3" t="str">
        <f>""</f>
        <v/>
      </c>
      <c r="G488" s="3" t="str">
        <f>""</f>
        <v/>
      </c>
      <c r="H488" s="3" t="str">
        <f>""</f>
        <v/>
      </c>
      <c r="I488" s="4">
        <v>1599344406.51</v>
      </c>
    </row>
    <row r="489" spans="1:9" x14ac:dyDescent="0.25">
      <c r="A489" s="3">
        <v>480</v>
      </c>
      <c r="B489" s="5">
        <v>45471</v>
      </c>
      <c r="C489" s="3">
        <v>19</v>
      </c>
      <c r="D489" s="3" t="str">
        <f>"5733"</f>
        <v>5733</v>
      </c>
      <c r="E489" s="3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89" s="3" t="str">
        <f>""</f>
        <v/>
      </c>
      <c r="G489" s="3" t="str">
        <f>""</f>
        <v/>
      </c>
      <c r="H489" s="3" t="str">
        <f>""</f>
        <v/>
      </c>
      <c r="I489" s="4">
        <v>56900133061.379997</v>
      </c>
    </row>
    <row r="490" spans="1:9" x14ac:dyDescent="0.25">
      <c r="A490" s="3">
        <v>488</v>
      </c>
      <c r="B490" s="5">
        <v>45471</v>
      </c>
      <c r="C490" s="3">
        <v>19</v>
      </c>
      <c r="D490" s="3" t="str">
        <f>"5734"</f>
        <v>5734</v>
      </c>
      <c r="E490" s="3" t="str">
        <f>"Расходы от прочей переоценки"</f>
        <v>Расходы от прочей переоценки</v>
      </c>
      <c r="F490" s="3" t="str">
        <f>""</f>
        <v/>
      </c>
      <c r="G490" s="3" t="str">
        <f>""</f>
        <v/>
      </c>
      <c r="H490" s="3" t="str">
        <f>""</f>
        <v/>
      </c>
      <c r="I490" s="4">
        <v>1320301.03</v>
      </c>
    </row>
    <row r="491" spans="1:9" x14ac:dyDescent="0.25">
      <c r="A491" s="3">
        <v>482</v>
      </c>
      <c r="B491" s="5">
        <v>45471</v>
      </c>
      <c r="C491" s="3">
        <v>19</v>
      </c>
      <c r="D491" s="3" t="str">
        <f>"5741"</f>
        <v>5741</v>
      </c>
      <c r="E491" s="3" t="str">
        <f>"Транспортные расходы"</f>
        <v>Транспортные расходы</v>
      </c>
      <c r="F491" s="3" t="str">
        <f>""</f>
        <v/>
      </c>
      <c r="G491" s="3" t="str">
        <f>""</f>
        <v/>
      </c>
      <c r="H491" s="3" t="str">
        <f>""</f>
        <v/>
      </c>
      <c r="I491" s="4">
        <v>447417124.56999999</v>
      </c>
    </row>
    <row r="492" spans="1:9" x14ac:dyDescent="0.25">
      <c r="A492" s="3">
        <v>485</v>
      </c>
      <c r="B492" s="5">
        <v>45471</v>
      </c>
      <c r="C492" s="3">
        <v>19</v>
      </c>
      <c r="D492" s="3" t="str">
        <f>"5742"</f>
        <v>5742</v>
      </c>
      <c r="E492" s="3" t="str">
        <f>"Административные расходы"</f>
        <v>Административные расходы</v>
      </c>
      <c r="F492" s="3" t="str">
        <f>""</f>
        <v/>
      </c>
      <c r="G492" s="3" t="str">
        <f>""</f>
        <v/>
      </c>
      <c r="H492" s="3" t="str">
        <f>""</f>
        <v/>
      </c>
      <c r="I492" s="4">
        <v>6855657020.4499998</v>
      </c>
    </row>
    <row r="493" spans="1:9" x14ac:dyDescent="0.25">
      <c r="A493" s="3">
        <v>483</v>
      </c>
      <c r="B493" s="5">
        <v>45471</v>
      </c>
      <c r="C493" s="3">
        <v>19</v>
      </c>
      <c r="D493" s="3" t="str">
        <f>"5743"</f>
        <v>5743</v>
      </c>
      <c r="E493" s="3" t="str">
        <f>"Расходы на инкассацию"</f>
        <v>Расходы на инкассацию</v>
      </c>
      <c r="F493" s="3" t="str">
        <f>""</f>
        <v/>
      </c>
      <c r="G493" s="3" t="str">
        <f>""</f>
        <v/>
      </c>
      <c r="H493" s="3" t="str">
        <f>""</f>
        <v/>
      </c>
      <c r="I493" s="4">
        <v>28234872.91</v>
      </c>
    </row>
    <row r="494" spans="1:9" x14ac:dyDescent="0.25">
      <c r="A494" s="3">
        <v>489</v>
      </c>
      <c r="B494" s="5">
        <v>45471</v>
      </c>
      <c r="C494" s="3">
        <v>19</v>
      </c>
      <c r="D494" s="3" t="str">
        <f>"5744"</f>
        <v>5744</v>
      </c>
      <c r="E494" s="3" t="str">
        <f>"Расходы на ремонт"</f>
        <v>Расходы на ремонт</v>
      </c>
      <c r="F494" s="3" t="str">
        <f>""</f>
        <v/>
      </c>
      <c r="G494" s="3" t="str">
        <f>""</f>
        <v/>
      </c>
      <c r="H494" s="3" t="str">
        <f>""</f>
        <v/>
      </c>
      <c r="I494" s="4">
        <v>696408091.29999995</v>
      </c>
    </row>
    <row r="495" spans="1:9" x14ac:dyDescent="0.25">
      <c r="A495" s="3">
        <v>486</v>
      </c>
      <c r="B495" s="5">
        <v>45471</v>
      </c>
      <c r="C495" s="3">
        <v>19</v>
      </c>
      <c r="D495" s="3" t="str">
        <f>"5745"</f>
        <v>5745</v>
      </c>
      <c r="E495" s="3" t="str">
        <f>"Расходы на рекламу"</f>
        <v>Расходы на рекламу</v>
      </c>
      <c r="F495" s="3" t="str">
        <f>""</f>
        <v/>
      </c>
      <c r="G495" s="3" t="str">
        <f>""</f>
        <v/>
      </c>
      <c r="H495" s="3" t="str">
        <f>""</f>
        <v/>
      </c>
      <c r="I495" s="4">
        <v>6248010091.4099998</v>
      </c>
    </row>
    <row r="496" spans="1:9" x14ac:dyDescent="0.25">
      <c r="A496" s="3">
        <v>484</v>
      </c>
      <c r="B496" s="5">
        <v>45471</v>
      </c>
      <c r="C496" s="3">
        <v>19</v>
      </c>
      <c r="D496" s="3" t="str">
        <f>"5746"</f>
        <v>5746</v>
      </c>
      <c r="E496" s="3" t="str">
        <f>"Расходы на охрану и сигнализацию"</f>
        <v>Расходы на охрану и сигнализацию</v>
      </c>
      <c r="F496" s="3" t="str">
        <f>""</f>
        <v/>
      </c>
      <c r="G496" s="3" t="str">
        <f>""</f>
        <v/>
      </c>
      <c r="H496" s="3" t="str">
        <f>""</f>
        <v/>
      </c>
      <c r="I496" s="4">
        <v>885197031.87</v>
      </c>
    </row>
    <row r="497" spans="1:9" x14ac:dyDescent="0.25">
      <c r="A497" s="3">
        <v>487</v>
      </c>
      <c r="B497" s="5">
        <v>45471</v>
      </c>
      <c r="C497" s="3">
        <v>19</v>
      </c>
      <c r="D497" s="3" t="str">
        <f>"5747"</f>
        <v>5747</v>
      </c>
      <c r="E497" s="3" t="str">
        <f>"Представительские расходы"</f>
        <v>Представительские расходы</v>
      </c>
      <c r="F497" s="3" t="str">
        <f>""</f>
        <v/>
      </c>
      <c r="G497" s="3" t="str">
        <f>""</f>
        <v/>
      </c>
      <c r="H497" s="3" t="str">
        <f>""</f>
        <v/>
      </c>
      <c r="I497" s="4">
        <v>100329893.61</v>
      </c>
    </row>
    <row r="498" spans="1:9" x14ac:dyDescent="0.25">
      <c r="A498" s="3">
        <v>491</v>
      </c>
      <c r="B498" s="5">
        <v>45471</v>
      </c>
      <c r="C498" s="3">
        <v>19</v>
      </c>
      <c r="D498" s="3" t="str">
        <f>"5748"</f>
        <v>5748</v>
      </c>
      <c r="E498" s="3" t="str">
        <f>"Прочие общехозяйственные расходы"</f>
        <v>Прочие общехозяйственные расходы</v>
      </c>
      <c r="F498" s="3" t="str">
        <f>""</f>
        <v/>
      </c>
      <c r="G498" s="3" t="str">
        <f>""</f>
        <v/>
      </c>
      <c r="H498" s="3" t="str">
        <f>""</f>
        <v/>
      </c>
      <c r="I498" s="4">
        <v>991773611.95000005</v>
      </c>
    </row>
    <row r="499" spans="1:9" x14ac:dyDescent="0.25">
      <c r="A499" s="3">
        <v>490</v>
      </c>
      <c r="B499" s="5">
        <v>45471</v>
      </c>
      <c r="C499" s="3">
        <v>19</v>
      </c>
      <c r="D499" s="3" t="str">
        <f>"5749"</f>
        <v>5749</v>
      </c>
      <c r="E499" s="3" t="str">
        <f>"Расходы на служебные командировки"</f>
        <v>Расходы на служебные командировки</v>
      </c>
      <c r="F499" s="3" t="str">
        <f>""</f>
        <v/>
      </c>
      <c r="G499" s="3" t="str">
        <f>""</f>
        <v/>
      </c>
      <c r="H499" s="3" t="str">
        <f>""</f>
        <v/>
      </c>
      <c r="I499" s="4">
        <v>345277439.88999999</v>
      </c>
    </row>
    <row r="500" spans="1:9" x14ac:dyDescent="0.25">
      <c r="A500" s="3">
        <v>494</v>
      </c>
      <c r="B500" s="5">
        <v>45471</v>
      </c>
      <c r="C500" s="3">
        <v>19</v>
      </c>
      <c r="D500" s="3" t="str">
        <f>"5750"</f>
        <v>5750</v>
      </c>
      <c r="E500" s="3" t="str">
        <f>"Расходы по аудиту и консультационным услугам"</f>
        <v>Расходы по аудиту и консультационным услугам</v>
      </c>
      <c r="F500" s="3" t="str">
        <f>""</f>
        <v/>
      </c>
      <c r="G500" s="3" t="str">
        <f>""</f>
        <v/>
      </c>
      <c r="H500" s="3" t="str">
        <f>""</f>
        <v/>
      </c>
      <c r="I500" s="4">
        <v>93422812.239999995</v>
      </c>
    </row>
    <row r="501" spans="1:9" x14ac:dyDescent="0.25">
      <c r="A501" s="3">
        <v>493</v>
      </c>
      <c r="B501" s="5">
        <v>45471</v>
      </c>
      <c r="C501" s="3">
        <v>19</v>
      </c>
      <c r="D501" s="3" t="str">
        <f>"5752"</f>
        <v>5752</v>
      </c>
      <c r="E501" s="3" t="str">
        <f>"Расходы по страхованию"</f>
        <v>Расходы по страхованию</v>
      </c>
      <c r="F501" s="3" t="str">
        <f>""</f>
        <v/>
      </c>
      <c r="G501" s="3" t="str">
        <f>""</f>
        <v/>
      </c>
      <c r="H501" s="3" t="str">
        <f>""</f>
        <v/>
      </c>
      <c r="I501" s="4">
        <v>41514484.189999998</v>
      </c>
    </row>
    <row r="502" spans="1:9" x14ac:dyDescent="0.25">
      <c r="A502" s="3">
        <v>496</v>
      </c>
      <c r="B502" s="5">
        <v>45471</v>
      </c>
      <c r="C502" s="3">
        <v>19</v>
      </c>
      <c r="D502" s="3" t="str">
        <f>"5753"</f>
        <v>5753</v>
      </c>
      <c r="E502" s="3" t="str">
        <f>"Расходы по услугам связи"</f>
        <v>Расходы по услугам связи</v>
      </c>
      <c r="F502" s="3" t="str">
        <f>""</f>
        <v/>
      </c>
      <c r="G502" s="3" t="str">
        <f>""</f>
        <v/>
      </c>
      <c r="H502" s="3" t="str">
        <f>""</f>
        <v/>
      </c>
      <c r="I502" s="4">
        <v>2788933281.9299998</v>
      </c>
    </row>
    <row r="503" spans="1:9" x14ac:dyDescent="0.25">
      <c r="A503" s="3">
        <v>499</v>
      </c>
      <c r="B503" s="5">
        <v>45471</v>
      </c>
      <c r="C503" s="3">
        <v>19</v>
      </c>
      <c r="D503" s="3" t="str">
        <f>"5754"</f>
        <v>5754</v>
      </c>
      <c r="E503" s="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03" s="3" t="str">
        <f>""</f>
        <v/>
      </c>
      <c r="G503" s="3" t="str">
        <f>""</f>
        <v/>
      </c>
      <c r="H503" s="3" t="str">
        <f>""</f>
        <v/>
      </c>
      <c r="I503" s="4">
        <v>6072816072.0799999</v>
      </c>
    </row>
    <row r="504" spans="1:9" x14ac:dyDescent="0.25">
      <c r="A504" s="3">
        <v>495</v>
      </c>
      <c r="B504" s="5">
        <v>45471</v>
      </c>
      <c r="C504" s="3">
        <v>19</v>
      </c>
      <c r="D504" s="3" t="str">
        <f>"5761"</f>
        <v>5761</v>
      </c>
      <c r="E504" s="3" t="str">
        <f>"Налог на добавленную стоимость"</f>
        <v>Налог на добавленную стоимость</v>
      </c>
      <c r="F504" s="3" t="str">
        <f>""</f>
        <v/>
      </c>
      <c r="G504" s="3" t="str">
        <f>""</f>
        <v/>
      </c>
      <c r="H504" s="3" t="str">
        <f>""</f>
        <v/>
      </c>
      <c r="I504" s="4">
        <v>3534206110.9000001</v>
      </c>
    </row>
    <row r="505" spans="1:9" x14ac:dyDescent="0.25">
      <c r="A505" s="3">
        <v>498</v>
      </c>
      <c r="B505" s="5">
        <v>45471</v>
      </c>
      <c r="C505" s="3">
        <v>19</v>
      </c>
      <c r="D505" s="3" t="str">
        <f>"5763"</f>
        <v>5763</v>
      </c>
      <c r="E505" s="3" t="str">
        <f>"Социальный налог"</f>
        <v>Социальный налог</v>
      </c>
      <c r="F505" s="3" t="str">
        <f>""</f>
        <v/>
      </c>
      <c r="G505" s="3" t="str">
        <f>""</f>
        <v/>
      </c>
      <c r="H505" s="3" t="str">
        <f>""</f>
        <v/>
      </c>
      <c r="I505" s="4">
        <v>1755782171.0599999</v>
      </c>
    </row>
    <row r="506" spans="1:9" x14ac:dyDescent="0.25">
      <c r="A506" s="3">
        <v>497</v>
      </c>
      <c r="B506" s="5">
        <v>45471</v>
      </c>
      <c r="C506" s="3">
        <v>19</v>
      </c>
      <c r="D506" s="3" t="str">
        <f>"5764"</f>
        <v>5764</v>
      </c>
      <c r="E506" s="3" t="str">
        <f>"Земельный налог"</f>
        <v>Земельный налог</v>
      </c>
      <c r="F506" s="3" t="str">
        <f>""</f>
        <v/>
      </c>
      <c r="G506" s="3" t="str">
        <f>""</f>
        <v/>
      </c>
      <c r="H506" s="3" t="str">
        <f>""</f>
        <v/>
      </c>
      <c r="I506" s="4">
        <v>612140</v>
      </c>
    </row>
    <row r="507" spans="1:9" x14ac:dyDescent="0.25">
      <c r="A507" s="3">
        <v>500</v>
      </c>
      <c r="B507" s="5">
        <v>45471</v>
      </c>
      <c r="C507" s="3">
        <v>19</v>
      </c>
      <c r="D507" s="3" t="str">
        <f>"5765"</f>
        <v>5765</v>
      </c>
      <c r="E507" s="3" t="str">
        <f>"Налог на имущество юридических лиц"</f>
        <v>Налог на имущество юридических лиц</v>
      </c>
      <c r="F507" s="3" t="str">
        <f>""</f>
        <v/>
      </c>
      <c r="G507" s="3" t="str">
        <f>""</f>
        <v/>
      </c>
      <c r="H507" s="3" t="str">
        <f>""</f>
        <v/>
      </c>
      <c r="I507" s="4">
        <v>76879068</v>
      </c>
    </row>
    <row r="508" spans="1:9" x14ac:dyDescent="0.25">
      <c r="A508" s="3">
        <v>503</v>
      </c>
      <c r="B508" s="5">
        <v>45471</v>
      </c>
      <c r="C508" s="3">
        <v>19</v>
      </c>
      <c r="D508" s="3" t="str">
        <f>"5766"</f>
        <v>5766</v>
      </c>
      <c r="E508" s="3" t="str">
        <f>"Налог на транспортные средства"</f>
        <v>Налог на транспортные средства</v>
      </c>
      <c r="F508" s="3" t="str">
        <f>""</f>
        <v/>
      </c>
      <c r="G508" s="3" t="str">
        <f>""</f>
        <v/>
      </c>
      <c r="H508" s="3" t="str">
        <f>""</f>
        <v/>
      </c>
      <c r="I508" s="4">
        <v>6650076</v>
      </c>
    </row>
    <row r="509" spans="1:9" x14ac:dyDescent="0.25">
      <c r="A509" s="3">
        <v>501</v>
      </c>
      <c r="B509" s="5">
        <v>45471</v>
      </c>
      <c r="C509" s="3">
        <v>19</v>
      </c>
      <c r="D509" s="3" t="str">
        <f>"5768"</f>
        <v>5768</v>
      </c>
      <c r="E509" s="3" t="str">
        <f>"Прочие налоги и обязательные платежи в бюджет"</f>
        <v>Прочие налоги и обязательные платежи в бюджет</v>
      </c>
      <c r="F509" s="3" t="str">
        <f>""</f>
        <v/>
      </c>
      <c r="G509" s="3" t="str">
        <f>""</f>
        <v/>
      </c>
      <c r="H509" s="3" t="str">
        <f>""</f>
        <v/>
      </c>
      <c r="I509" s="4">
        <v>219198626.69999999</v>
      </c>
    </row>
    <row r="510" spans="1:9" x14ac:dyDescent="0.25">
      <c r="A510" s="3">
        <v>502</v>
      </c>
      <c r="B510" s="5">
        <v>45471</v>
      </c>
      <c r="C510" s="3">
        <v>19</v>
      </c>
      <c r="D510" s="3" t="str">
        <f>"5781"</f>
        <v>5781</v>
      </c>
      <c r="E510" s="3" t="str">
        <f>"Расходы по амортизации зданий и сооружений"</f>
        <v>Расходы по амортизации зданий и сооружений</v>
      </c>
      <c r="F510" s="3" t="str">
        <f>""</f>
        <v/>
      </c>
      <c r="G510" s="3" t="str">
        <f>""</f>
        <v/>
      </c>
      <c r="H510" s="3" t="str">
        <f>""</f>
        <v/>
      </c>
      <c r="I510" s="4">
        <v>160161163</v>
      </c>
    </row>
    <row r="511" spans="1:9" x14ac:dyDescent="0.25">
      <c r="A511" s="3">
        <v>508</v>
      </c>
      <c r="B511" s="5">
        <v>45471</v>
      </c>
      <c r="C511" s="3">
        <v>19</v>
      </c>
      <c r="D511" s="3" t="str">
        <f>"5782"</f>
        <v>5782</v>
      </c>
      <c r="E511" s="3" t="str">
        <f>"Расходы по амортизации компьютерного оборудования"</f>
        <v>Расходы по амортизации компьютерного оборудования</v>
      </c>
      <c r="F511" s="3" t="str">
        <f>""</f>
        <v/>
      </c>
      <c r="G511" s="3" t="str">
        <f>""</f>
        <v/>
      </c>
      <c r="H511" s="3" t="str">
        <f>""</f>
        <v/>
      </c>
      <c r="I511" s="4">
        <v>6625368966</v>
      </c>
    </row>
    <row r="512" spans="1:9" x14ac:dyDescent="0.25">
      <c r="A512" s="3">
        <v>509</v>
      </c>
      <c r="B512" s="5">
        <v>45471</v>
      </c>
      <c r="C512" s="3">
        <v>19</v>
      </c>
      <c r="D512" s="3" t="str">
        <f>"5783"</f>
        <v>5783</v>
      </c>
      <c r="E512" s="3" t="str">
        <f>"Расходы по амортизации прочих основных средств"</f>
        <v>Расходы по амортизации прочих основных средств</v>
      </c>
      <c r="F512" s="3" t="str">
        <f>""</f>
        <v/>
      </c>
      <c r="G512" s="3" t="str">
        <f>""</f>
        <v/>
      </c>
      <c r="H512" s="3" t="str">
        <f>""</f>
        <v/>
      </c>
      <c r="I512" s="4">
        <v>1673490231</v>
      </c>
    </row>
    <row r="513" spans="1:9" x14ac:dyDescent="0.25">
      <c r="A513" s="3">
        <v>507</v>
      </c>
      <c r="B513" s="5">
        <v>45471</v>
      </c>
      <c r="C513" s="3">
        <v>19</v>
      </c>
      <c r="D513" s="3" t="str">
        <f>"5786"</f>
        <v>5786</v>
      </c>
      <c r="E513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13" s="3" t="str">
        <f>""</f>
        <v/>
      </c>
      <c r="G513" s="3" t="str">
        <f>""</f>
        <v/>
      </c>
      <c r="H513" s="3" t="str">
        <f>""</f>
        <v/>
      </c>
      <c r="I513" s="4">
        <v>640394975</v>
      </c>
    </row>
    <row r="514" spans="1:9" x14ac:dyDescent="0.25">
      <c r="A514" s="3">
        <v>504</v>
      </c>
      <c r="B514" s="5">
        <v>45471</v>
      </c>
      <c r="C514" s="3">
        <v>19</v>
      </c>
      <c r="D514" s="3" t="str">
        <f>"5787"</f>
        <v>5787</v>
      </c>
      <c r="E514" s="3" t="str">
        <f>"Расходы по амортизации транспортных средств"</f>
        <v>Расходы по амортизации транспортных средств</v>
      </c>
      <c r="F514" s="3" t="str">
        <f>""</f>
        <v/>
      </c>
      <c r="G514" s="3" t="str">
        <f>""</f>
        <v/>
      </c>
      <c r="H514" s="3" t="str">
        <f>""</f>
        <v/>
      </c>
      <c r="I514" s="4">
        <v>48491433</v>
      </c>
    </row>
    <row r="515" spans="1:9" x14ac:dyDescent="0.25">
      <c r="A515" s="3">
        <v>505</v>
      </c>
      <c r="B515" s="5">
        <v>45471</v>
      </c>
      <c r="C515" s="3">
        <v>19</v>
      </c>
      <c r="D515" s="3" t="str">
        <f>"5788"</f>
        <v>5788</v>
      </c>
      <c r="E515" s="3" t="str">
        <f>"Расходы по амортизации нематериальных активов"</f>
        <v>Расходы по амортизации нематериальных активов</v>
      </c>
      <c r="F515" s="3" t="str">
        <f>""</f>
        <v/>
      </c>
      <c r="G515" s="3" t="str">
        <f>""</f>
        <v/>
      </c>
      <c r="H515" s="3" t="str">
        <f>""</f>
        <v/>
      </c>
      <c r="I515" s="4">
        <v>1796953956</v>
      </c>
    </row>
    <row r="516" spans="1:9" x14ac:dyDescent="0.25">
      <c r="A516" s="3">
        <v>510</v>
      </c>
      <c r="B516" s="5">
        <v>45471</v>
      </c>
      <c r="C516" s="3">
        <v>19</v>
      </c>
      <c r="D516" s="3" t="str">
        <f>"5852"</f>
        <v>5852</v>
      </c>
      <c r="E516" s="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16" s="3" t="str">
        <f>""</f>
        <v/>
      </c>
      <c r="G516" s="3" t="str">
        <f>""</f>
        <v/>
      </c>
      <c r="H516" s="3" t="str">
        <f>""</f>
        <v/>
      </c>
      <c r="I516" s="4">
        <v>552800</v>
      </c>
    </row>
    <row r="517" spans="1:9" x14ac:dyDescent="0.25">
      <c r="A517" s="3">
        <v>512</v>
      </c>
      <c r="B517" s="5">
        <v>45471</v>
      </c>
      <c r="C517" s="3">
        <v>19</v>
      </c>
      <c r="D517" s="3" t="str">
        <f>"5900"</f>
        <v>5900</v>
      </c>
      <c r="E517" s="3" t="str">
        <f>"Неустойка (штраф, пеня)"</f>
        <v>Неустойка (штраф, пеня)</v>
      </c>
      <c r="F517" s="3" t="str">
        <f>""</f>
        <v/>
      </c>
      <c r="G517" s="3" t="str">
        <f>""</f>
        <v/>
      </c>
      <c r="H517" s="3" t="str">
        <f>""</f>
        <v/>
      </c>
      <c r="I517" s="4">
        <v>2323507.2999999998</v>
      </c>
    </row>
    <row r="518" spans="1:9" x14ac:dyDescent="0.25">
      <c r="A518" s="3">
        <v>515</v>
      </c>
      <c r="B518" s="5">
        <v>45471</v>
      </c>
      <c r="C518" s="3">
        <v>19</v>
      </c>
      <c r="D518" s="3" t="str">
        <f>"5921"</f>
        <v>5921</v>
      </c>
      <c r="E518" s="3" t="str">
        <f>"Прочие расходы от банковской деятельности"</f>
        <v>Прочие расходы от банковской деятельности</v>
      </c>
      <c r="F518" s="3" t="str">
        <f>""</f>
        <v/>
      </c>
      <c r="G518" s="3" t="str">
        <f>""</f>
        <v/>
      </c>
      <c r="H518" s="3" t="str">
        <f>""</f>
        <v/>
      </c>
      <c r="I518" s="4">
        <v>39385740004.779999</v>
      </c>
    </row>
    <row r="519" spans="1:9" x14ac:dyDescent="0.25">
      <c r="A519" s="3">
        <v>511</v>
      </c>
      <c r="B519" s="5">
        <v>45471</v>
      </c>
      <c r="C519" s="3">
        <v>19</v>
      </c>
      <c r="D519" s="3" t="str">
        <f>"5922"</f>
        <v>5922</v>
      </c>
      <c r="E519" s="3" t="str">
        <f>"Прочие расходы от неосновной деятельности"</f>
        <v>Прочие расходы от неосновной деятельности</v>
      </c>
      <c r="F519" s="3" t="str">
        <f>""</f>
        <v/>
      </c>
      <c r="G519" s="3" t="str">
        <f>""</f>
        <v/>
      </c>
      <c r="H519" s="3" t="str">
        <f>""</f>
        <v/>
      </c>
      <c r="I519" s="4">
        <v>1410155465.27</v>
      </c>
    </row>
    <row r="520" spans="1:9" x14ac:dyDescent="0.25">
      <c r="A520" s="3">
        <v>513</v>
      </c>
      <c r="B520" s="5">
        <v>45471</v>
      </c>
      <c r="C520" s="3">
        <v>19</v>
      </c>
      <c r="D520" s="3" t="str">
        <f>"5923"</f>
        <v>5923</v>
      </c>
      <c r="E520" s="3" t="str">
        <f>"Расходы по аренде"</f>
        <v>Расходы по аренде</v>
      </c>
      <c r="F520" s="3" t="str">
        <f>""</f>
        <v/>
      </c>
      <c r="G520" s="3" t="str">
        <f>""</f>
        <v/>
      </c>
      <c r="H520" s="3" t="str">
        <f>""</f>
        <v/>
      </c>
      <c r="I520" s="4">
        <v>3589452916.9099998</v>
      </c>
    </row>
    <row r="521" spans="1:9" x14ac:dyDescent="0.25">
      <c r="A521" s="3">
        <v>514</v>
      </c>
      <c r="B521" s="5">
        <v>45471</v>
      </c>
      <c r="C521" s="3">
        <v>19</v>
      </c>
      <c r="D521" s="3" t="str">
        <f>"5926"</f>
        <v>5926</v>
      </c>
      <c r="E521" s="3" t="str">
        <f>"Расходы по привилегированным акциям"</f>
        <v>Расходы по привилегированным акциям</v>
      </c>
      <c r="F521" s="3" t="str">
        <f>""</f>
        <v/>
      </c>
      <c r="G521" s="3" t="str">
        <f>""</f>
        <v/>
      </c>
      <c r="H521" s="3" t="str">
        <f>""</f>
        <v/>
      </c>
      <c r="I521" s="4">
        <v>5250000</v>
      </c>
    </row>
    <row r="522" spans="1:9" x14ac:dyDescent="0.25">
      <c r="A522" s="3">
        <v>516</v>
      </c>
      <c r="B522" s="5">
        <v>45471</v>
      </c>
      <c r="C522" s="3">
        <v>19</v>
      </c>
      <c r="D522" s="3" t="str">
        <f>"5999"</f>
        <v>5999</v>
      </c>
      <c r="E522" s="3" t="str">
        <f>"Корпоративный подоходный налог"</f>
        <v>Корпоративный подоходный налог</v>
      </c>
      <c r="F522" s="3" t="str">
        <f>""</f>
        <v/>
      </c>
      <c r="G522" s="3" t="str">
        <f>""</f>
        <v/>
      </c>
      <c r="H522" s="3" t="str">
        <f>""</f>
        <v/>
      </c>
      <c r="I522" s="4">
        <v>38813573731.18</v>
      </c>
    </row>
    <row r="523" spans="1:9" x14ac:dyDescent="0.25">
      <c r="A523" s="3">
        <v>517</v>
      </c>
      <c r="B523" s="5">
        <v>45471</v>
      </c>
      <c r="C523" s="3">
        <v>19</v>
      </c>
      <c r="D523" s="3" t="str">
        <f>"6055"</f>
        <v>6055</v>
      </c>
      <c r="E523" s="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23" s="3" t="str">
        <f>""</f>
        <v/>
      </c>
      <c r="G523" s="3" t="str">
        <f>""</f>
        <v/>
      </c>
      <c r="H523" s="3" t="str">
        <f>""</f>
        <v/>
      </c>
      <c r="I523" s="4">
        <v>5477620500.8800001</v>
      </c>
    </row>
    <row r="524" spans="1:9" x14ac:dyDescent="0.25">
      <c r="A524" s="3">
        <v>518</v>
      </c>
      <c r="B524" s="5">
        <v>45471</v>
      </c>
      <c r="C524" s="3">
        <v>19</v>
      </c>
      <c r="D524" s="3" t="str">
        <f>"6075"</f>
        <v>6075</v>
      </c>
      <c r="E524" s="3" t="str">
        <f>"Возможные требования по принятым гарантиям"</f>
        <v>Возможные требования по принятым гарантиям</v>
      </c>
      <c r="F524" s="3" t="str">
        <f>""</f>
        <v/>
      </c>
      <c r="G524" s="3" t="str">
        <f>""</f>
        <v/>
      </c>
      <c r="H524" s="3" t="str">
        <f>""</f>
        <v/>
      </c>
      <c r="I524" s="4">
        <v>60466989830.449997</v>
      </c>
    </row>
    <row r="525" spans="1:9" x14ac:dyDescent="0.25">
      <c r="A525" s="3">
        <v>519</v>
      </c>
      <c r="B525" s="5">
        <v>45471</v>
      </c>
      <c r="C525" s="3">
        <v>19</v>
      </c>
      <c r="D525" s="3" t="str">
        <f>"6105"</f>
        <v>6105</v>
      </c>
      <c r="E525" s="3" t="str">
        <f>"Будущие требования по размещаемым вкладам"</f>
        <v>Будущие требования по размещаемым вкладам</v>
      </c>
      <c r="F525" s="3" t="str">
        <f>""</f>
        <v/>
      </c>
      <c r="G525" s="3" t="str">
        <f>""</f>
        <v/>
      </c>
      <c r="H525" s="3" t="str">
        <f>""</f>
        <v/>
      </c>
      <c r="I525" s="4">
        <v>50000000000</v>
      </c>
    </row>
    <row r="526" spans="1:9" x14ac:dyDescent="0.25">
      <c r="A526" s="3">
        <v>520</v>
      </c>
      <c r="B526" s="5">
        <v>45471</v>
      </c>
      <c r="C526" s="3">
        <v>19</v>
      </c>
      <c r="D526" s="3" t="str">
        <f>"6126"</f>
        <v>6126</v>
      </c>
      <c r="E526" s="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26" s="3" t="str">
        <f>""</f>
        <v/>
      </c>
      <c r="G526" s="3" t="str">
        <f>""</f>
        <v/>
      </c>
      <c r="H526" s="3" t="str">
        <f>""</f>
        <v/>
      </c>
      <c r="I526" s="4">
        <v>206652243006.29999</v>
      </c>
    </row>
    <row r="527" spans="1:9" x14ac:dyDescent="0.25">
      <c r="A527" s="3">
        <v>522</v>
      </c>
      <c r="B527" s="5">
        <v>45471</v>
      </c>
      <c r="C527" s="3">
        <v>19</v>
      </c>
      <c r="D527" s="3" t="str">
        <f>"6177"</f>
        <v>6177</v>
      </c>
      <c r="E527" s="3" t="str">
        <f>"Условные требования по предоставленным займам"</f>
        <v>Условные требования по предоставленным займам</v>
      </c>
      <c r="F527" s="3" t="str">
        <f>""</f>
        <v/>
      </c>
      <c r="G527" s="3" t="str">
        <f>""</f>
        <v/>
      </c>
      <c r="H527" s="3" t="str">
        <f>""</f>
        <v/>
      </c>
      <c r="I527" s="4">
        <v>5816510.3499999996</v>
      </c>
    </row>
    <row r="528" spans="1:9" x14ac:dyDescent="0.25">
      <c r="A528" s="3">
        <v>521</v>
      </c>
      <c r="B528" s="5">
        <v>45471</v>
      </c>
      <c r="C528" s="3">
        <v>19</v>
      </c>
      <c r="D528" s="3" t="str">
        <f>"6405"</f>
        <v>6405</v>
      </c>
      <c r="E528" s="3" t="str">
        <f>"Условные требования по купле-продаже иностранной валюты"</f>
        <v>Условные требования по купле-продаже иностранной валюты</v>
      </c>
      <c r="F528" s="3" t="str">
        <f>""</f>
        <v/>
      </c>
      <c r="G528" s="3" t="str">
        <f>""</f>
        <v/>
      </c>
      <c r="H528" s="3" t="str">
        <f>""</f>
        <v/>
      </c>
      <c r="I528" s="4">
        <v>278634728751.78003</v>
      </c>
    </row>
    <row r="529" spans="1:9" x14ac:dyDescent="0.25">
      <c r="A529" s="3">
        <v>524</v>
      </c>
      <c r="B529" s="5">
        <v>45471</v>
      </c>
      <c r="C529" s="3">
        <v>19</v>
      </c>
      <c r="D529" s="3" t="str">
        <f>"6555"</f>
        <v>6555</v>
      </c>
      <c r="E529" s="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29" s="3" t="str">
        <f>""</f>
        <v/>
      </c>
      <c r="G529" s="3" t="str">
        <f>""</f>
        <v/>
      </c>
      <c r="H529" s="3" t="str">
        <f>""</f>
        <v/>
      </c>
      <c r="I529" s="4">
        <v>5477620500.8800001</v>
      </c>
    </row>
    <row r="530" spans="1:9" x14ac:dyDescent="0.25">
      <c r="A530" s="3">
        <v>523</v>
      </c>
      <c r="B530" s="5">
        <v>45471</v>
      </c>
      <c r="C530" s="3">
        <v>19</v>
      </c>
      <c r="D530" s="3" t="str">
        <f>"6575"</f>
        <v>6575</v>
      </c>
      <c r="E530" s="3" t="str">
        <f>"Возможное уменьшение требований по принятым гарантиям"</f>
        <v>Возможное уменьшение требований по принятым гарантиям</v>
      </c>
      <c r="F530" s="3" t="str">
        <f>""</f>
        <v/>
      </c>
      <c r="G530" s="3" t="str">
        <f>""</f>
        <v/>
      </c>
      <c r="H530" s="3" t="str">
        <f>""</f>
        <v/>
      </c>
      <c r="I530" s="4">
        <v>60466989830.449997</v>
      </c>
    </row>
    <row r="531" spans="1:9" x14ac:dyDescent="0.25">
      <c r="A531" s="3">
        <v>525</v>
      </c>
      <c r="B531" s="5">
        <v>45471</v>
      </c>
      <c r="C531" s="3">
        <v>19</v>
      </c>
      <c r="D531" s="3" t="str">
        <f>"6605"</f>
        <v>6605</v>
      </c>
      <c r="E531" s="3" t="str">
        <f>"Условные обязательства по размещению вкладов в будущем"</f>
        <v>Условные обязательства по размещению вкладов в будущем</v>
      </c>
      <c r="F531" s="3" t="str">
        <f>""</f>
        <v/>
      </c>
      <c r="G531" s="3" t="str">
        <f>""</f>
        <v/>
      </c>
      <c r="H531" s="3" t="str">
        <f>""</f>
        <v/>
      </c>
      <c r="I531" s="4">
        <v>50000000000</v>
      </c>
    </row>
    <row r="532" spans="1:9" x14ac:dyDescent="0.25">
      <c r="A532" s="3">
        <v>528</v>
      </c>
      <c r="B532" s="5">
        <v>45471</v>
      </c>
      <c r="C532" s="3">
        <v>19</v>
      </c>
      <c r="D532" s="3" t="str">
        <f>"6626"</f>
        <v>6626</v>
      </c>
      <c r="E532" s="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32" s="3" t="str">
        <f>""</f>
        <v/>
      </c>
      <c r="G532" s="3" t="str">
        <f>""</f>
        <v/>
      </c>
      <c r="H532" s="3" t="str">
        <f>""</f>
        <v/>
      </c>
      <c r="I532" s="4">
        <v>206652243006.29999</v>
      </c>
    </row>
    <row r="533" spans="1:9" x14ac:dyDescent="0.25">
      <c r="A533" s="3">
        <v>526</v>
      </c>
      <c r="B533" s="5">
        <v>45471</v>
      </c>
      <c r="C533" s="3">
        <v>19</v>
      </c>
      <c r="D533" s="3" t="str">
        <f>"6677"</f>
        <v>6677</v>
      </c>
      <c r="E533" s="3" t="str">
        <f>"Условные обязательства по предоставленным займам"</f>
        <v>Условные обязательства по предоставленным займам</v>
      </c>
      <c r="F533" s="3" t="str">
        <f>""</f>
        <v/>
      </c>
      <c r="G533" s="3" t="str">
        <f>""</f>
        <v/>
      </c>
      <c r="H533" s="3" t="str">
        <f>""</f>
        <v/>
      </c>
      <c r="I533" s="4">
        <v>5816510.3499999996</v>
      </c>
    </row>
    <row r="534" spans="1:9" x14ac:dyDescent="0.25">
      <c r="A534" s="3">
        <v>527</v>
      </c>
      <c r="B534" s="5">
        <v>45471</v>
      </c>
      <c r="C534" s="3">
        <v>19</v>
      </c>
      <c r="D534" s="3" t="str">
        <f>"6905"</f>
        <v>6905</v>
      </c>
      <c r="E534" s="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34" s="3" t="str">
        <f>""</f>
        <v/>
      </c>
      <c r="G534" s="3" t="str">
        <f>""</f>
        <v/>
      </c>
      <c r="H534" s="3" t="str">
        <f>""</f>
        <v/>
      </c>
      <c r="I534" s="4">
        <v>287843153627.66998</v>
      </c>
    </row>
    <row r="535" spans="1:9" x14ac:dyDescent="0.25">
      <c r="A535" s="3">
        <v>530</v>
      </c>
      <c r="B535" s="5">
        <v>45471</v>
      </c>
      <c r="C535" s="3">
        <v>19</v>
      </c>
      <c r="D535" s="3" t="str">
        <f>"6999"</f>
        <v>6999</v>
      </c>
      <c r="E535" s="3" t="str">
        <f>"Позиция по сделкам с иностранной валютой"</f>
        <v>Позиция по сделкам с иностранной валютой</v>
      </c>
      <c r="F535" s="3" t="str">
        <f>""</f>
        <v/>
      </c>
      <c r="G535" s="3" t="str">
        <f>""</f>
        <v/>
      </c>
      <c r="H535" s="3" t="str">
        <f>""</f>
        <v/>
      </c>
      <c r="I535" s="4">
        <v>-9208424875.8899994</v>
      </c>
    </row>
    <row r="536" spans="1:9" x14ac:dyDescent="0.25">
      <c r="A536" s="3">
        <v>529</v>
      </c>
      <c r="B536" s="5">
        <v>45471</v>
      </c>
      <c r="C536" s="3">
        <v>19</v>
      </c>
      <c r="D536" s="3" t="str">
        <f>"7220"</f>
        <v>7220</v>
      </c>
      <c r="E536" s="3" t="str">
        <f>"Арендованные активы"</f>
        <v>Арендованные активы</v>
      </c>
      <c r="F536" s="3" t="str">
        <f>""</f>
        <v/>
      </c>
      <c r="G536" s="3" t="str">
        <f>""</f>
        <v/>
      </c>
      <c r="H536" s="3" t="str">
        <f>""</f>
        <v/>
      </c>
      <c r="I536" s="4">
        <v>29405203490.650002</v>
      </c>
    </row>
    <row r="537" spans="1:9" x14ac:dyDescent="0.25">
      <c r="A537" s="3">
        <v>538</v>
      </c>
      <c r="B537" s="5">
        <v>45471</v>
      </c>
      <c r="C537" s="3">
        <v>19</v>
      </c>
      <c r="D537" s="3" t="str">
        <f>"7250"</f>
        <v>7250</v>
      </c>
      <c r="E537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37" s="3" t="str">
        <f>""</f>
        <v/>
      </c>
      <c r="G537" s="3" t="str">
        <f>""</f>
        <v/>
      </c>
      <c r="H537" s="3" t="str">
        <f>""</f>
        <v/>
      </c>
      <c r="I537" s="4">
        <v>399813503875.22998</v>
      </c>
    </row>
    <row r="538" spans="1:9" x14ac:dyDescent="0.25">
      <c r="A538" s="3">
        <v>532</v>
      </c>
      <c r="B538" s="5">
        <v>45471</v>
      </c>
      <c r="C538" s="3">
        <v>19</v>
      </c>
      <c r="D538" s="3" t="str">
        <f>"7303"</f>
        <v>7303</v>
      </c>
      <c r="E538" s="3" t="str">
        <f>"Платежные документы, не оплаченные в срок"</f>
        <v>Платежные документы, не оплаченные в срок</v>
      </c>
      <c r="F538" s="3" t="str">
        <f>""</f>
        <v/>
      </c>
      <c r="G538" s="3" t="str">
        <f>""</f>
        <v/>
      </c>
      <c r="H538" s="3" t="str">
        <f>""</f>
        <v/>
      </c>
      <c r="I538" s="4" t="s">
        <v>11</v>
      </c>
    </row>
    <row r="539" spans="1:9" x14ac:dyDescent="0.25">
      <c r="A539" s="3">
        <v>531</v>
      </c>
      <c r="B539" s="5">
        <v>45471</v>
      </c>
      <c r="C539" s="3">
        <v>19</v>
      </c>
      <c r="D539" s="3" t="str">
        <f>"7339"</f>
        <v>7339</v>
      </c>
      <c r="E539" s="3" t="str">
        <f>"Разные ценности и документы"</f>
        <v>Разные ценности и документы</v>
      </c>
      <c r="F539" s="3" t="str">
        <f>""</f>
        <v/>
      </c>
      <c r="G539" s="3" t="str">
        <f>""</f>
        <v/>
      </c>
      <c r="H539" s="3" t="str">
        <f>""</f>
        <v/>
      </c>
      <c r="I539" s="4">
        <v>9270231797.8799992</v>
      </c>
    </row>
    <row r="540" spans="1:9" x14ac:dyDescent="0.25">
      <c r="A540" s="3">
        <v>533</v>
      </c>
      <c r="B540" s="5">
        <v>45471</v>
      </c>
      <c r="C540" s="3">
        <v>19</v>
      </c>
      <c r="D540" s="3" t="str">
        <f>"7342"</f>
        <v>7342</v>
      </c>
      <c r="E540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40" s="3" t="str">
        <f>""</f>
        <v/>
      </c>
      <c r="G540" s="3" t="str">
        <f>""</f>
        <v/>
      </c>
      <c r="H540" s="3" t="str">
        <f>""</f>
        <v/>
      </c>
      <c r="I540" s="4">
        <v>663</v>
      </c>
    </row>
    <row r="541" spans="1:9" x14ac:dyDescent="0.25">
      <c r="A541" s="3">
        <v>534</v>
      </c>
      <c r="B541" s="5">
        <v>45471</v>
      </c>
      <c r="C541" s="3">
        <v>19</v>
      </c>
      <c r="D541" s="3" t="str">
        <f>"7535"</f>
        <v>7535</v>
      </c>
      <c r="E541" s="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41" s="3" t="str">
        <f>""</f>
        <v/>
      </c>
      <c r="G541" s="3" t="str">
        <f>""</f>
        <v/>
      </c>
      <c r="H541" s="3" t="str">
        <f>""</f>
        <v/>
      </c>
      <c r="I541" s="4">
        <v>8036611.0199999996</v>
      </c>
    </row>
    <row r="542" spans="1:9" x14ac:dyDescent="0.25">
      <c r="A542" s="3">
        <v>537</v>
      </c>
      <c r="B542" s="5">
        <v>45471</v>
      </c>
      <c r="C542" s="3">
        <v>19</v>
      </c>
      <c r="D542" s="3" t="str">
        <f>"7536"</f>
        <v>7536</v>
      </c>
      <c r="E542" s="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42" s="3" t="str">
        <f>""</f>
        <v/>
      </c>
      <c r="G542" s="3" t="str">
        <f>""</f>
        <v/>
      </c>
      <c r="H542" s="3" t="str">
        <f>""</f>
        <v/>
      </c>
      <c r="I542" s="4">
        <v>481556.5</v>
      </c>
    </row>
    <row r="543" spans="1:9" x14ac:dyDescent="0.25">
      <c r="A543" s="3">
        <v>535</v>
      </c>
      <c r="B543" s="5">
        <v>45471</v>
      </c>
      <c r="C543" s="3">
        <v>19</v>
      </c>
      <c r="D543" s="3" t="str">
        <f>"7542"</f>
        <v>7542</v>
      </c>
      <c r="E543" s="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43" s="3" t="str">
        <f>""</f>
        <v/>
      </c>
      <c r="G543" s="3" t="str">
        <f>""</f>
        <v/>
      </c>
      <c r="H543" s="3" t="str">
        <f>""</f>
        <v/>
      </c>
      <c r="I543" s="4">
        <v>102170.42</v>
      </c>
    </row>
    <row r="544" spans="1:9" x14ac:dyDescent="0.25">
      <c r="A544" s="3">
        <v>536</v>
      </c>
      <c r="B544" s="5">
        <v>45471</v>
      </c>
      <c r="C544" s="3">
        <v>19</v>
      </c>
      <c r="D544" s="3" t="str">
        <f>"7544"</f>
        <v>7544</v>
      </c>
      <c r="E544" s="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44" s="3" t="str">
        <f>""</f>
        <v/>
      </c>
      <c r="G544" s="3" t="str">
        <f>""</f>
        <v/>
      </c>
      <c r="H544" s="3" t="str">
        <f>""</f>
        <v/>
      </c>
      <c r="I544" s="4">
        <v>75680.92</v>
      </c>
    </row>
  </sheetData>
  <autoFilter ref="A6:I544" xr:uid="{00000000-0009-0000-0000-000000000000}">
    <sortState ref="A7:I544">
      <sortCondition ref="D6:D54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Бекмухамбет Махаббат</cp:lastModifiedBy>
  <dcterms:created xsi:type="dcterms:W3CDTF">2024-07-04T04:02:32Z</dcterms:created>
  <dcterms:modified xsi:type="dcterms:W3CDTF">2024-07-15T09:03:40Z</dcterms:modified>
</cp:coreProperties>
</file>