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7 2024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404" i="1" l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407" i="1"/>
  <c r="B407" i="1"/>
  <c r="C407" i="1"/>
  <c r="D407" i="1"/>
  <c r="E407" i="1"/>
  <c r="A12" i="1"/>
  <c r="B12" i="1"/>
  <c r="C12" i="1"/>
  <c r="D12" i="1"/>
  <c r="E12" i="1"/>
  <c r="A9" i="1"/>
  <c r="B9" i="1"/>
  <c r="C9" i="1"/>
  <c r="D9" i="1"/>
  <c r="E9" i="1"/>
  <c r="A24" i="1"/>
  <c r="B24" i="1"/>
  <c r="C24" i="1"/>
  <c r="D24" i="1"/>
  <c r="E24" i="1"/>
  <c r="A8" i="1"/>
  <c r="B8" i="1"/>
  <c r="C8" i="1"/>
  <c r="D8" i="1"/>
  <c r="E8" i="1"/>
  <c r="A6" i="1"/>
  <c r="B6" i="1"/>
  <c r="C6" i="1"/>
  <c r="D6" i="1"/>
  <c r="E6" i="1"/>
  <c r="A14" i="1"/>
  <c r="B14" i="1"/>
  <c r="C14" i="1"/>
  <c r="D14" i="1"/>
  <c r="E14" i="1"/>
  <c r="A11" i="1"/>
  <c r="B11" i="1"/>
  <c r="C11" i="1"/>
  <c r="D11" i="1"/>
  <c r="E11" i="1"/>
  <c r="A7" i="1"/>
  <c r="B7" i="1"/>
  <c r="C7" i="1"/>
  <c r="D7" i="1"/>
  <c r="E7" i="1"/>
  <c r="A10" i="1"/>
  <c r="B10" i="1"/>
  <c r="C10" i="1"/>
  <c r="D10" i="1"/>
  <c r="E10" i="1"/>
  <c r="A18" i="1"/>
  <c r="B18" i="1"/>
  <c r="C18" i="1"/>
  <c r="D18" i="1"/>
  <c r="E18" i="1"/>
  <c r="A23" i="1"/>
  <c r="B23" i="1"/>
  <c r="C23" i="1"/>
  <c r="D23" i="1"/>
  <c r="E23" i="1"/>
  <c r="A19" i="1"/>
  <c r="B19" i="1"/>
  <c r="C19" i="1"/>
  <c r="D19" i="1"/>
  <c r="E19" i="1"/>
  <c r="A13" i="1"/>
  <c r="B13" i="1"/>
  <c r="C13" i="1"/>
  <c r="D13" i="1"/>
  <c r="E13" i="1"/>
  <c r="A17" i="1"/>
  <c r="B17" i="1"/>
  <c r="C17" i="1"/>
  <c r="D17" i="1"/>
  <c r="E17" i="1"/>
  <c r="A22" i="1"/>
  <c r="B22" i="1"/>
  <c r="C22" i="1"/>
  <c r="D22" i="1"/>
  <c r="E22" i="1"/>
  <c r="A15" i="1"/>
  <c r="B15" i="1"/>
  <c r="C15" i="1"/>
  <c r="D15" i="1"/>
  <c r="E15" i="1"/>
  <c r="A20" i="1"/>
  <c r="B20" i="1"/>
  <c r="C20" i="1"/>
  <c r="D20" i="1"/>
  <c r="E20" i="1"/>
  <c r="A16" i="1"/>
  <c r="B16" i="1"/>
  <c r="C16" i="1"/>
  <c r="D16" i="1"/>
  <c r="E16" i="1"/>
  <c r="A27" i="1"/>
  <c r="B27" i="1"/>
  <c r="C27" i="1"/>
  <c r="D27" i="1"/>
  <c r="E27" i="1"/>
  <c r="A21" i="1"/>
  <c r="B21" i="1"/>
  <c r="C21" i="1"/>
  <c r="D21" i="1"/>
  <c r="E21" i="1"/>
  <c r="A26" i="1"/>
  <c r="B26" i="1"/>
  <c r="C26" i="1"/>
  <c r="D26" i="1"/>
  <c r="E26" i="1"/>
  <c r="A28" i="1"/>
  <c r="B28" i="1"/>
  <c r="C28" i="1"/>
  <c r="D28" i="1"/>
  <c r="E28" i="1"/>
  <c r="A37" i="1"/>
  <c r="B37" i="1"/>
  <c r="C37" i="1"/>
  <c r="D37" i="1"/>
  <c r="E37" i="1"/>
  <c r="A33" i="1"/>
  <c r="B33" i="1"/>
  <c r="C33" i="1"/>
  <c r="D33" i="1"/>
  <c r="E33" i="1"/>
  <c r="A29" i="1"/>
  <c r="B29" i="1"/>
  <c r="C29" i="1"/>
  <c r="D29" i="1"/>
  <c r="E29" i="1"/>
  <c r="A32" i="1"/>
  <c r="B32" i="1"/>
  <c r="C32" i="1"/>
  <c r="D32" i="1"/>
  <c r="E32" i="1"/>
  <c r="A31" i="1"/>
  <c r="B31" i="1"/>
  <c r="C31" i="1"/>
  <c r="D31" i="1"/>
  <c r="E31" i="1"/>
  <c r="A36" i="1"/>
  <c r="B36" i="1"/>
  <c r="C36" i="1"/>
  <c r="D36" i="1"/>
  <c r="E36" i="1"/>
  <c r="A25" i="1"/>
  <c r="B25" i="1"/>
  <c r="C25" i="1"/>
  <c r="D25" i="1"/>
  <c r="E25" i="1"/>
  <c r="A30" i="1"/>
  <c r="B30" i="1"/>
  <c r="C30" i="1"/>
  <c r="D30" i="1"/>
  <c r="E30" i="1"/>
  <c r="A34" i="1"/>
  <c r="B34" i="1"/>
  <c r="C34" i="1"/>
  <c r="D34" i="1"/>
  <c r="E34" i="1"/>
  <c r="A35" i="1"/>
  <c r="B35" i="1"/>
  <c r="C35" i="1"/>
  <c r="D35" i="1"/>
  <c r="E35" i="1"/>
  <c r="A42" i="1"/>
  <c r="B42" i="1"/>
  <c r="C42" i="1"/>
  <c r="D42" i="1"/>
  <c r="E42" i="1"/>
  <c r="A41" i="1"/>
  <c r="B41" i="1"/>
  <c r="C41" i="1"/>
  <c r="D41" i="1"/>
  <c r="E41" i="1"/>
  <c r="A40" i="1"/>
  <c r="B40" i="1"/>
  <c r="C40" i="1"/>
  <c r="D40" i="1"/>
  <c r="E40" i="1"/>
  <c r="A39" i="1"/>
  <c r="B39" i="1"/>
  <c r="C39" i="1"/>
  <c r="D39" i="1"/>
  <c r="E39" i="1"/>
  <c r="A46" i="1"/>
  <c r="B46" i="1"/>
  <c r="C46" i="1"/>
  <c r="D46" i="1"/>
  <c r="E46" i="1"/>
  <c r="A48" i="1"/>
  <c r="B48" i="1"/>
  <c r="C48" i="1"/>
  <c r="D48" i="1"/>
  <c r="E48" i="1"/>
  <c r="A38" i="1"/>
  <c r="B38" i="1"/>
  <c r="C38" i="1"/>
  <c r="D38" i="1"/>
  <c r="E38" i="1"/>
  <c r="A43" i="1"/>
  <c r="B43" i="1"/>
  <c r="C43" i="1"/>
  <c r="D43" i="1"/>
  <c r="E43" i="1"/>
  <c r="A45" i="1"/>
  <c r="B45" i="1"/>
  <c r="C45" i="1"/>
  <c r="D45" i="1"/>
  <c r="E45" i="1"/>
  <c r="A44" i="1"/>
  <c r="B44" i="1"/>
  <c r="C44" i="1"/>
  <c r="D44" i="1"/>
  <c r="E44" i="1"/>
  <c r="A49" i="1"/>
  <c r="B49" i="1"/>
  <c r="C49" i="1"/>
  <c r="D49" i="1"/>
  <c r="E49" i="1"/>
  <c r="A52" i="1"/>
  <c r="B52" i="1"/>
  <c r="C52" i="1"/>
  <c r="D52" i="1"/>
  <c r="E52" i="1"/>
  <c r="A50" i="1"/>
  <c r="B50" i="1"/>
  <c r="C50" i="1"/>
  <c r="D50" i="1"/>
  <c r="E50" i="1"/>
  <c r="A55" i="1"/>
  <c r="B55" i="1"/>
  <c r="C55" i="1"/>
  <c r="D55" i="1"/>
  <c r="E55" i="1"/>
  <c r="A47" i="1"/>
  <c r="B47" i="1"/>
  <c r="C47" i="1"/>
  <c r="D47" i="1"/>
  <c r="E47" i="1"/>
  <c r="A64" i="1"/>
  <c r="B64" i="1"/>
  <c r="C64" i="1"/>
  <c r="D64" i="1"/>
  <c r="E64" i="1"/>
  <c r="A53" i="1"/>
  <c r="B53" i="1"/>
  <c r="C53" i="1"/>
  <c r="D53" i="1"/>
  <c r="E53" i="1"/>
  <c r="A58" i="1"/>
  <c r="B58" i="1"/>
  <c r="C58" i="1"/>
  <c r="D58" i="1"/>
  <c r="E58" i="1"/>
  <c r="A56" i="1"/>
  <c r="B56" i="1"/>
  <c r="C56" i="1"/>
  <c r="D56" i="1"/>
  <c r="E56" i="1"/>
  <c r="A65" i="1"/>
  <c r="B65" i="1"/>
  <c r="C65" i="1"/>
  <c r="D65" i="1"/>
  <c r="E65" i="1"/>
  <c r="A63" i="1"/>
  <c r="B63" i="1"/>
  <c r="C63" i="1"/>
  <c r="D63" i="1"/>
  <c r="E63" i="1"/>
  <c r="A59" i="1"/>
  <c r="B59" i="1"/>
  <c r="C59" i="1"/>
  <c r="D59" i="1"/>
  <c r="E59" i="1"/>
  <c r="A61" i="1"/>
  <c r="B61" i="1"/>
  <c r="C61" i="1"/>
  <c r="D61" i="1"/>
  <c r="E61" i="1"/>
  <c r="A68" i="1"/>
  <c r="B68" i="1"/>
  <c r="C68" i="1"/>
  <c r="D68" i="1"/>
  <c r="E68" i="1"/>
  <c r="A57" i="1"/>
  <c r="B57" i="1"/>
  <c r="C57" i="1"/>
  <c r="D57" i="1"/>
  <c r="E57" i="1"/>
  <c r="A66" i="1"/>
  <c r="B66" i="1"/>
  <c r="C66" i="1"/>
  <c r="D66" i="1"/>
  <c r="E66" i="1"/>
  <c r="A67" i="1"/>
  <c r="B67" i="1"/>
  <c r="C67" i="1"/>
  <c r="D67" i="1"/>
  <c r="E67" i="1"/>
  <c r="A69" i="1"/>
  <c r="B69" i="1"/>
  <c r="C69" i="1"/>
  <c r="D69" i="1"/>
  <c r="E69" i="1"/>
  <c r="A60" i="1"/>
  <c r="B60" i="1"/>
  <c r="C60" i="1"/>
  <c r="D60" i="1"/>
  <c r="E60" i="1"/>
  <c r="A71" i="1"/>
  <c r="B71" i="1"/>
  <c r="C71" i="1"/>
  <c r="D71" i="1"/>
  <c r="E71" i="1"/>
  <c r="A70" i="1"/>
  <c r="B70" i="1"/>
  <c r="C70" i="1"/>
  <c r="D70" i="1"/>
  <c r="E70" i="1"/>
  <c r="A62" i="1"/>
  <c r="B62" i="1"/>
  <c r="C62" i="1"/>
  <c r="D62" i="1"/>
  <c r="E62" i="1"/>
  <c r="A73" i="1"/>
  <c r="B73" i="1"/>
  <c r="C73" i="1"/>
  <c r="D73" i="1"/>
  <c r="E73" i="1"/>
  <c r="A74" i="1"/>
  <c r="B74" i="1"/>
  <c r="C74" i="1"/>
  <c r="D74" i="1"/>
  <c r="E74" i="1"/>
  <c r="A72" i="1"/>
  <c r="B72" i="1"/>
  <c r="C72" i="1"/>
  <c r="D72" i="1"/>
  <c r="E72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80" i="1"/>
  <c r="B80" i="1"/>
  <c r="C80" i="1"/>
  <c r="D80" i="1"/>
  <c r="E80" i="1"/>
  <c r="A79" i="1"/>
  <c r="B79" i="1"/>
  <c r="C79" i="1"/>
  <c r="D79" i="1"/>
  <c r="E79" i="1"/>
  <c r="A81" i="1"/>
  <c r="B81" i="1"/>
  <c r="C81" i="1"/>
  <c r="D81" i="1"/>
  <c r="E81" i="1"/>
  <c r="A83" i="1"/>
  <c r="B83" i="1"/>
  <c r="C83" i="1"/>
  <c r="D83" i="1"/>
  <c r="E83" i="1"/>
  <c r="A51" i="1"/>
  <c r="B51" i="1"/>
  <c r="C51" i="1"/>
  <c r="D51" i="1"/>
  <c r="E51" i="1"/>
  <c r="A54" i="1"/>
  <c r="B54" i="1"/>
  <c r="C54" i="1"/>
  <c r="D54" i="1"/>
  <c r="E54" i="1"/>
  <c r="A85" i="1"/>
  <c r="B85" i="1"/>
  <c r="C85" i="1"/>
  <c r="D85" i="1"/>
  <c r="E85" i="1"/>
  <c r="A86" i="1"/>
  <c r="B86" i="1"/>
  <c r="C86" i="1"/>
  <c r="D86" i="1"/>
  <c r="E86" i="1"/>
  <c r="A88" i="1"/>
  <c r="B88" i="1"/>
  <c r="C88" i="1"/>
  <c r="D88" i="1"/>
  <c r="E88" i="1"/>
  <c r="A87" i="1"/>
  <c r="B87" i="1"/>
  <c r="C87" i="1"/>
  <c r="D87" i="1"/>
  <c r="E87" i="1"/>
  <c r="A84" i="1"/>
  <c r="B84" i="1"/>
  <c r="C84" i="1"/>
  <c r="D84" i="1"/>
  <c r="E84" i="1"/>
  <c r="A91" i="1"/>
  <c r="B91" i="1"/>
  <c r="C91" i="1"/>
  <c r="D91" i="1"/>
  <c r="E91" i="1"/>
  <c r="A89" i="1"/>
  <c r="B89" i="1"/>
  <c r="C89" i="1"/>
  <c r="D89" i="1"/>
  <c r="E89" i="1"/>
  <c r="A92" i="1"/>
  <c r="B92" i="1"/>
  <c r="C92" i="1"/>
  <c r="D92" i="1"/>
  <c r="E92" i="1"/>
  <c r="A90" i="1"/>
  <c r="B90" i="1"/>
  <c r="C90" i="1"/>
  <c r="D90" i="1"/>
  <c r="E90" i="1"/>
  <c r="A93" i="1"/>
  <c r="B93" i="1"/>
  <c r="C93" i="1"/>
  <c r="D93" i="1"/>
  <c r="E93" i="1"/>
  <c r="A94" i="1"/>
  <c r="B94" i="1"/>
  <c r="C94" i="1"/>
  <c r="D94" i="1"/>
  <c r="E94" i="1"/>
  <c r="A99" i="1"/>
  <c r="B99" i="1"/>
  <c r="C99" i="1"/>
  <c r="D99" i="1"/>
  <c r="E99" i="1"/>
  <c r="A97" i="1"/>
  <c r="B97" i="1"/>
  <c r="C97" i="1"/>
  <c r="D97" i="1"/>
  <c r="E97" i="1"/>
  <c r="A96" i="1"/>
  <c r="B96" i="1"/>
  <c r="C96" i="1"/>
  <c r="D96" i="1"/>
  <c r="E96" i="1"/>
  <c r="A98" i="1"/>
  <c r="B98" i="1"/>
  <c r="C98" i="1"/>
  <c r="D98" i="1"/>
  <c r="E98" i="1"/>
  <c r="A100" i="1"/>
  <c r="B100" i="1"/>
  <c r="C100" i="1"/>
  <c r="D100" i="1"/>
  <c r="E100" i="1"/>
  <c r="A95" i="1"/>
  <c r="B95" i="1"/>
  <c r="C95" i="1"/>
  <c r="D95" i="1"/>
  <c r="E95" i="1"/>
  <c r="A101" i="1"/>
  <c r="B101" i="1"/>
  <c r="C101" i="1"/>
  <c r="D101" i="1"/>
  <c r="E101" i="1"/>
  <c r="A102" i="1"/>
  <c r="B102" i="1"/>
  <c r="C102" i="1"/>
  <c r="D102" i="1"/>
  <c r="E102" i="1"/>
  <c r="A104" i="1"/>
  <c r="B104" i="1"/>
  <c r="C104" i="1"/>
  <c r="D104" i="1"/>
  <c r="E104" i="1"/>
  <c r="A103" i="1"/>
  <c r="B103" i="1"/>
  <c r="C103" i="1"/>
  <c r="D103" i="1"/>
  <c r="E103" i="1"/>
  <c r="A82" i="1"/>
  <c r="B82" i="1"/>
  <c r="C82" i="1"/>
  <c r="D82" i="1"/>
  <c r="E82" i="1"/>
  <c r="A105" i="1"/>
  <c r="B105" i="1"/>
  <c r="C105" i="1"/>
  <c r="D105" i="1"/>
  <c r="E105" i="1"/>
  <c r="A114" i="1"/>
  <c r="B114" i="1"/>
  <c r="C114" i="1"/>
  <c r="D114" i="1"/>
  <c r="E114" i="1"/>
  <c r="A109" i="1"/>
  <c r="B109" i="1"/>
  <c r="C109" i="1"/>
  <c r="D109" i="1"/>
  <c r="E109" i="1"/>
  <c r="A110" i="1"/>
  <c r="B110" i="1"/>
  <c r="C110" i="1"/>
  <c r="D110" i="1"/>
  <c r="E110" i="1"/>
  <c r="A107" i="1"/>
  <c r="B107" i="1"/>
  <c r="C107" i="1"/>
  <c r="D107" i="1"/>
  <c r="E107" i="1"/>
  <c r="A112" i="1"/>
  <c r="B112" i="1"/>
  <c r="C112" i="1"/>
  <c r="D112" i="1"/>
  <c r="E112" i="1"/>
  <c r="A106" i="1"/>
  <c r="B106" i="1"/>
  <c r="C106" i="1"/>
  <c r="D106" i="1"/>
  <c r="E106" i="1"/>
  <c r="A108" i="1"/>
  <c r="B108" i="1"/>
  <c r="C108" i="1"/>
  <c r="D108" i="1"/>
  <c r="E108" i="1"/>
  <c r="A111" i="1"/>
  <c r="B111" i="1"/>
  <c r="C111" i="1"/>
  <c r="D111" i="1"/>
  <c r="E111" i="1"/>
  <c r="A113" i="1"/>
  <c r="B113" i="1"/>
  <c r="C113" i="1"/>
  <c r="D113" i="1"/>
  <c r="E113" i="1"/>
  <c r="A115" i="1"/>
  <c r="B115" i="1"/>
  <c r="C115" i="1"/>
  <c r="D115" i="1"/>
  <c r="E115" i="1"/>
  <c r="A118" i="1"/>
  <c r="B118" i="1"/>
  <c r="C118" i="1"/>
  <c r="D118" i="1"/>
  <c r="E118" i="1"/>
  <c r="A116" i="1"/>
  <c r="B116" i="1"/>
  <c r="C116" i="1"/>
  <c r="D116" i="1"/>
  <c r="E116" i="1"/>
  <c r="A117" i="1"/>
  <c r="B117" i="1"/>
  <c r="C117" i="1"/>
  <c r="D117" i="1"/>
  <c r="E117" i="1"/>
  <c r="A120" i="1"/>
  <c r="B120" i="1"/>
  <c r="C120" i="1"/>
  <c r="D120" i="1"/>
  <c r="E120" i="1"/>
  <c r="A123" i="1"/>
  <c r="B123" i="1"/>
  <c r="C123" i="1"/>
  <c r="D123" i="1"/>
  <c r="E123" i="1"/>
  <c r="A122" i="1"/>
  <c r="B122" i="1"/>
  <c r="C122" i="1"/>
  <c r="D122" i="1"/>
  <c r="E122" i="1"/>
  <c r="A124" i="1"/>
  <c r="B124" i="1"/>
  <c r="C124" i="1"/>
  <c r="D124" i="1"/>
  <c r="E124" i="1"/>
  <c r="A126" i="1"/>
  <c r="B126" i="1"/>
  <c r="C126" i="1"/>
  <c r="D126" i="1"/>
  <c r="E126" i="1"/>
  <c r="A127" i="1"/>
  <c r="B127" i="1"/>
  <c r="C127" i="1"/>
  <c r="D127" i="1"/>
  <c r="E127" i="1"/>
  <c r="A121" i="1"/>
  <c r="B121" i="1"/>
  <c r="C121" i="1"/>
  <c r="D121" i="1"/>
  <c r="E121" i="1"/>
  <c r="A129" i="1"/>
  <c r="B129" i="1"/>
  <c r="C129" i="1"/>
  <c r="D129" i="1"/>
  <c r="E129" i="1"/>
  <c r="A125" i="1"/>
  <c r="B125" i="1"/>
  <c r="C125" i="1"/>
  <c r="D125" i="1"/>
  <c r="E125" i="1"/>
  <c r="A130" i="1"/>
  <c r="B130" i="1"/>
  <c r="C130" i="1"/>
  <c r="D130" i="1"/>
  <c r="E130" i="1"/>
  <c r="A119" i="1"/>
  <c r="B119" i="1"/>
  <c r="C119" i="1"/>
  <c r="D119" i="1"/>
  <c r="E119" i="1"/>
  <c r="A128" i="1"/>
  <c r="B128" i="1"/>
  <c r="C128" i="1"/>
  <c r="D128" i="1"/>
  <c r="E128" i="1"/>
  <c r="A136" i="1"/>
  <c r="B136" i="1"/>
  <c r="C136" i="1"/>
  <c r="D136" i="1"/>
  <c r="E136" i="1"/>
  <c r="A134" i="1"/>
  <c r="B134" i="1"/>
  <c r="C134" i="1"/>
  <c r="D134" i="1"/>
  <c r="E134" i="1"/>
  <c r="A135" i="1"/>
  <c r="B135" i="1"/>
  <c r="C135" i="1"/>
  <c r="D135" i="1"/>
  <c r="E135" i="1"/>
  <c r="A132" i="1"/>
  <c r="B132" i="1"/>
  <c r="C132" i="1"/>
  <c r="D132" i="1"/>
  <c r="E132" i="1"/>
  <c r="A133" i="1"/>
  <c r="B133" i="1"/>
  <c r="C133" i="1"/>
  <c r="D133" i="1"/>
  <c r="E133" i="1"/>
  <c r="A131" i="1"/>
  <c r="B131" i="1"/>
  <c r="C131" i="1"/>
  <c r="D131" i="1"/>
  <c r="E131" i="1"/>
  <c r="A142" i="1"/>
  <c r="B142" i="1"/>
  <c r="C142" i="1"/>
  <c r="D142" i="1"/>
  <c r="E142" i="1"/>
  <c r="A137" i="1"/>
  <c r="B137" i="1"/>
  <c r="C137" i="1"/>
  <c r="D137" i="1"/>
  <c r="E137" i="1"/>
  <c r="A138" i="1"/>
  <c r="B138" i="1"/>
  <c r="C138" i="1"/>
  <c r="D138" i="1"/>
  <c r="E138" i="1"/>
  <c r="A145" i="1"/>
  <c r="B145" i="1"/>
  <c r="C145" i="1"/>
  <c r="D145" i="1"/>
  <c r="E145" i="1"/>
  <c r="A139" i="1"/>
  <c r="B139" i="1"/>
  <c r="C139" i="1"/>
  <c r="D139" i="1"/>
  <c r="E139" i="1"/>
  <c r="A141" i="1"/>
  <c r="B141" i="1"/>
  <c r="C141" i="1"/>
  <c r="D141" i="1"/>
  <c r="E141" i="1"/>
  <c r="A144" i="1"/>
  <c r="B144" i="1"/>
  <c r="C144" i="1"/>
  <c r="D144" i="1"/>
  <c r="E144" i="1"/>
  <c r="A140" i="1"/>
  <c r="B140" i="1"/>
  <c r="C140" i="1"/>
  <c r="D140" i="1"/>
  <c r="E140" i="1"/>
  <c r="A143" i="1"/>
  <c r="B143" i="1"/>
  <c r="C143" i="1"/>
  <c r="D143" i="1"/>
  <c r="E143" i="1"/>
  <c r="A150" i="1"/>
  <c r="B150" i="1"/>
  <c r="C150" i="1"/>
  <c r="D150" i="1"/>
  <c r="E150" i="1"/>
  <c r="A149" i="1"/>
  <c r="B149" i="1"/>
  <c r="C149" i="1"/>
  <c r="D149" i="1"/>
  <c r="E149" i="1"/>
  <c r="A148" i="1"/>
  <c r="B148" i="1"/>
  <c r="C148" i="1"/>
  <c r="D148" i="1"/>
  <c r="E148" i="1"/>
  <c r="A146" i="1"/>
  <c r="B146" i="1"/>
  <c r="C146" i="1"/>
  <c r="D146" i="1"/>
  <c r="E146" i="1"/>
  <c r="A152" i="1"/>
  <c r="B152" i="1"/>
  <c r="C152" i="1"/>
  <c r="D152" i="1"/>
  <c r="E152" i="1"/>
  <c r="A151" i="1"/>
  <c r="B151" i="1"/>
  <c r="C151" i="1"/>
  <c r="D151" i="1"/>
  <c r="E151" i="1"/>
  <c r="A153" i="1"/>
  <c r="B153" i="1"/>
  <c r="C153" i="1"/>
  <c r="D153" i="1"/>
  <c r="E153" i="1"/>
  <c r="A154" i="1"/>
  <c r="B154" i="1"/>
  <c r="C154" i="1"/>
  <c r="D154" i="1"/>
  <c r="E154" i="1"/>
  <c r="A161" i="1"/>
  <c r="B161" i="1"/>
  <c r="C161" i="1"/>
  <c r="D161" i="1"/>
  <c r="E161" i="1"/>
  <c r="A169" i="1"/>
  <c r="B169" i="1"/>
  <c r="C169" i="1"/>
  <c r="D169" i="1"/>
  <c r="E169" i="1"/>
  <c r="A160" i="1"/>
  <c r="B160" i="1"/>
  <c r="C160" i="1"/>
  <c r="D160" i="1"/>
  <c r="E160" i="1"/>
  <c r="A159" i="1"/>
  <c r="B159" i="1"/>
  <c r="C159" i="1"/>
  <c r="D159" i="1"/>
  <c r="E159" i="1"/>
  <c r="A157" i="1"/>
  <c r="B157" i="1"/>
  <c r="C157" i="1"/>
  <c r="D157" i="1"/>
  <c r="E157" i="1"/>
  <c r="A165" i="1"/>
  <c r="B165" i="1"/>
  <c r="C165" i="1"/>
  <c r="D165" i="1"/>
  <c r="E165" i="1"/>
  <c r="A168" i="1"/>
  <c r="B168" i="1"/>
  <c r="C168" i="1"/>
  <c r="D168" i="1"/>
  <c r="E168" i="1"/>
  <c r="A156" i="1"/>
  <c r="B156" i="1"/>
  <c r="C156" i="1"/>
  <c r="D156" i="1"/>
  <c r="E156" i="1"/>
  <c r="A164" i="1"/>
  <c r="B164" i="1"/>
  <c r="C164" i="1"/>
  <c r="D164" i="1"/>
  <c r="E164" i="1"/>
  <c r="A166" i="1"/>
  <c r="B166" i="1"/>
  <c r="C166" i="1"/>
  <c r="D166" i="1"/>
  <c r="E166" i="1"/>
  <c r="A162" i="1"/>
  <c r="B162" i="1"/>
  <c r="C162" i="1"/>
  <c r="D162" i="1"/>
  <c r="E162" i="1"/>
  <c r="A155" i="1"/>
  <c r="B155" i="1"/>
  <c r="C155" i="1"/>
  <c r="D155" i="1"/>
  <c r="E155" i="1"/>
  <c r="A158" i="1"/>
  <c r="B158" i="1"/>
  <c r="C158" i="1"/>
  <c r="D158" i="1"/>
  <c r="E158" i="1"/>
  <c r="A167" i="1"/>
  <c r="B167" i="1"/>
  <c r="C167" i="1"/>
  <c r="D167" i="1"/>
  <c r="E167" i="1"/>
  <c r="A173" i="1"/>
  <c r="B173" i="1"/>
  <c r="C173" i="1"/>
  <c r="D173" i="1"/>
  <c r="E173" i="1"/>
  <c r="A163" i="1"/>
  <c r="B163" i="1"/>
  <c r="C163" i="1"/>
  <c r="D163" i="1"/>
  <c r="E163" i="1"/>
  <c r="A170" i="1"/>
  <c r="B170" i="1"/>
  <c r="C170" i="1"/>
  <c r="D170" i="1"/>
  <c r="E170" i="1"/>
  <c r="A174" i="1"/>
  <c r="B174" i="1"/>
  <c r="C174" i="1"/>
  <c r="D174" i="1"/>
  <c r="E174" i="1"/>
  <c r="A175" i="1"/>
  <c r="B175" i="1"/>
  <c r="C175" i="1"/>
  <c r="D175" i="1"/>
  <c r="E175" i="1"/>
  <c r="A171" i="1"/>
  <c r="B171" i="1"/>
  <c r="C171" i="1"/>
  <c r="D171" i="1"/>
  <c r="E171" i="1"/>
  <c r="A181" i="1"/>
  <c r="B181" i="1"/>
  <c r="C181" i="1"/>
  <c r="D181" i="1"/>
  <c r="E181" i="1"/>
  <c r="A180" i="1"/>
  <c r="B180" i="1"/>
  <c r="C180" i="1"/>
  <c r="D180" i="1"/>
  <c r="E180" i="1"/>
  <c r="A172" i="1"/>
  <c r="B172" i="1"/>
  <c r="C172" i="1"/>
  <c r="D172" i="1"/>
  <c r="E172" i="1"/>
  <c r="A177" i="1"/>
  <c r="B177" i="1"/>
  <c r="C177" i="1"/>
  <c r="D177" i="1"/>
  <c r="E177" i="1"/>
  <c r="A179" i="1"/>
  <c r="B179" i="1"/>
  <c r="C179" i="1"/>
  <c r="D179" i="1"/>
  <c r="E179" i="1"/>
  <c r="A176" i="1"/>
  <c r="B176" i="1"/>
  <c r="C176" i="1"/>
  <c r="D176" i="1"/>
  <c r="E176" i="1"/>
  <c r="A178" i="1"/>
  <c r="B178" i="1"/>
  <c r="C178" i="1"/>
  <c r="D178" i="1"/>
  <c r="E178" i="1"/>
  <c r="A185" i="1"/>
  <c r="B185" i="1"/>
  <c r="C185" i="1"/>
  <c r="D185" i="1"/>
  <c r="E185" i="1"/>
  <c r="A183" i="1"/>
  <c r="B183" i="1"/>
  <c r="C183" i="1"/>
  <c r="D183" i="1"/>
  <c r="E183" i="1"/>
  <c r="A147" i="1"/>
  <c r="B147" i="1"/>
  <c r="C147" i="1"/>
  <c r="D147" i="1"/>
  <c r="E147" i="1"/>
  <c r="A187" i="1"/>
  <c r="B187" i="1"/>
  <c r="C187" i="1"/>
  <c r="D187" i="1"/>
  <c r="E187" i="1"/>
  <c r="A184" i="1"/>
  <c r="B184" i="1"/>
  <c r="C184" i="1"/>
  <c r="D184" i="1"/>
  <c r="E184" i="1"/>
  <c r="A186" i="1"/>
  <c r="B186" i="1"/>
  <c r="C186" i="1"/>
  <c r="D186" i="1"/>
  <c r="E186" i="1"/>
  <c r="A189" i="1"/>
  <c r="B189" i="1"/>
  <c r="C189" i="1"/>
  <c r="D189" i="1"/>
  <c r="E189" i="1"/>
  <c r="A182" i="1"/>
  <c r="B182" i="1"/>
  <c r="C182" i="1"/>
  <c r="D182" i="1"/>
  <c r="E182" i="1"/>
  <c r="A191" i="1"/>
  <c r="B191" i="1"/>
  <c r="C191" i="1"/>
  <c r="D191" i="1"/>
  <c r="E191" i="1"/>
  <c r="A194" i="1"/>
  <c r="B194" i="1"/>
  <c r="C194" i="1"/>
  <c r="D194" i="1"/>
  <c r="E194" i="1"/>
  <c r="A190" i="1"/>
  <c r="B190" i="1"/>
  <c r="C190" i="1"/>
  <c r="D190" i="1"/>
  <c r="E190" i="1"/>
  <c r="A188" i="1"/>
  <c r="B188" i="1"/>
  <c r="C188" i="1"/>
  <c r="D188" i="1"/>
  <c r="E188" i="1"/>
  <c r="A193" i="1"/>
  <c r="B193" i="1"/>
  <c r="C193" i="1"/>
  <c r="D193" i="1"/>
  <c r="E193" i="1"/>
  <c r="A196" i="1"/>
  <c r="B196" i="1"/>
  <c r="C196" i="1"/>
  <c r="D196" i="1"/>
  <c r="E196" i="1"/>
  <c r="A192" i="1"/>
  <c r="B192" i="1"/>
  <c r="C192" i="1"/>
  <c r="D192" i="1"/>
  <c r="E192" i="1"/>
  <c r="A195" i="1"/>
  <c r="B195" i="1"/>
  <c r="C195" i="1"/>
  <c r="D195" i="1"/>
  <c r="E195" i="1"/>
  <c r="A197" i="1"/>
  <c r="B197" i="1"/>
  <c r="C197" i="1"/>
  <c r="D197" i="1"/>
  <c r="E197" i="1"/>
  <c r="A199" i="1"/>
  <c r="B199" i="1"/>
  <c r="C199" i="1"/>
  <c r="D199" i="1"/>
  <c r="E199" i="1"/>
  <c r="A198" i="1"/>
  <c r="B198" i="1"/>
  <c r="C198" i="1"/>
  <c r="D198" i="1"/>
  <c r="E198" i="1"/>
  <c r="A204" i="1"/>
  <c r="B204" i="1"/>
  <c r="C204" i="1"/>
  <c r="D204" i="1"/>
  <c r="E204" i="1"/>
  <c r="A203" i="1"/>
  <c r="B203" i="1"/>
  <c r="C203" i="1"/>
  <c r="D203" i="1"/>
  <c r="E203" i="1"/>
  <c r="A201" i="1"/>
  <c r="B201" i="1"/>
  <c r="C201" i="1"/>
  <c r="D201" i="1"/>
  <c r="E201" i="1"/>
  <c r="A202" i="1"/>
  <c r="B202" i="1"/>
  <c r="C202" i="1"/>
  <c r="D202" i="1"/>
  <c r="E202" i="1"/>
  <c r="A200" i="1"/>
  <c r="B200" i="1"/>
  <c r="C200" i="1"/>
  <c r="D200" i="1"/>
  <c r="E200" i="1"/>
  <c r="A205" i="1"/>
  <c r="B205" i="1"/>
  <c r="C205" i="1"/>
  <c r="D205" i="1"/>
  <c r="E205" i="1"/>
  <c r="A208" i="1"/>
  <c r="B208" i="1"/>
  <c r="C208" i="1"/>
  <c r="D208" i="1"/>
  <c r="E208" i="1"/>
  <c r="A206" i="1"/>
  <c r="B206" i="1"/>
  <c r="C206" i="1"/>
  <c r="D206" i="1"/>
  <c r="E206" i="1"/>
  <c r="A210" i="1"/>
  <c r="B210" i="1"/>
  <c r="C210" i="1"/>
  <c r="D210" i="1"/>
  <c r="E210" i="1"/>
  <c r="A209" i="1"/>
  <c r="B209" i="1"/>
  <c r="C209" i="1"/>
  <c r="D209" i="1"/>
  <c r="E209" i="1"/>
  <c r="A212" i="1"/>
  <c r="B212" i="1"/>
  <c r="C212" i="1"/>
  <c r="D212" i="1"/>
  <c r="E212" i="1"/>
  <c r="A211" i="1"/>
  <c r="B211" i="1"/>
  <c r="C211" i="1"/>
  <c r="D211" i="1"/>
  <c r="E211" i="1"/>
  <c r="A207" i="1"/>
  <c r="B207" i="1"/>
  <c r="C207" i="1"/>
  <c r="D207" i="1"/>
  <c r="E207" i="1"/>
  <c r="A216" i="1"/>
  <c r="B216" i="1"/>
  <c r="C216" i="1"/>
  <c r="D216" i="1"/>
  <c r="E216" i="1"/>
  <c r="A213" i="1"/>
  <c r="B213" i="1"/>
  <c r="C213" i="1"/>
  <c r="D213" i="1"/>
  <c r="E213" i="1"/>
  <c r="A215" i="1"/>
  <c r="B215" i="1"/>
  <c r="C215" i="1"/>
  <c r="D215" i="1"/>
  <c r="E215" i="1"/>
  <c r="A218" i="1"/>
  <c r="B218" i="1"/>
  <c r="C218" i="1"/>
  <c r="D218" i="1"/>
  <c r="E218" i="1"/>
  <c r="A217" i="1"/>
  <c r="B217" i="1"/>
  <c r="C217" i="1"/>
  <c r="D217" i="1"/>
  <c r="E217" i="1"/>
  <c r="A214" i="1"/>
  <c r="B214" i="1"/>
  <c r="C214" i="1"/>
  <c r="D214" i="1"/>
  <c r="E214" i="1"/>
  <c r="A221" i="1"/>
  <c r="B221" i="1"/>
  <c r="C221" i="1"/>
  <c r="D221" i="1"/>
  <c r="E221" i="1"/>
  <c r="A222" i="1"/>
  <c r="B222" i="1"/>
  <c r="C222" i="1"/>
  <c r="D222" i="1"/>
  <c r="E222" i="1"/>
  <c r="A220" i="1"/>
  <c r="B220" i="1"/>
  <c r="C220" i="1"/>
  <c r="D220" i="1"/>
  <c r="E220" i="1"/>
  <c r="A219" i="1"/>
  <c r="B219" i="1"/>
  <c r="C219" i="1"/>
  <c r="D219" i="1"/>
  <c r="E219" i="1"/>
  <c r="A224" i="1"/>
  <c r="B224" i="1"/>
  <c r="C224" i="1"/>
  <c r="D224" i="1"/>
  <c r="E224" i="1"/>
  <c r="A225" i="1"/>
  <c r="B225" i="1"/>
  <c r="C225" i="1"/>
  <c r="D225" i="1"/>
  <c r="E225" i="1"/>
  <c r="A223" i="1"/>
  <c r="B223" i="1"/>
  <c r="C223" i="1"/>
  <c r="D223" i="1"/>
  <c r="E223" i="1"/>
  <c r="A227" i="1"/>
  <c r="B227" i="1"/>
  <c r="C227" i="1"/>
  <c r="D227" i="1"/>
  <c r="E227" i="1"/>
  <c r="A228" i="1"/>
  <c r="B228" i="1"/>
  <c r="C228" i="1"/>
  <c r="D228" i="1"/>
  <c r="E228" i="1"/>
  <c r="A226" i="1"/>
  <c r="B226" i="1"/>
  <c r="C226" i="1"/>
  <c r="D226" i="1"/>
  <c r="E226" i="1"/>
  <c r="A229" i="1"/>
  <c r="B229" i="1"/>
  <c r="C229" i="1"/>
  <c r="D229" i="1"/>
  <c r="E229" i="1"/>
  <c r="A237" i="1"/>
  <c r="B237" i="1"/>
  <c r="C237" i="1"/>
  <c r="D237" i="1"/>
  <c r="E237" i="1"/>
  <c r="A231" i="1"/>
  <c r="B231" i="1"/>
  <c r="C231" i="1"/>
  <c r="D231" i="1"/>
  <c r="E231" i="1"/>
  <c r="A230" i="1"/>
  <c r="B230" i="1"/>
  <c r="C230" i="1"/>
  <c r="D230" i="1"/>
  <c r="E230" i="1"/>
  <c r="A232" i="1"/>
  <c r="B232" i="1"/>
  <c r="C232" i="1"/>
  <c r="D232" i="1"/>
  <c r="E232" i="1"/>
  <c r="A234" i="1"/>
  <c r="B234" i="1"/>
  <c r="C234" i="1"/>
  <c r="D234" i="1"/>
  <c r="E234" i="1"/>
  <c r="A235" i="1"/>
  <c r="B235" i="1"/>
  <c r="C235" i="1"/>
  <c r="D235" i="1"/>
  <c r="E235" i="1"/>
  <c r="A240" i="1"/>
  <c r="B240" i="1"/>
  <c r="C240" i="1"/>
  <c r="D240" i="1"/>
  <c r="E240" i="1"/>
  <c r="A233" i="1"/>
  <c r="B233" i="1"/>
  <c r="C233" i="1"/>
  <c r="D233" i="1"/>
  <c r="E233" i="1"/>
  <c r="A236" i="1"/>
  <c r="B236" i="1"/>
  <c r="C236" i="1"/>
  <c r="D236" i="1"/>
  <c r="E236" i="1"/>
  <c r="A238" i="1"/>
  <c r="B238" i="1"/>
  <c r="C238" i="1"/>
  <c r="D238" i="1"/>
  <c r="E238" i="1"/>
  <c r="A239" i="1"/>
  <c r="B239" i="1"/>
  <c r="C239" i="1"/>
  <c r="D239" i="1"/>
  <c r="E239" i="1"/>
  <c r="A245" i="1"/>
  <c r="B245" i="1"/>
  <c r="C245" i="1"/>
  <c r="D245" i="1"/>
  <c r="E245" i="1"/>
  <c r="A244" i="1"/>
  <c r="B244" i="1"/>
  <c r="C244" i="1"/>
  <c r="D244" i="1"/>
  <c r="E244" i="1"/>
  <c r="A246" i="1"/>
  <c r="B246" i="1"/>
  <c r="C246" i="1"/>
  <c r="D246" i="1"/>
  <c r="E246" i="1"/>
  <c r="A241" i="1"/>
  <c r="B241" i="1"/>
  <c r="C241" i="1"/>
  <c r="D241" i="1"/>
  <c r="E241" i="1"/>
  <c r="A248" i="1"/>
  <c r="B248" i="1"/>
  <c r="C248" i="1"/>
  <c r="D248" i="1"/>
  <c r="E248" i="1"/>
  <c r="A251" i="1"/>
  <c r="B251" i="1"/>
  <c r="C251" i="1"/>
  <c r="D251" i="1"/>
  <c r="E251" i="1"/>
  <c r="A247" i="1"/>
  <c r="B247" i="1"/>
  <c r="C247" i="1"/>
  <c r="D247" i="1"/>
  <c r="E247" i="1"/>
  <c r="A250" i="1"/>
  <c r="B250" i="1"/>
  <c r="C250" i="1"/>
  <c r="D250" i="1"/>
  <c r="E250" i="1"/>
  <c r="A243" i="1"/>
  <c r="B243" i="1"/>
  <c r="C243" i="1"/>
  <c r="D243" i="1"/>
  <c r="E243" i="1"/>
  <c r="A253" i="1"/>
  <c r="B253" i="1"/>
  <c r="C253" i="1"/>
  <c r="D253" i="1"/>
  <c r="E253" i="1"/>
  <c r="A256" i="1"/>
  <c r="B256" i="1"/>
  <c r="C256" i="1"/>
  <c r="D256" i="1"/>
  <c r="E256" i="1"/>
  <c r="A254" i="1"/>
  <c r="B254" i="1"/>
  <c r="C254" i="1"/>
  <c r="D254" i="1"/>
  <c r="E254" i="1"/>
  <c r="A249" i="1"/>
  <c r="B249" i="1"/>
  <c r="C249" i="1"/>
  <c r="D249" i="1"/>
  <c r="E249" i="1"/>
  <c r="A261" i="1"/>
  <c r="B261" i="1"/>
  <c r="C261" i="1"/>
  <c r="D261" i="1"/>
  <c r="E261" i="1"/>
  <c r="A257" i="1"/>
  <c r="B257" i="1"/>
  <c r="C257" i="1"/>
  <c r="D257" i="1"/>
  <c r="E257" i="1"/>
  <c r="A259" i="1"/>
  <c r="B259" i="1"/>
  <c r="C259" i="1"/>
  <c r="D259" i="1"/>
  <c r="E259" i="1"/>
  <c r="A242" i="1"/>
  <c r="B242" i="1"/>
  <c r="C242" i="1"/>
  <c r="D242" i="1"/>
  <c r="E242" i="1"/>
  <c r="A255" i="1"/>
  <c r="B255" i="1"/>
  <c r="C255" i="1"/>
  <c r="D255" i="1"/>
  <c r="E255" i="1"/>
  <c r="A252" i="1"/>
  <c r="B252" i="1"/>
  <c r="C252" i="1"/>
  <c r="D252" i="1"/>
  <c r="E252" i="1"/>
  <c r="A258" i="1"/>
  <c r="B258" i="1"/>
  <c r="C258" i="1"/>
  <c r="D258" i="1"/>
  <c r="E258" i="1"/>
  <c r="A260" i="1"/>
  <c r="B260" i="1"/>
  <c r="C260" i="1"/>
  <c r="D260" i="1"/>
  <c r="E260" i="1"/>
  <c r="A267" i="1"/>
  <c r="B267" i="1"/>
  <c r="C267" i="1"/>
  <c r="D267" i="1"/>
  <c r="E267" i="1"/>
  <c r="A262" i="1"/>
  <c r="B262" i="1"/>
  <c r="C262" i="1"/>
  <c r="D262" i="1"/>
  <c r="E262" i="1"/>
  <c r="A271" i="1"/>
  <c r="B271" i="1"/>
  <c r="C271" i="1"/>
  <c r="D271" i="1"/>
  <c r="E271" i="1"/>
  <c r="A269" i="1"/>
  <c r="B269" i="1"/>
  <c r="C269" i="1"/>
  <c r="D269" i="1"/>
  <c r="E269" i="1"/>
  <c r="A266" i="1"/>
  <c r="B266" i="1"/>
  <c r="C266" i="1"/>
  <c r="D266" i="1"/>
  <c r="E266" i="1"/>
  <c r="A265" i="1"/>
  <c r="B265" i="1"/>
  <c r="C265" i="1"/>
  <c r="D265" i="1"/>
  <c r="E265" i="1"/>
  <c r="A264" i="1"/>
  <c r="B264" i="1"/>
  <c r="C264" i="1"/>
  <c r="D264" i="1"/>
  <c r="E264" i="1"/>
  <c r="A270" i="1"/>
  <c r="B270" i="1"/>
  <c r="C270" i="1"/>
  <c r="D270" i="1"/>
  <c r="E270" i="1"/>
  <c r="A268" i="1"/>
  <c r="B268" i="1"/>
  <c r="C268" i="1"/>
  <c r="D268" i="1"/>
  <c r="E268" i="1"/>
  <c r="A263" i="1"/>
  <c r="B263" i="1"/>
  <c r="C263" i="1"/>
  <c r="D263" i="1"/>
  <c r="E263" i="1"/>
  <c r="A276" i="1"/>
  <c r="B276" i="1"/>
  <c r="C276" i="1"/>
  <c r="D276" i="1"/>
  <c r="E276" i="1"/>
  <c r="A272" i="1"/>
  <c r="B272" i="1"/>
  <c r="C272" i="1"/>
  <c r="D272" i="1"/>
  <c r="E272" i="1"/>
  <c r="A273" i="1"/>
  <c r="B273" i="1"/>
  <c r="C273" i="1"/>
  <c r="D273" i="1"/>
  <c r="E273" i="1"/>
  <c r="A275" i="1"/>
  <c r="B275" i="1"/>
  <c r="C275" i="1"/>
  <c r="D275" i="1"/>
  <c r="E275" i="1"/>
  <c r="A274" i="1"/>
  <c r="B274" i="1"/>
  <c r="C274" i="1"/>
  <c r="D274" i="1"/>
  <c r="E274" i="1"/>
  <c r="A277" i="1"/>
  <c r="B277" i="1"/>
  <c r="C277" i="1"/>
  <c r="D277" i="1"/>
  <c r="E277" i="1"/>
  <c r="A284" i="1"/>
  <c r="B284" i="1"/>
  <c r="C284" i="1"/>
  <c r="D284" i="1"/>
  <c r="E284" i="1"/>
  <c r="A285" i="1"/>
  <c r="B285" i="1"/>
  <c r="C285" i="1"/>
  <c r="D285" i="1"/>
  <c r="E285" i="1"/>
  <c r="A278" i="1"/>
  <c r="B278" i="1"/>
  <c r="C278" i="1"/>
  <c r="D278" i="1"/>
  <c r="E278" i="1"/>
  <c r="A280" i="1"/>
  <c r="B280" i="1"/>
  <c r="C280" i="1"/>
  <c r="D280" i="1"/>
  <c r="E280" i="1"/>
  <c r="A286" i="1"/>
  <c r="B286" i="1"/>
  <c r="C286" i="1"/>
  <c r="D286" i="1"/>
  <c r="E286" i="1"/>
  <c r="A282" i="1"/>
  <c r="B282" i="1"/>
  <c r="C282" i="1"/>
  <c r="D282" i="1"/>
  <c r="E282" i="1"/>
  <c r="A287" i="1"/>
  <c r="B287" i="1"/>
  <c r="C287" i="1"/>
  <c r="D287" i="1"/>
  <c r="E287" i="1"/>
  <c r="A288" i="1"/>
  <c r="B288" i="1"/>
  <c r="C288" i="1"/>
  <c r="D288" i="1"/>
  <c r="E288" i="1"/>
  <c r="A289" i="1"/>
  <c r="B289" i="1"/>
  <c r="C289" i="1"/>
  <c r="D289" i="1"/>
  <c r="E289" i="1"/>
  <c r="A290" i="1"/>
  <c r="B290" i="1"/>
  <c r="C290" i="1"/>
  <c r="D290" i="1"/>
  <c r="E290" i="1"/>
  <c r="A279" i="1"/>
  <c r="B279" i="1"/>
  <c r="C279" i="1"/>
  <c r="D279" i="1"/>
  <c r="E279" i="1"/>
  <c r="A281" i="1"/>
  <c r="B281" i="1"/>
  <c r="C281" i="1"/>
  <c r="D281" i="1"/>
  <c r="E281" i="1"/>
  <c r="A291" i="1"/>
  <c r="B291" i="1"/>
  <c r="C291" i="1"/>
  <c r="D291" i="1"/>
  <c r="E291" i="1"/>
  <c r="A292" i="1"/>
  <c r="B292" i="1"/>
  <c r="C292" i="1"/>
  <c r="D292" i="1"/>
  <c r="E292" i="1"/>
  <c r="A283" i="1"/>
  <c r="B283" i="1"/>
  <c r="C283" i="1"/>
  <c r="D283" i="1"/>
  <c r="E283" i="1"/>
  <c r="A293" i="1"/>
  <c r="B293" i="1"/>
  <c r="C293" i="1"/>
  <c r="D293" i="1"/>
  <c r="E293" i="1"/>
  <c r="A295" i="1"/>
  <c r="B295" i="1"/>
  <c r="C295" i="1"/>
  <c r="D295" i="1"/>
  <c r="E295" i="1"/>
  <c r="A294" i="1"/>
  <c r="B294" i="1"/>
  <c r="C294" i="1"/>
  <c r="D294" i="1"/>
  <c r="E294" i="1"/>
  <c r="A296" i="1"/>
  <c r="B296" i="1"/>
  <c r="C296" i="1"/>
  <c r="D296" i="1"/>
  <c r="E296" i="1"/>
  <c r="A299" i="1"/>
  <c r="B299" i="1"/>
  <c r="C299" i="1"/>
  <c r="D299" i="1"/>
  <c r="E299" i="1"/>
  <c r="A298" i="1"/>
  <c r="B298" i="1"/>
  <c r="C298" i="1"/>
  <c r="D298" i="1"/>
  <c r="E298" i="1"/>
  <c r="A297" i="1"/>
  <c r="B297" i="1"/>
  <c r="C297" i="1"/>
  <c r="D297" i="1"/>
  <c r="E297" i="1"/>
  <c r="A300" i="1"/>
  <c r="B300" i="1"/>
  <c r="C300" i="1"/>
  <c r="D300" i="1"/>
  <c r="E300" i="1"/>
  <c r="A301" i="1"/>
  <c r="B301" i="1"/>
  <c r="C301" i="1"/>
  <c r="D301" i="1"/>
  <c r="E301" i="1"/>
  <c r="A302" i="1"/>
  <c r="B302" i="1"/>
  <c r="C302" i="1"/>
  <c r="D302" i="1"/>
  <c r="E302" i="1"/>
  <c r="A303" i="1"/>
  <c r="B303" i="1"/>
  <c r="C303" i="1"/>
  <c r="D303" i="1"/>
  <c r="E303" i="1"/>
  <c r="A304" i="1"/>
  <c r="B304" i="1"/>
  <c r="C304" i="1"/>
  <c r="D304" i="1"/>
  <c r="E304" i="1"/>
  <c r="A305" i="1"/>
  <c r="B305" i="1"/>
  <c r="C305" i="1"/>
  <c r="D305" i="1"/>
  <c r="E305" i="1"/>
  <c r="A306" i="1"/>
  <c r="B306" i="1"/>
  <c r="C306" i="1"/>
  <c r="D306" i="1"/>
  <c r="E306" i="1"/>
  <c r="A309" i="1"/>
  <c r="B309" i="1"/>
  <c r="C309" i="1"/>
  <c r="D309" i="1"/>
  <c r="E309" i="1"/>
  <c r="A307" i="1"/>
  <c r="B307" i="1"/>
  <c r="C307" i="1"/>
  <c r="D307" i="1"/>
  <c r="E307" i="1"/>
  <c r="A308" i="1"/>
  <c r="B308" i="1"/>
  <c r="C308" i="1"/>
  <c r="D308" i="1"/>
  <c r="E308" i="1"/>
  <c r="A310" i="1"/>
  <c r="B310" i="1"/>
  <c r="C310" i="1"/>
  <c r="D310" i="1"/>
  <c r="E310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6" i="1"/>
  <c r="B316" i="1"/>
  <c r="C316" i="1"/>
  <c r="D316" i="1"/>
  <c r="E316" i="1"/>
  <c r="A315" i="1"/>
  <c r="B315" i="1"/>
  <c r="C315" i="1"/>
  <c r="D315" i="1"/>
  <c r="E315" i="1"/>
  <c r="A317" i="1"/>
  <c r="B317" i="1"/>
  <c r="C317" i="1"/>
  <c r="D317" i="1"/>
  <c r="E317" i="1"/>
  <c r="A318" i="1"/>
  <c r="B318" i="1"/>
  <c r="C318" i="1"/>
  <c r="D318" i="1"/>
  <c r="E318" i="1"/>
  <c r="A320" i="1"/>
  <c r="B320" i="1"/>
  <c r="C320" i="1"/>
  <c r="D320" i="1"/>
  <c r="E320" i="1"/>
  <c r="A319" i="1"/>
  <c r="B319" i="1"/>
  <c r="C319" i="1"/>
  <c r="D319" i="1"/>
  <c r="E319" i="1"/>
  <c r="A321" i="1"/>
  <c r="B321" i="1"/>
  <c r="C321" i="1"/>
  <c r="D321" i="1"/>
  <c r="E321" i="1"/>
  <c r="A323" i="1"/>
  <c r="B323" i="1"/>
  <c r="C323" i="1"/>
  <c r="D323" i="1"/>
  <c r="E323" i="1"/>
  <c r="A325" i="1"/>
  <c r="B325" i="1"/>
  <c r="C325" i="1"/>
  <c r="D325" i="1"/>
  <c r="E325" i="1"/>
  <c r="A324" i="1"/>
  <c r="B324" i="1"/>
  <c r="C324" i="1"/>
  <c r="D324" i="1"/>
  <c r="E324" i="1"/>
  <c r="A326" i="1"/>
  <c r="B326" i="1"/>
  <c r="C326" i="1"/>
  <c r="D326" i="1"/>
  <c r="E326" i="1"/>
  <c r="A327" i="1"/>
  <c r="B327" i="1"/>
  <c r="C327" i="1"/>
  <c r="D327" i="1"/>
  <c r="E327" i="1"/>
  <c r="A322" i="1"/>
  <c r="B322" i="1"/>
  <c r="C322" i="1"/>
  <c r="D322" i="1"/>
  <c r="E322" i="1"/>
  <c r="A328" i="1"/>
  <c r="B328" i="1"/>
  <c r="C328" i="1"/>
  <c r="D328" i="1"/>
  <c r="E328" i="1"/>
  <c r="A329" i="1"/>
  <c r="B329" i="1"/>
  <c r="C329" i="1"/>
  <c r="D329" i="1"/>
  <c r="E329" i="1"/>
  <c r="A332" i="1"/>
  <c r="B332" i="1"/>
  <c r="C332" i="1"/>
  <c r="D332" i="1"/>
  <c r="E332" i="1"/>
  <c r="A334" i="1"/>
  <c r="B334" i="1"/>
  <c r="C334" i="1"/>
  <c r="D334" i="1"/>
  <c r="E334" i="1"/>
  <c r="A331" i="1"/>
  <c r="B331" i="1"/>
  <c r="C331" i="1"/>
  <c r="D331" i="1"/>
  <c r="E331" i="1"/>
  <c r="A330" i="1"/>
  <c r="B330" i="1"/>
  <c r="C330" i="1"/>
  <c r="D330" i="1"/>
  <c r="E330" i="1"/>
  <c r="A333" i="1"/>
  <c r="B333" i="1"/>
  <c r="C333" i="1"/>
  <c r="D333" i="1"/>
  <c r="E333" i="1"/>
  <c r="A337" i="1"/>
  <c r="B337" i="1"/>
  <c r="C337" i="1"/>
  <c r="D337" i="1"/>
  <c r="E337" i="1"/>
  <c r="A338" i="1"/>
  <c r="B338" i="1"/>
  <c r="C338" i="1"/>
  <c r="D338" i="1"/>
  <c r="E338" i="1"/>
  <c r="A341" i="1"/>
  <c r="B341" i="1"/>
  <c r="C341" i="1"/>
  <c r="D341" i="1"/>
  <c r="E341" i="1"/>
  <c r="A339" i="1"/>
  <c r="B339" i="1"/>
  <c r="C339" i="1"/>
  <c r="D339" i="1"/>
  <c r="E339" i="1"/>
  <c r="A342" i="1"/>
  <c r="B342" i="1"/>
  <c r="C342" i="1"/>
  <c r="D342" i="1"/>
  <c r="E342" i="1"/>
  <c r="A346" i="1"/>
  <c r="B346" i="1"/>
  <c r="C346" i="1"/>
  <c r="D346" i="1"/>
  <c r="E346" i="1"/>
  <c r="A344" i="1"/>
  <c r="B344" i="1"/>
  <c r="C344" i="1"/>
  <c r="D344" i="1"/>
  <c r="E344" i="1"/>
  <c r="A336" i="1"/>
  <c r="B336" i="1"/>
  <c r="C336" i="1"/>
  <c r="D336" i="1"/>
  <c r="E336" i="1"/>
  <c r="A343" i="1"/>
  <c r="B343" i="1"/>
  <c r="C343" i="1"/>
  <c r="D343" i="1"/>
  <c r="E343" i="1"/>
  <c r="A345" i="1"/>
  <c r="B345" i="1"/>
  <c r="C345" i="1"/>
  <c r="D345" i="1"/>
  <c r="E345" i="1"/>
  <c r="A347" i="1"/>
  <c r="B347" i="1"/>
  <c r="C347" i="1"/>
  <c r="D347" i="1"/>
  <c r="E347" i="1"/>
  <c r="A340" i="1"/>
  <c r="B340" i="1"/>
  <c r="C340" i="1"/>
  <c r="D340" i="1"/>
  <c r="E340" i="1"/>
  <c r="A348" i="1"/>
  <c r="B348" i="1"/>
  <c r="C348" i="1"/>
  <c r="D348" i="1"/>
  <c r="E348" i="1"/>
  <c r="A350" i="1"/>
  <c r="B350" i="1"/>
  <c r="C350" i="1"/>
  <c r="D350" i="1"/>
  <c r="E350" i="1"/>
  <c r="A349" i="1"/>
  <c r="B349" i="1"/>
  <c r="C349" i="1"/>
  <c r="D349" i="1"/>
  <c r="E349" i="1"/>
  <c r="A351" i="1"/>
  <c r="B351" i="1"/>
  <c r="C351" i="1"/>
  <c r="D351" i="1"/>
  <c r="E351" i="1"/>
  <c r="A352" i="1"/>
  <c r="B352" i="1"/>
  <c r="C352" i="1"/>
  <c r="D352" i="1"/>
  <c r="E352" i="1"/>
  <c r="A335" i="1"/>
  <c r="B335" i="1"/>
  <c r="C335" i="1"/>
  <c r="D335" i="1"/>
  <c r="E335" i="1"/>
  <c r="A353" i="1"/>
  <c r="B353" i="1"/>
  <c r="C353" i="1"/>
  <c r="D353" i="1"/>
  <c r="E353" i="1"/>
  <c r="A354" i="1"/>
  <c r="B354" i="1"/>
  <c r="C354" i="1"/>
  <c r="D354" i="1"/>
  <c r="E354" i="1"/>
  <c r="A355" i="1"/>
  <c r="B355" i="1"/>
  <c r="C355" i="1"/>
  <c r="D355" i="1"/>
  <c r="E355" i="1"/>
  <c r="A356" i="1"/>
  <c r="B356" i="1"/>
  <c r="C356" i="1"/>
  <c r="D356" i="1"/>
  <c r="E356" i="1"/>
  <c r="A358" i="1"/>
  <c r="B358" i="1"/>
  <c r="C358" i="1"/>
  <c r="D358" i="1"/>
  <c r="E358" i="1"/>
  <c r="A359" i="1"/>
  <c r="B359" i="1"/>
  <c r="C359" i="1"/>
  <c r="D359" i="1"/>
  <c r="E359" i="1"/>
  <c r="A357" i="1"/>
  <c r="B357" i="1"/>
  <c r="C357" i="1"/>
  <c r="D357" i="1"/>
  <c r="E357" i="1"/>
  <c r="A360" i="1"/>
  <c r="B360" i="1"/>
  <c r="C360" i="1"/>
  <c r="D360" i="1"/>
  <c r="E360" i="1"/>
  <c r="A361" i="1"/>
  <c r="B361" i="1"/>
  <c r="C361" i="1"/>
  <c r="D361" i="1"/>
  <c r="E361" i="1"/>
  <c r="A362" i="1"/>
  <c r="B362" i="1"/>
  <c r="C362" i="1"/>
  <c r="D362" i="1"/>
  <c r="E362" i="1"/>
  <c r="A365" i="1"/>
  <c r="B365" i="1"/>
  <c r="C365" i="1"/>
  <c r="D365" i="1"/>
  <c r="E365" i="1"/>
  <c r="A364" i="1"/>
  <c r="B364" i="1"/>
  <c r="C364" i="1"/>
  <c r="D364" i="1"/>
  <c r="E364" i="1"/>
  <c r="A363" i="1"/>
  <c r="B363" i="1"/>
  <c r="C363" i="1"/>
  <c r="D363" i="1"/>
  <c r="E363" i="1"/>
  <c r="A367" i="1"/>
  <c r="B367" i="1"/>
  <c r="C367" i="1"/>
  <c r="D367" i="1"/>
  <c r="E367" i="1"/>
  <c r="A366" i="1"/>
  <c r="B366" i="1"/>
  <c r="C366" i="1"/>
  <c r="D366" i="1"/>
  <c r="E366" i="1"/>
  <c r="A369" i="1"/>
  <c r="B369" i="1"/>
  <c r="C369" i="1"/>
  <c r="D369" i="1"/>
  <c r="E369" i="1"/>
  <c r="A368" i="1"/>
  <c r="B368" i="1"/>
  <c r="C368" i="1"/>
  <c r="D368" i="1"/>
  <c r="E368" i="1"/>
  <c r="A370" i="1"/>
  <c r="B370" i="1"/>
  <c r="C370" i="1"/>
  <c r="D370" i="1"/>
  <c r="E370" i="1"/>
  <c r="A372" i="1"/>
  <c r="B372" i="1"/>
  <c r="C372" i="1"/>
  <c r="D372" i="1"/>
  <c r="E372" i="1"/>
  <c r="A371" i="1"/>
  <c r="B371" i="1"/>
  <c r="C371" i="1"/>
  <c r="D371" i="1"/>
  <c r="E371" i="1"/>
  <c r="A373" i="1"/>
  <c r="B373" i="1"/>
  <c r="C373" i="1"/>
  <c r="D373" i="1"/>
  <c r="E373" i="1"/>
  <c r="A375" i="1"/>
  <c r="B375" i="1"/>
  <c r="C375" i="1"/>
  <c r="D375" i="1"/>
  <c r="E375" i="1"/>
  <c r="A374" i="1"/>
  <c r="B374" i="1"/>
  <c r="C374" i="1"/>
  <c r="D374" i="1"/>
  <c r="E374" i="1"/>
  <c r="A376" i="1"/>
  <c r="B376" i="1"/>
  <c r="C376" i="1"/>
  <c r="D376" i="1"/>
  <c r="E376" i="1"/>
  <c r="A377" i="1"/>
  <c r="B377" i="1"/>
  <c r="C377" i="1"/>
  <c r="D377" i="1"/>
  <c r="E377" i="1"/>
  <c r="A379" i="1"/>
  <c r="B379" i="1"/>
  <c r="C379" i="1"/>
  <c r="D379" i="1"/>
  <c r="E379" i="1"/>
  <c r="A378" i="1"/>
  <c r="B378" i="1"/>
  <c r="C378" i="1"/>
  <c r="D378" i="1"/>
  <c r="E378" i="1"/>
  <c r="A380" i="1"/>
  <c r="B380" i="1"/>
  <c r="C380" i="1"/>
  <c r="D380" i="1"/>
  <c r="E380" i="1"/>
  <c r="A381" i="1"/>
  <c r="B381" i="1"/>
  <c r="C381" i="1"/>
  <c r="D381" i="1"/>
  <c r="E381" i="1"/>
  <c r="A382" i="1"/>
  <c r="B382" i="1"/>
  <c r="C382" i="1"/>
  <c r="D382" i="1"/>
  <c r="E382" i="1"/>
  <c r="A384" i="1"/>
  <c r="B384" i="1"/>
  <c r="C384" i="1"/>
  <c r="D384" i="1"/>
  <c r="E384" i="1"/>
  <c r="A383" i="1"/>
  <c r="B383" i="1"/>
  <c r="C383" i="1"/>
  <c r="D383" i="1"/>
  <c r="E383" i="1"/>
  <c r="A385" i="1"/>
  <c r="B385" i="1"/>
  <c r="C385" i="1"/>
  <c r="D385" i="1"/>
  <c r="E385" i="1"/>
  <c r="A386" i="1"/>
  <c r="B386" i="1"/>
  <c r="C386" i="1"/>
  <c r="D386" i="1"/>
  <c r="E386" i="1"/>
  <c r="A387" i="1"/>
  <c r="B387" i="1"/>
  <c r="C387" i="1"/>
  <c r="D387" i="1"/>
  <c r="E387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6" i="1"/>
  <c r="B396" i="1"/>
  <c r="C396" i="1"/>
  <c r="D396" i="1"/>
  <c r="E396" i="1"/>
  <c r="A395" i="1"/>
  <c r="B395" i="1"/>
  <c r="C395" i="1"/>
  <c r="D395" i="1"/>
  <c r="E395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<sst xmlns="http://schemas.openxmlformats.org/spreadsheetml/2006/main" count="10" uniqueCount="10">
  <si>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</si>
  <si>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</si>
  <si>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</si>
  <si>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</si>
  <si>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</si>
  <si>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</si>
  <si>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</si>
  <si>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</si>
  <si>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</si>
  <si>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28 июня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</si>
</sst>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43" fontId="16" fillId="0" borderId="10" xfId="1" applyFont="1" applyBorder="1" applyAlignment="1">
      <alignment wrapText="1"/>
    </xf>
    <xf numFmtId="0" fontId="0" fillId="0" borderId="10" xfId="0" applyBorder="1"/>
    <xf numFmtId="43" fontId="0" fillId="0" borderId="10" xfId="1" applyFont="1" applyBorder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tabSelected="1" workbookViewId="0">
      <selection activeCell="A2" sqref="A2:F2"/>
    </sheetView>
  </sheetViews>
  <sheetFormatPr defaultRowHeight="15" x14ac:dyDescent="0.25"/>
  <cols>
    <col min="2" max="2" width="34.7109375" customWidth="1"/>
    <col min="3" max="3" width="9" customWidth="1"/>
    <col min="6" max="6" width="20" style="1" customWidth="1"/>
    <col min="7" max="7" width="20.140625" customWidth="1"/>
  </cols>
  <sheetData>
    <row r="1" spans="1:7" ht="79.5" customHeight="1" x14ac:dyDescent="0.25">
      <c r="A1" s="3"/>
      <c r="B1" s="4"/>
      <c r="C1" s="4"/>
      <c r="E1" s="4" t="s">
        <v>6</v>
      </c>
      <c r="F1" s="4"/>
    </row>
    <row r="2" spans="1:7" ht="15" customHeight="1" x14ac:dyDescent="0.25">
      <c r="A2" s="5" t="s">
        <v>7</v>
      </c>
      <c r="B2" s="5"/>
      <c r="C2" s="5"/>
      <c r="D2" s="6"/>
      <c r="E2" s="6"/>
      <c r="F2" s="6"/>
    </row>
    <row r="3" spans="1:7" ht="15" customHeight="1" x14ac:dyDescent="0.25">
      <c r="A3" s="7" t="s">
        <v>8</v>
      </c>
      <c r="B3" s="7"/>
      <c r="C3" s="7"/>
      <c r="D3" s="8"/>
      <c r="E3" s="8"/>
      <c r="F3" s="8"/>
    </row>
    <row r="4" spans="1:7" ht="15" customHeight="1" x14ac:dyDescent="0.25">
      <c r="A4" s="7" t="s">
        <v>9</v>
      </c>
      <c r="B4" s="7"/>
      <c r="C4" s="7"/>
      <c r="D4" s="8"/>
      <c r="E4" s="8"/>
      <c r="F4" s="8"/>
    </row>
    <row r="5" spans="1:7" ht="60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10" t="s">
        <v>5</v>
      </c>
    </row>
    <row r="6" spans="1:7" x14ac:dyDescent="0.25">
      <c r="A6" s="11" t="str">
        <f>"1001"</f>
        <v>1001</v>
      </c>
      <c r="B6" s="11" t="str">
        <f>"Наличность в кассе"</f>
        <v>Наличность в кассе</v>
      </c>
      <c r="C6" s="11" t="str">
        <f>"1"</f>
        <v>1</v>
      </c>
      <c r="D6" s="11" t="str">
        <f t="shared" ref="D6:D14" si="0">"3"</f>
        <v>3</v>
      </c>
      <c r="E6" s="11" t="str">
        <f>"1"</f>
        <v>1</v>
      </c>
      <c r="F6" s="12">
        <v>1104344563</v>
      </c>
      <c r="G6" s="2"/>
    </row>
    <row r="7" spans="1:7" x14ac:dyDescent="0.25">
      <c r="A7" s="11" t="str">
        <f>"1001"</f>
        <v>1001</v>
      </c>
      <c r="B7" s="11" t="str">
        <f>"Наличность в кассе"</f>
        <v>Наличность в кассе</v>
      </c>
      <c r="C7" s="11" t="str">
        <f>"2"</f>
        <v>2</v>
      </c>
      <c r="D7" s="11" t="str">
        <f t="shared" si="0"/>
        <v>3</v>
      </c>
      <c r="E7" s="11" t="str">
        <f>"2"</f>
        <v>2</v>
      </c>
      <c r="F7" s="12">
        <v>2427122918.2199998</v>
      </c>
    </row>
    <row r="8" spans="1:7" x14ac:dyDescent="0.25">
      <c r="A8" s="11" t="str">
        <f>"1001"</f>
        <v>1001</v>
      </c>
      <c r="B8" s="11" t="str">
        <f>"Наличность в кассе"</f>
        <v>Наличность в кассе</v>
      </c>
      <c r="C8" s="11" t="str">
        <f>"2"</f>
        <v>2</v>
      </c>
      <c r="D8" s="11" t="str">
        <f t="shared" si="0"/>
        <v>3</v>
      </c>
      <c r="E8" s="11" t="str">
        <f>"3"</f>
        <v>3</v>
      </c>
      <c r="F8" s="12">
        <v>2682974616</v>
      </c>
    </row>
    <row r="9" spans="1:7" x14ac:dyDescent="0.25">
      <c r="A9" s="11" t="str">
        <f>"1002"</f>
        <v>1002</v>
      </c>
      <c r="B9" s="11" t="str">
        <f>"Банкноты и монеты в пути"</f>
        <v>Банкноты и монеты в пути</v>
      </c>
      <c r="C9" s="11" t="str">
        <f>"1"</f>
        <v>1</v>
      </c>
      <c r="D9" s="11" t="str">
        <f t="shared" si="0"/>
        <v>3</v>
      </c>
      <c r="E9" s="11" t="str">
        <f>"1"</f>
        <v>1</v>
      </c>
      <c r="F9" s="12">
        <v>816264990</v>
      </c>
    </row>
    <row r="10" spans="1:7" x14ac:dyDescent="0.25">
      <c r="A10" s="11" t="str">
        <f>"1002"</f>
        <v>1002</v>
      </c>
      <c r="B10" s="11" t="str">
        <f>"Банкноты и монеты в пути"</f>
        <v>Банкноты и монеты в пути</v>
      </c>
      <c r="C10" s="11" t="str">
        <f>"2"</f>
        <v>2</v>
      </c>
      <c r="D10" s="11" t="str">
        <f t="shared" si="0"/>
        <v>3</v>
      </c>
      <c r="E10" s="11" t="str">
        <f>"2"</f>
        <v>2</v>
      </c>
      <c r="F10" s="12">
        <v>21404284</v>
      </c>
    </row>
    <row r="11" spans="1:7" x14ac:dyDescent="0.25">
      <c r="A11" s="11" t="str">
        <f>"1002"</f>
        <v>1002</v>
      </c>
      <c r="B11" s="11" t="str">
        <f>"Банкноты и монеты в пути"</f>
        <v>Банкноты и монеты в пути</v>
      </c>
      <c r="C11" s="11" t="str">
        <f>"2"</f>
        <v>2</v>
      </c>
      <c r="D11" s="11" t="str">
        <f t="shared" si="0"/>
        <v>3</v>
      </c>
      <c r="E11" s="11" t="str">
        <f>"3"</f>
        <v>3</v>
      </c>
      <c r="F11" s="12">
        <v>546291197.54999995</v>
      </c>
    </row>
    <row r="12" spans="1:7" x14ac:dyDescent="0.25">
      <c r="A12" s="11" t="str">
        <f>"1005"</f>
        <v>1005</v>
      </c>
      <c r="B12" s="11" t="str">
        <f>"Наличность в банкоматах и электронных терминалах"</f>
        <v>Наличность в банкоматах и электронных терминалах</v>
      </c>
      <c r="C12" s="11" t="str">
        <f>"1"</f>
        <v>1</v>
      </c>
      <c r="D12" s="11" t="str">
        <f t="shared" si="0"/>
        <v>3</v>
      </c>
      <c r="E12" s="11" t="str">
        <f>"1"</f>
        <v>1</v>
      </c>
      <c r="F12" s="12">
        <v>982436000</v>
      </c>
    </row>
    <row r="13" spans="1:7" x14ac:dyDescent="0.25">
      <c r="A13" s="11" t="str">
        <f>"1051"</f>
        <v>1051</v>
      </c>
      <c r="B13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3" s="11" t="str">
        <f>"1"</f>
        <v>1</v>
      </c>
      <c r="D13" s="11" t="str">
        <f t="shared" si="0"/>
        <v>3</v>
      </c>
      <c r="E13" s="11" t="str">
        <f>"1"</f>
        <v>1</v>
      </c>
      <c r="F13" s="12">
        <v>4695468607.5100002</v>
      </c>
    </row>
    <row r="14" spans="1:7" x14ac:dyDescent="0.25">
      <c r="A14" s="11" t="str">
        <f>"1051"</f>
        <v>1051</v>
      </c>
      <c r="B14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11" t="str">
        <f>"1"</f>
        <v>1</v>
      </c>
      <c r="D14" s="11" t="str">
        <f t="shared" si="0"/>
        <v>3</v>
      </c>
      <c r="E14" s="11" t="str">
        <f>"3"</f>
        <v>3</v>
      </c>
      <c r="F14" s="12">
        <v>34839000000</v>
      </c>
    </row>
    <row r="15" spans="1:7" x14ac:dyDescent="0.25">
      <c r="A15" s="11" t="str">
        <f>"1052"</f>
        <v>1052</v>
      </c>
      <c r="B15" s="11" t="str">
        <f>"Корреспондентские счета в других банках"</f>
        <v>Корреспондентские счета в других банках</v>
      </c>
      <c r="C15" s="11" t="str">
        <f>"1"</f>
        <v>1</v>
      </c>
      <c r="D15" s="11" t="str">
        <f>"5"</f>
        <v>5</v>
      </c>
      <c r="E15" s="11" t="str">
        <f>"2"</f>
        <v>2</v>
      </c>
      <c r="F15" s="12">
        <v>14517828.08</v>
      </c>
    </row>
    <row r="16" spans="1:7" x14ac:dyDescent="0.25">
      <c r="A16" s="11" t="str">
        <f>"1052"</f>
        <v>1052</v>
      </c>
      <c r="B16" s="11" t="str">
        <f>"Корреспондентские счета в других банках"</f>
        <v>Корреспондентские счета в других банках</v>
      </c>
      <c r="C16" s="11" t="str">
        <f>"2"</f>
        <v>2</v>
      </c>
      <c r="D16" s="11" t="str">
        <f>"4"</f>
        <v>4</v>
      </c>
      <c r="E16" s="11" t="str">
        <f>"1"</f>
        <v>1</v>
      </c>
      <c r="F16" s="12">
        <v>580944.73</v>
      </c>
    </row>
    <row r="17" spans="1:6" x14ac:dyDescent="0.25">
      <c r="A17" s="11" t="str">
        <f>"1052"</f>
        <v>1052</v>
      </c>
      <c r="B17" s="11" t="str">
        <f>"Корреспондентские счета в других банках"</f>
        <v>Корреспондентские счета в других банках</v>
      </c>
      <c r="C17" s="11" t="str">
        <f>"2"</f>
        <v>2</v>
      </c>
      <c r="D17" s="11" t="str">
        <f>"4"</f>
        <v>4</v>
      </c>
      <c r="E17" s="11" t="str">
        <f>"2"</f>
        <v>2</v>
      </c>
      <c r="F17" s="12">
        <v>673083812.73000002</v>
      </c>
    </row>
    <row r="18" spans="1:6" x14ac:dyDescent="0.25">
      <c r="A18" s="11" t="str">
        <f>"1052"</f>
        <v>1052</v>
      </c>
      <c r="B18" s="11" t="str">
        <f>"Корреспондентские счета в других банках"</f>
        <v>Корреспондентские счета в других банках</v>
      </c>
      <c r="C18" s="11" t="str">
        <f>"2"</f>
        <v>2</v>
      </c>
      <c r="D18" s="11" t="str">
        <f>"4"</f>
        <v>4</v>
      </c>
      <c r="E18" s="11" t="str">
        <f>"3"</f>
        <v>3</v>
      </c>
      <c r="F18" s="12">
        <v>2321918415.9000001</v>
      </c>
    </row>
    <row r="19" spans="1:6" x14ac:dyDescent="0.25">
      <c r="A19" s="11" t="str">
        <f t="shared" ref="A19:A24" si="1">"1054"</f>
        <v>1054</v>
      </c>
      <c r="B19" s="11" t="str">
        <f t="shared" ref="B19:B24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9" s="11" t="str">
        <f>"1"</f>
        <v>1</v>
      </c>
      <c r="D19" s="11" t="str">
        <f>"3"</f>
        <v>3</v>
      </c>
      <c r="E19" s="11" t="str">
        <f>"1"</f>
        <v>1</v>
      </c>
      <c r="F19" s="12">
        <v>-23477.34</v>
      </c>
    </row>
    <row r="20" spans="1:6" x14ac:dyDescent="0.25">
      <c r="A20" s="11" t="str">
        <f t="shared" si="1"/>
        <v>1054</v>
      </c>
      <c r="B20" s="11" t="str">
        <f t="shared" si="2"/>
        <v>Резервы (провизии) по корреспондентским счетам в других банках и текущим счетам ипотечных организаций</v>
      </c>
      <c r="C20" s="11" t="str">
        <f>"1"</f>
        <v>1</v>
      </c>
      <c r="D20" s="11" t="str">
        <f>"3"</f>
        <v>3</v>
      </c>
      <c r="E20" s="11" t="str">
        <f>"3"</f>
        <v>3</v>
      </c>
      <c r="F20" s="12">
        <v>-174195</v>
      </c>
    </row>
    <row r="21" spans="1:6" x14ac:dyDescent="0.25">
      <c r="A21" s="11" t="str">
        <f t="shared" si="1"/>
        <v>1054</v>
      </c>
      <c r="B21" s="11" t="str">
        <f t="shared" si="2"/>
        <v>Резервы (провизии) по корреспондентским счетам в других банках и текущим счетам ипотечных организаций</v>
      </c>
      <c r="C21" s="11" t="str">
        <f>"1"</f>
        <v>1</v>
      </c>
      <c r="D21" s="11" t="str">
        <f>"5"</f>
        <v>5</v>
      </c>
      <c r="E21" s="11" t="str">
        <f>"2"</f>
        <v>2</v>
      </c>
      <c r="F21" s="12">
        <v>-14517828.08</v>
      </c>
    </row>
    <row r="22" spans="1:6" x14ac:dyDescent="0.25">
      <c r="A22" s="11" t="str">
        <f t="shared" si="1"/>
        <v>1054</v>
      </c>
      <c r="B22" s="11" t="str">
        <f t="shared" si="2"/>
        <v>Резервы (провизии) по корреспондентским счетам в других банках и текущим счетам ипотечных организаций</v>
      </c>
      <c r="C22" s="11" t="str">
        <f>"2"</f>
        <v>2</v>
      </c>
      <c r="D22" s="11" t="str">
        <f>"4"</f>
        <v>4</v>
      </c>
      <c r="E22" s="11" t="str">
        <f>"1"</f>
        <v>1</v>
      </c>
      <c r="F22" s="12">
        <v>-18.010000000000002</v>
      </c>
    </row>
    <row r="23" spans="1:6" x14ac:dyDescent="0.25">
      <c r="A23" s="11" t="str">
        <f t="shared" si="1"/>
        <v>1054</v>
      </c>
      <c r="B23" s="11" t="str">
        <f t="shared" si="2"/>
        <v>Резервы (провизии) по корреспондентским счетам в других банках и текущим счетам ипотечных организаций</v>
      </c>
      <c r="C23" s="11" t="str">
        <f>"2"</f>
        <v>2</v>
      </c>
      <c r="D23" s="11" t="str">
        <f>"4"</f>
        <v>4</v>
      </c>
      <c r="E23" s="11" t="str">
        <f>"2"</f>
        <v>2</v>
      </c>
      <c r="F23" s="12">
        <v>-258865316.84</v>
      </c>
    </row>
    <row r="24" spans="1:6" x14ac:dyDescent="0.25">
      <c r="A24" s="11" t="str">
        <f t="shared" si="1"/>
        <v>1054</v>
      </c>
      <c r="B24" s="11" t="str">
        <f t="shared" si="2"/>
        <v>Резервы (провизии) по корреспондентским счетам в других банках и текущим счетам ипотечных организаций</v>
      </c>
      <c r="C24" s="11" t="str">
        <f>"2"</f>
        <v>2</v>
      </c>
      <c r="D24" s="11" t="str">
        <f>"4"</f>
        <v>4</v>
      </c>
      <c r="E24" s="11" t="str">
        <f>"3"</f>
        <v>3</v>
      </c>
      <c r="F24" s="12">
        <v>-72129.990000000005</v>
      </c>
    </row>
    <row r="25" spans="1:6" x14ac:dyDescent="0.25">
      <c r="A25" s="11" t="str">
        <f>"1101"</f>
        <v>1101</v>
      </c>
      <c r="B25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5" s="11" t="str">
        <f>"1"</f>
        <v>1</v>
      </c>
      <c r="D25" s="11" t="str">
        <f>"3"</f>
        <v>3</v>
      </c>
      <c r="E25" s="11" t="str">
        <f>"1"</f>
        <v>1</v>
      </c>
      <c r="F25" s="12">
        <v>75000000000</v>
      </c>
    </row>
    <row r="26" spans="1:6" x14ac:dyDescent="0.25">
      <c r="A26" s="11" t="str">
        <f>"1259"</f>
        <v>1259</v>
      </c>
      <c r="B26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6" s="11" t="str">
        <f>"1"</f>
        <v>1</v>
      </c>
      <c r="D26" s="11" t="str">
        <f>"3"</f>
        <v>3</v>
      </c>
      <c r="E26" s="11" t="str">
        <f>"1"</f>
        <v>1</v>
      </c>
      <c r="F26" s="12">
        <v>-375281.25</v>
      </c>
    </row>
    <row r="27" spans="1:6" x14ac:dyDescent="0.25">
      <c r="A27" s="11" t="str">
        <f>"1259"</f>
        <v>1259</v>
      </c>
      <c r="B27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7" s="11" t="str">
        <f>"1"</f>
        <v>1</v>
      </c>
      <c r="D27" s="11" t="str">
        <f t="shared" ref="D27:D32" si="3">"5"</f>
        <v>5</v>
      </c>
      <c r="E27" s="11" t="str">
        <f>"1"</f>
        <v>1</v>
      </c>
      <c r="F27" s="12">
        <v>-37104669.770000003</v>
      </c>
    </row>
    <row r="28" spans="1:6" x14ac:dyDescent="0.25">
      <c r="A28" s="11" t="str">
        <f>"1259"</f>
        <v>1259</v>
      </c>
      <c r="B28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8" s="11" t="str">
        <f>"2"</f>
        <v>2</v>
      </c>
      <c r="D28" s="11" t="str">
        <f t="shared" si="3"/>
        <v>5</v>
      </c>
      <c r="E28" s="11" t="str">
        <f>"2"</f>
        <v>2</v>
      </c>
      <c r="F28" s="12">
        <v>-39649.79</v>
      </c>
    </row>
    <row r="29" spans="1:6" x14ac:dyDescent="0.25">
      <c r="A29" s="11" t="str">
        <f>"1259"</f>
        <v>1259</v>
      </c>
      <c r="B29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9" s="11" t="str">
        <f>"2"</f>
        <v>2</v>
      </c>
      <c r="D29" s="11" t="str">
        <f t="shared" si="3"/>
        <v>5</v>
      </c>
      <c r="E29" s="11" t="str">
        <f>"3"</f>
        <v>3</v>
      </c>
      <c r="F29" s="12">
        <v>-709617.78</v>
      </c>
    </row>
    <row r="30" spans="1:6" x14ac:dyDescent="0.25">
      <c r="A30" s="11" t="str">
        <f>"1264"</f>
        <v>1264</v>
      </c>
      <c r="B30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0" s="11" t="str">
        <f>"2"</f>
        <v>2</v>
      </c>
      <c r="D30" s="11" t="str">
        <f t="shared" si="3"/>
        <v>5</v>
      </c>
      <c r="E30" s="11" t="str">
        <f>"2"</f>
        <v>2</v>
      </c>
      <c r="F30" s="12">
        <v>173136419.80000001</v>
      </c>
    </row>
    <row r="31" spans="1:6" x14ac:dyDescent="0.25">
      <c r="A31" s="11" t="str">
        <f>"1267"</f>
        <v>1267</v>
      </c>
      <c r="B31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1" s="11" t="str">
        <f>"1"</f>
        <v>1</v>
      </c>
      <c r="D31" s="11" t="str">
        <f t="shared" si="3"/>
        <v>5</v>
      </c>
      <c r="E31" s="11" t="str">
        <f>"1"</f>
        <v>1</v>
      </c>
      <c r="F31" s="12">
        <v>1629398813.22</v>
      </c>
    </row>
    <row r="32" spans="1:6" x14ac:dyDescent="0.25">
      <c r="A32" s="11" t="str">
        <f>"1267"</f>
        <v>1267</v>
      </c>
      <c r="B32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2" s="11" t="str">
        <f>"2"</f>
        <v>2</v>
      </c>
      <c r="D32" s="11" t="str">
        <f t="shared" si="3"/>
        <v>5</v>
      </c>
      <c r="E32" s="11" t="str">
        <f>"3"</f>
        <v>3</v>
      </c>
      <c r="F32" s="12">
        <v>55369678</v>
      </c>
    </row>
    <row r="33" spans="1:6" x14ac:dyDescent="0.25">
      <c r="A33" s="11" t="str">
        <f>"1401"</f>
        <v>1401</v>
      </c>
      <c r="B33" s="11" t="str">
        <f>"Займы овердрафт, предоставленные клиентам"</f>
        <v>Займы овердрафт, предоставленные клиентам</v>
      </c>
      <c r="C33" s="11" t="str">
        <f t="shared" ref="C33:C40" si="4">"1"</f>
        <v>1</v>
      </c>
      <c r="D33" s="11" t="str">
        <f>"7"</f>
        <v>7</v>
      </c>
      <c r="E33" s="11" t="str">
        <f t="shared" ref="E33:E38" si="5">"1"</f>
        <v>1</v>
      </c>
      <c r="F33" s="12">
        <v>484748149.32999998</v>
      </c>
    </row>
    <row r="34" spans="1:6" x14ac:dyDescent="0.25">
      <c r="A34" s="11" t="str">
        <f>"1401"</f>
        <v>1401</v>
      </c>
      <c r="B34" s="11" t="str">
        <f>"Займы овердрафт, предоставленные клиентам"</f>
        <v>Займы овердрафт, предоставленные клиентам</v>
      </c>
      <c r="C34" s="11" t="str">
        <f t="shared" si="4"/>
        <v>1</v>
      </c>
      <c r="D34" s="11" t="str">
        <f>"9"</f>
        <v>9</v>
      </c>
      <c r="E34" s="11" t="str">
        <f t="shared" si="5"/>
        <v>1</v>
      </c>
      <c r="F34" s="12">
        <v>44101585.240000002</v>
      </c>
    </row>
    <row r="35" spans="1:6" x14ac:dyDescent="0.25">
      <c r="A35" s="11" t="str">
        <f>"1403"</f>
        <v>1403</v>
      </c>
      <c r="B35" s="11" t="str">
        <f>"Счета по кредитным карточкам клиентов"</f>
        <v>Счета по кредитным карточкам клиентов</v>
      </c>
      <c r="C35" s="11" t="str">
        <f t="shared" si="4"/>
        <v>1</v>
      </c>
      <c r="D35" s="11" t="str">
        <f>"9"</f>
        <v>9</v>
      </c>
      <c r="E35" s="11" t="str">
        <f t="shared" si="5"/>
        <v>1</v>
      </c>
      <c r="F35" s="12">
        <v>1196236.6399999999</v>
      </c>
    </row>
    <row r="36" spans="1:6" x14ac:dyDescent="0.25">
      <c r="A36" s="11" t="str">
        <f>"1411"</f>
        <v>1411</v>
      </c>
      <c r="B36" s="11" t="str">
        <f>"Краткосрочные займы, предоставленные клиентам"</f>
        <v>Краткосрочные займы, предоставленные клиентам</v>
      </c>
      <c r="C36" s="11" t="str">
        <f t="shared" si="4"/>
        <v>1</v>
      </c>
      <c r="D36" s="11" t="str">
        <f>"7"</f>
        <v>7</v>
      </c>
      <c r="E36" s="11" t="str">
        <f t="shared" si="5"/>
        <v>1</v>
      </c>
      <c r="F36" s="12">
        <v>600798906.45000005</v>
      </c>
    </row>
    <row r="37" spans="1:6" x14ac:dyDescent="0.25">
      <c r="A37" s="11" t="str">
        <f>"1411"</f>
        <v>1411</v>
      </c>
      <c r="B37" s="11" t="str">
        <f>"Краткосрочные займы, предоставленные клиентам"</f>
        <v>Краткосрочные займы, предоставленные клиентам</v>
      </c>
      <c r="C37" s="11" t="str">
        <f t="shared" si="4"/>
        <v>1</v>
      </c>
      <c r="D37" s="11" t="str">
        <f>"9"</f>
        <v>9</v>
      </c>
      <c r="E37" s="11" t="str">
        <f t="shared" si="5"/>
        <v>1</v>
      </c>
      <c r="F37" s="12">
        <v>24213373.620000001</v>
      </c>
    </row>
    <row r="38" spans="1:6" x14ac:dyDescent="0.25">
      <c r="A38" s="11" t="str">
        <f>"1417"</f>
        <v>1417</v>
      </c>
      <c r="B38" s="11" t="str">
        <f>"Долгосрочные займы, предоставленные клиентам"</f>
        <v>Долгосрочные займы, предоставленные клиентам</v>
      </c>
      <c r="C38" s="11" t="str">
        <f t="shared" si="4"/>
        <v>1</v>
      </c>
      <c r="D38" s="11" t="str">
        <f>"7"</f>
        <v>7</v>
      </c>
      <c r="E38" s="11" t="str">
        <f t="shared" si="5"/>
        <v>1</v>
      </c>
      <c r="F38" s="12">
        <v>7498221570.29</v>
      </c>
    </row>
    <row r="39" spans="1:6" x14ac:dyDescent="0.25">
      <c r="A39" s="11" t="str">
        <f>"1417"</f>
        <v>1417</v>
      </c>
      <c r="B39" s="11" t="str">
        <f>"Долгосрочные займы, предоставленные клиентам"</f>
        <v>Долгосрочные займы, предоставленные клиентам</v>
      </c>
      <c r="C39" s="11" t="str">
        <f t="shared" si="4"/>
        <v>1</v>
      </c>
      <c r="D39" s="11" t="str">
        <f>"7"</f>
        <v>7</v>
      </c>
      <c r="E39" s="11" t="str">
        <f>"3"</f>
        <v>3</v>
      </c>
      <c r="F39" s="12">
        <v>101397569.81</v>
      </c>
    </row>
    <row r="40" spans="1:6" x14ac:dyDescent="0.25">
      <c r="A40" s="11" t="str">
        <f>"1417"</f>
        <v>1417</v>
      </c>
      <c r="B40" s="11" t="str">
        <f>"Долгосрочные займы, предоставленные клиентам"</f>
        <v>Долгосрочные займы, предоставленные клиентам</v>
      </c>
      <c r="C40" s="11" t="str">
        <f t="shared" si="4"/>
        <v>1</v>
      </c>
      <c r="D40" s="11" t="str">
        <f>"9"</f>
        <v>9</v>
      </c>
      <c r="E40" s="11" t="str">
        <f>"1"</f>
        <v>1</v>
      </c>
      <c r="F40" s="12">
        <v>64350047363.940002</v>
      </c>
    </row>
    <row r="41" spans="1:6" x14ac:dyDescent="0.25">
      <c r="A41" s="11" t="str">
        <f>"1417"</f>
        <v>1417</v>
      </c>
      <c r="B41" s="11" t="str">
        <f>"Долгосрочные займы, предоставленные клиентам"</f>
        <v>Долгосрочные займы, предоставленные клиентам</v>
      </c>
      <c r="C41" s="11" t="str">
        <f>"2"</f>
        <v>2</v>
      </c>
      <c r="D41" s="11" t="str">
        <f>"9"</f>
        <v>9</v>
      </c>
      <c r="E41" s="11" t="str">
        <f>"1"</f>
        <v>1</v>
      </c>
      <c r="F41" s="12">
        <v>905922.83</v>
      </c>
    </row>
    <row r="42" spans="1:6" x14ac:dyDescent="0.25">
      <c r="A42" s="11" t="str">
        <f>"1424"</f>
        <v>1424</v>
      </c>
      <c r="B42" s="11" t="str">
        <f>"Просроченная задолженность клиентов по займам"</f>
        <v>Просроченная задолженность клиентов по займам</v>
      </c>
      <c r="C42" s="11" t="str">
        <f t="shared" ref="C42:C47" si="6">"1"</f>
        <v>1</v>
      </c>
      <c r="D42" s="11" t="str">
        <f>"7"</f>
        <v>7</v>
      </c>
      <c r="E42" s="11" t="str">
        <f>"1"</f>
        <v>1</v>
      </c>
      <c r="F42" s="12">
        <v>167926472.31999999</v>
      </c>
    </row>
    <row r="43" spans="1:6" x14ac:dyDescent="0.25">
      <c r="A43" s="11" t="str">
        <f>"1424"</f>
        <v>1424</v>
      </c>
      <c r="B43" s="11" t="str">
        <f>"Просроченная задолженность клиентов по займам"</f>
        <v>Просроченная задолженность клиентов по займам</v>
      </c>
      <c r="C43" s="11" t="str">
        <f t="shared" si="6"/>
        <v>1</v>
      </c>
      <c r="D43" s="11" t="str">
        <f>"7"</f>
        <v>7</v>
      </c>
      <c r="E43" s="11" t="str">
        <f>"2"</f>
        <v>2</v>
      </c>
      <c r="F43" s="12">
        <v>43756311.039999999</v>
      </c>
    </row>
    <row r="44" spans="1:6" x14ac:dyDescent="0.25">
      <c r="A44" s="11" t="str">
        <f>"1424"</f>
        <v>1424</v>
      </c>
      <c r="B44" s="11" t="str">
        <f>"Просроченная задолженность клиентов по займам"</f>
        <v>Просроченная задолженность клиентов по займам</v>
      </c>
      <c r="C44" s="11" t="str">
        <f t="shared" si="6"/>
        <v>1</v>
      </c>
      <c r="D44" s="11" t="str">
        <f>"9"</f>
        <v>9</v>
      </c>
      <c r="E44" s="11" t="str">
        <f>"1"</f>
        <v>1</v>
      </c>
      <c r="F44" s="12">
        <v>6410288022.5600004</v>
      </c>
    </row>
    <row r="45" spans="1:6" x14ac:dyDescent="0.25">
      <c r="A45" s="11" t="str">
        <f>"1428"</f>
        <v>1428</v>
      </c>
      <c r="B45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5" s="11" t="str">
        <f t="shared" si="6"/>
        <v>1</v>
      </c>
      <c r="D45" s="11" t="str">
        <f>"7"</f>
        <v>7</v>
      </c>
      <c r="E45" s="11" t="str">
        <f>"1"</f>
        <v>1</v>
      </c>
      <c r="F45" s="12">
        <v>-1063546929.5599999</v>
      </c>
    </row>
    <row r="46" spans="1:6" x14ac:dyDescent="0.25">
      <c r="A46" s="11" t="str">
        <f>"1428"</f>
        <v>1428</v>
      </c>
      <c r="B46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6" s="11" t="str">
        <f t="shared" si="6"/>
        <v>1</v>
      </c>
      <c r="D46" s="11" t="str">
        <f>"7"</f>
        <v>7</v>
      </c>
      <c r="E46" s="11" t="str">
        <f>"2"</f>
        <v>2</v>
      </c>
      <c r="F46" s="12">
        <v>-34118588.990000002</v>
      </c>
    </row>
    <row r="47" spans="1:6" x14ac:dyDescent="0.25">
      <c r="A47" s="11" t="str">
        <f>"1428"</f>
        <v>1428</v>
      </c>
      <c r="B47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7" s="11" t="str">
        <f t="shared" si="6"/>
        <v>1</v>
      </c>
      <c r="D47" s="11" t="str">
        <f>"9"</f>
        <v>9</v>
      </c>
      <c r="E47" s="11" t="str">
        <f>"1"</f>
        <v>1</v>
      </c>
      <c r="F47" s="12">
        <v>-10173782093.99</v>
      </c>
    </row>
    <row r="48" spans="1:6" x14ac:dyDescent="0.25">
      <c r="A48" s="11" t="str">
        <f>"1428"</f>
        <v>1428</v>
      </c>
      <c r="B48" s="1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8" s="11" t="str">
        <f>"2"</f>
        <v>2</v>
      </c>
      <c r="D48" s="11" t="str">
        <f>"9"</f>
        <v>9</v>
      </c>
      <c r="E48" s="11" t="str">
        <f>"1"</f>
        <v>1</v>
      </c>
      <c r="F48" s="12">
        <v>-7764.08</v>
      </c>
    </row>
    <row r="49" spans="1:6" x14ac:dyDescent="0.25">
      <c r="A49" s="11" t="str">
        <f>"1434"</f>
        <v>1434</v>
      </c>
      <c r="B49" s="11" t="str">
        <f>"Дисконт по займам, предоставленным клиентам"</f>
        <v>Дисконт по займам, предоставленным клиентам</v>
      </c>
      <c r="C49" s="11" t="str">
        <f>"1"</f>
        <v>1</v>
      </c>
      <c r="D49" s="11" t="str">
        <f>"7"</f>
        <v>7</v>
      </c>
      <c r="E49" s="11" t="str">
        <f>"1"</f>
        <v>1</v>
      </c>
      <c r="F49" s="12">
        <v>-636474706.47000003</v>
      </c>
    </row>
    <row r="50" spans="1:6" x14ac:dyDescent="0.25">
      <c r="A50" s="11" t="str">
        <f>"1434"</f>
        <v>1434</v>
      </c>
      <c r="B50" s="11" t="str">
        <f>"Дисконт по займам, предоставленным клиентам"</f>
        <v>Дисконт по займам, предоставленным клиентам</v>
      </c>
      <c r="C50" s="11" t="str">
        <f>"1"</f>
        <v>1</v>
      </c>
      <c r="D50" s="11" t="str">
        <f>"7"</f>
        <v>7</v>
      </c>
      <c r="E50" s="11" t="str">
        <f>"3"</f>
        <v>3</v>
      </c>
      <c r="F50" s="12">
        <v>-134350.07999999999</v>
      </c>
    </row>
    <row r="51" spans="1:6" x14ac:dyDescent="0.25">
      <c r="A51" s="11" t="str">
        <f>"1434"</f>
        <v>1434</v>
      </c>
      <c r="B51" s="11" t="str">
        <f>"Дисконт по займам, предоставленным клиентам"</f>
        <v>Дисконт по займам, предоставленным клиентам</v>
      </c>
      <c r="C51" s="11" t="str">
        <f>"1"</f>
        <v>1</v>
      </c>
      <c r="D51" s="11" t="str">
        <f>"9"</f>
        <v>9</v>
      </c>
      <c r="E51" s="11" t="str">
        <f>"1"</f>
        <v>1</v>
      </c>
      <c r="F51" s="12">
        <v>-309408616.69999999</v>
      </c>
    </row>
    <row r="52" spans="1:6" x14ac:dyDescent="0.25">
      <c r="A52" s="11" t="str">
        <f>"1434"</f>
        <v>1434</v>
      </c>
      <c r="B52" s="11" t="str">
        <f>"Дисконт по займам, предоставленным клиентам"</f>
        <v>Дисконт по займам, предоставленным клиентам</v>
      </c>
      <c r="C52" s="11" t="str">
        <f>"2"</f>
        <v>2</v>
      </c>
      <c r="D52" s="11" t="str">
        <f>"9"</f>
        <v>9</v>
      </c>
      <c r="E52" s="11" t="str">
        <f>"1"</f>
        <v>1</v>
      </c>
      <c r="F52" s="12">
        <v>-5622.01</v>
      </c>
    </row>
    <row r="53" spans="1:6" x14ac:dyDescent="0.25">
      <c r="A53" s="11" t="str">
        <f>"1435"</f>
        <v>1435</v>
      </c>
      <c r="B53" s="11" t="str">
        <f>"Премия по займам, предоставленным клиентам"</f>
        <v>Премия по займам, предоставленным клиентам</v>
      </c>
      <c r="C53" s="11" t="str">
        <f t="shared" ref="C53:C61" si="7">"1"</f>
        <v>1</v>
      </c>
      <c r="D53" s="11" t="str">
        <f>"7"</f>
        <v>7</v>
      </c>
      <c r="E53" s="11" t="str">
        <f>"1"</f>
        <v>1</v>
      </c>
      <c r="F53" s="12">
        <v>579322569.79999995</v>
      </c>
    </row>
    <row r="54" spans="1:6" x14ac:dyDescent="0.25">
      <c r="A54" s="11" t="str">
        <f>"1435"</f>
        <v>1435</v>
      </c>
      <c r="B54" s="11" t="str">
        <f>"Премия по займам, предоставленным клиентам"</f>
        <v>Премия по займам, предоставленным клиентам</v>
      </c>
      <c r="C54" s="11" t="str">
        <f t="shared" si="7"/>
        <v>1</v>
      </c>
      <c r="D54" s="11" t="str">
        <f>"7"</f>
        <v>7</v>
      </c>
      <c r="E54" s="11" t="str">
        <f>"2"</f>
        <v>2</v>
      </c>
      <c r="F54" s="12">
        <v>22940357.260000002</v>
      </c>
    </row>
    <row r="55" spans="1:6" x14ac:dyDescent="0.25">
      <c r="A55" s="11" t="str">
        <f>"1435"</f>
        <v>1435</v>
      </c>
      <c r="B55" s="11" t="str">
        <f>"Премия по займам, предоставленным клиентам"</f>
        <v>Премия по займам, предоставленным клиентам</v>
      </c>
      <c r="C55" s="11" t="str">
        <f t="shared" si="7"/>
        <v>1</v>
      </c>
      <c r="D55" s="11" t="str">
        <f>"9"</f>
        <v>9</v>
      </c>
      <c r="E55" s="11" t="str">
        <f t="shared" ref="E55:E62" si="8">"1"</f>
        <v>1</v>
      </c>
      <c r="F55" s="12">
        <v>1332703120.8800001</v>
      </c>
    </row>
    <row r="56" spans="1:6" x14ac:dyDescent="0.25">
      <c r="A56" s="11" t="str">
        <f>"1491"</f>
        <v>1491</v>
      </c>
      <c r="B56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6" s="11" t="str">
        <f t="shared" si="7"/>
        <v>1</v>
      </c>
      <c r="D56" s="11" t="str">
        <f>"5"</f>
        <v>5</v>
      </c>
      <c r="E56" s="11" t="str">
        <f t="shared" si="8"/>
        <v>1</v>
      </c>
      <c r="F56" s="12">
        <v>20384615.620000001</v>
      </c>
    </row>
    <row r="57" spans="1:6" x14ac:dyDescent="0.25">
      <c r="A57" s="11" t="str">
        <f>"1491"</f>
        <v>1491</v>
      </c>
      <c r="B57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7" s="11" t="str">
        <f t="shared" si="7"/>
        <v>1</v>
      </c>
      <c r="D57" s="11" t="str">
        <f>"7"</f>
        <v>7</v>
      </c>
      <c r="E57" s="11" t="str">
        <f t="shared" si="8"/>
        <v>1</v>
      </c>
      <c r="F57" s="12">
        <v>627695406.98000002</v>
      </c>
    </row>
    <row r="58" spans="1:6" x14ac:dyDescent="0.25">
      <c r="A58" s="11" t="str">
        <f>"1492"</f>
        <v>1492</v>
      </c>
      <c r="B58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8" s="11" t="str">
        <f t="shared" si="7"/>
        <v>1</v>
      </c>
      <c r="D58" s="11" t="str">
        <f>"5"</f>
        <v>5</v>
      </c>
      <c r="E58" s="11" t="str">
        <f t="shared" si="8"/>
        <v>1</v>
      </c>
      <c r="F58" s="12">
        <v>-4043956.43</v>
      </c>
    </row>
    <row r="59" spans="1:6" x14ac:dyDescent="0.25">
      <c r="A59" s="11" t="str">
        <f>"1492"</f>
        <v>1492</v>
      </c>
      <c r="B59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9" s="11" t="str">
        <f t="shared" si="7"/>
        <v>1</v>
      </c>
      <c r="D59" s="11" t="str">
        <f>"7"</f>
        <v>7</v>
      </c>
      <c r="E59" s="11" t="str">
        <f t="shared" si="8"/>
        <v>1</v>
      </c>
      <c r="F59" s="12">
        <v>-33090983.109999999</v>
      </c>
    </row>
    <row r="60" spans="1:6" x14ac:dyDescent="0.25">
      <c r="A60" s="11" t="str">
        <f>"1495"</f>
        <v>1495</v>
      </c>
      <c r="B60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0" s="11" t="str">
        <f t="shared" si="7"/>
        <v>1</v>
      </c>
      <c r="D60" s="11" t="str">
        <f>"5"</f>
        <v>5</v>
      </c>
      <c r="E60" s="11" t="str">
        <f t="shared" si="8"/>
        <v>1</v>
      </c>
      <c r="F60" s="12">
        <v>-843178.01</v>
      </c>
    </row>
    <row r="61" spans="1:6" x14ac:dyDescent="0.25">
      <c r="A61" s="11" t="str">
        <f>"1495"</f>
        <v>1495</v>
      </c>
      <c r="B61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1" s="11" t="str">
        <f t="shared" si="7"/>
        <v>1</v>
      </c>
      <c r="D61" s="11" t="str">
        <f>"7"</f>
        <v>7</v>
      </c>
      <c r="E61" s="11" t="str">
        <f t="shared" si="8"/>
        <v>1</v>
      </c>
      <c r="F61" s="12">
        <v>-4722902.46</v>
      </c>
    </row>
    <row r="62" spans="1:6" x14ac:dyDescent="0.25">
      <c r="A62" s="11" t="str">
        <f>"1552"</f>
        <v>1552</v>
      </c>
      <c r="B62" s="11" t="str">
        <f>"Расчеты с клиентами"</f>
        <v>Расчеты с клиентами</v>
      </c>
      <c r="C62" s="11" t="str">
        <f>"2"</f>
        <v>2</v>
      </c>
      <c r="D62" s="11" t="str">
        <f>"5"</f>
        <v>5</v>
      </c>
      <c r="E62" s="11" t="str">
        <f t="shared" si="8"/>
        <v>1</v>
      </c>
      <c r="F62" s="12">
        <v>231340951.59999999</v>
      </c>
    </row>
    <row r="63" spans="1:6" x14ac:dyDescent="0.25">
      <c r="A63" s="11" t="str">
        <f>"1602"</f>
        <v>1602</v>
      </c>
      <c r="B63" s="11" t="str">
        <f>"Прочие запасы"</f>
        <v>Прочие запасы</v>
      </c>
      <c r="C63" s="11" t="str">
        <f>""</f>
        <v/>
      </c>
      <c r="D63" s="11" t="str">
        <f>""</f>
        <v/>
      </c>
      <c r="E63" s="11" t="str">
        <f>""</f>
        <v/>
      </c>
      <c r="F63" s="12">
        <v>81372284.659999996</v>
      </c>
    </row>
    <row r="64" spans="1:6" x14ac:dyDescent="0.25">
      <c r="A64" s="11" t="str">
        <f>"1610"</f>
        <v>1610</v>
      </c>
      <c r="B64" s="11" t="str">
        <f>"Долгосрочные активы, предназначенные для продажи"</f>
        <v>Долгосрочные активы, предназначенные для продажи</v>
      </c>
      <c r="C64" s="11" t="str">
        <f>""</f>
        <v/>
      </c>
      <c r="D64" s="11" t="str">
        <f>""</f>
        <v/>
      </c>
      <c r="E64" s="11" t="str">
        <f>""</f>
        <v/>
      </c>
      <c r="F64" s="12">
        <v>336901723.14999998</v>
      </c>
    </row>
    <row r="65" spans="1:6" x14ac:dyDescent="0.25">
      <c r="A65" s="11" t="str">
        <f>"1651"</f>
        <v>1651</v>
      </c>
      <c r="B65" s="11" t="str">
        <f>"Строящиеся (устанавливаемые) основные средства"</f>
        <v>Строящиеся (устанавливаемые) основные средства</v>
      </c>
      <c r="C65" s="11" t="str">
        <f>""</f>
        <v/>
      </c>
      <c r="D65" s="11" t="str">
        <f>""</f>
        <v/>
      </c>
      <c r="E65" s="11" t="str">
        <f>""</f>
        <v/>
      </c>
      <c r="F65" s="12">
        <v>125670718.86</v>
      </c>
    </row>
    <row r="66" spans="1:6" x14ac:dyDescent="0.25">
      <c r="A66" s="11" t="str">
        <f>"1652"</f>
        <v>1652</v>
      </c>
      <c r="B66" s="11" t="str">
        <f>"Земля, здания и сооружения"</f>
        <v>Земля, здания и сооружения</v>
      </c>
      <c r="C66" s="11" t="str">
        <f>""</f>
        <v/>
      </c>
      <c r="D66" s="11" t="str">
        <f>""</f>
        <v/>
      </c>
      <c r="E66" s="11" t="str">
        <f>""</f>
        <v/>
      </c>
      <c r="F66" s="12">
        <v>731781483.57000005</v>
      </c>
    </row>
    <row r="67" spans="1:6" x14ac:dyDescent="0.25">
      <c r="A67" s="11" t="str">
        <f>"1653"</f>
        <v>1653</v>
      </c>
      <c r="B67" s="11" t="str">
        <f>"Компьютерное оборудование"</f>
        <v>Компьютерное оборудование</v>
      </c>
      <c r="C67" s="11" t="str">
        <f>""</f>
        <v/>
      </c>
      <c r="D67" s="11" t="str">
        <f>""</f>
        <v/>
      </c>
      <c r="E67" s="11" t="str">
        <f>""</f>
        <v/>
      </c>
      <c r="F67" s="12">
        <v>3281462296.96</v>
      </c>
    </row>
    <row r="68" spans="1:6" x14ac:dyDescent="0.25">
      <c r="A68" s="11" t="str">
        <f>"1654"</f>
        <v>1654</v>
      </c>
      <c r="B68" s="11" t="str">
        <f>"Прочие основные средства"</f>
        <v>Прочие основные средства</v>
      </c>
      <c r="C68" s="11" t="str">
        <f>""</f>
        <v/>
      </c>
      <c r="D68" s="11" t="str">
        <f>""</f>
        <v/>
      </c>
      <c r="E68" s="11" t="str">
        <f>""</f>
        <v/>
      </c>
      <c r="F68" s="12">
        <v>3399359872.52</v>
      </c>
    </row>
    <row r="69" spans="1:6" x14ac:dyDescent="0.25">
      <c r="A69" s="11" t="str">
        <f>"1655"</f>
        <v>1655</v>
      </c>
      <c r="B69" s="11" t="str">
        <f>"Активы в форме права пользования"</f>
        <v>Активы в форме права пользования</v>
      </c>
      <c r="C69" s="11" t="str">
        <f>""</f>
        <v/>
      </c>
      <c r="D69" s="11" t="str">
        <f>""</f>
        <v/>
      </c>
      <c r="E69" s="11" t="str">
        <f>""</f>
        <v/>
      </c>
      <c r="F69" s="12">
        <v>3531270834.0900002</v>
      </c>
    </row>
    <row r="70" spans="1:6" x14ac:dyDescent="0.25">
      <c r="A70" s="11" t="str">
        <f>"1657"</f>
        <v>1657</v>
      </c>
      <c r="B70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0" s="11" t="str">
        <f>""</f>
        <v/>
      </c>
      <c r="D70" s="11" t="str">
        <f>""</f>
        <v/>
      </c>
      <c r="E70" s="11" t="str">
        <f>""</f>
        <v/>
      </c>
      <c r="F70" s="12">
        <v>701326009.62</v>
      </c>
    </row>
    <row r="71" spans="1:6" x14ac:dyDescent="0.25">
      <c r="A71" s="11" t="str">
        <f>"1658"</f>
        <v>1658</v>
      </c>
      <c r="B71" s="11" t="str">
        <f>"Транспортные средства"</f>
        <v>Транспортные средства</v>
      </c>
      <c r="C71" s="11" t="str">
        <f>""</f>
        <v/>
      </c>
      <c r="D71" s="11" t="str">
        <f>""</f>
        <v/>
      </c>
      <c r="E71" s="11" t="str">
        <f>""</f>
        <v/>
      </c>
      <c r="F71" s="12">
        <v>79345635.069999993</v>
      </c>
    </row>
    <row r="72" spans="1:6" x14ac:dyDescent="0.25">
      <c r="A72" s="11" t="str">
        <f>"1659"</f>
        <v>1659</v>
      </c>
      <c r="B72" s="11" t="str">
        <f>"Нематериальные активы"</f>
        <v>Нематериальные активы</v>
      </c>
      <c r="C72" s="11" t="str">
        <f>""</f>
        <v/>
      </c>
      <c r="D72" s="11" t="str">
        <f>""</f>
        <v/>
      </c>
      <c r="E72" s="11" t="str">
        <f>""</f>
        <v/>
      </c>
      <c r="F72" s="12">
        <v>6140772192.1000004</v>
      </c>
    </row>
    <row r="73" spans="1:6" x14ac:dyDescent="0.25">
      <c r="A73" s="11" t="str">
        <f>"1660"</f>
        <v>1660</v>
      </c>
      <c r="B73" s="11" t="str">
        <f>"Создаваемые (разрабатываемые) нематериальные активы"</f>
        <v>Создаваемые (разрабатываемые) нематериальные активы</v>
      </c>
      <c r="C73" s="11" t="str">
        <f>""</f>
        <v/>
      </c>
      <c r="D73" s="11" t="str">
        <f>""</f>
        <v/>
      </c>
      <c r="E73" s="11" t="str">
        <f>""</f>
        <v/>
      </c>
      <c r="F73" s="12">
        <v>1382695633.54</v>
      </c>
    </row>
    <row r="74" spans="1:6" x14ac:dyDescent="0.25">
      <c r="A74" s="11" t="str">
        <f>"1692"</f>
        <v>1692</v>
      </c>
      <c r="B74" s="11" t="str">
        <f>"Начисленная амортизация по зданиям и сооружениям"</f>
        <v>Начисленная амортизация по зданиям и сооружениям</v>
      </c>
      <c r="C74" s="11" t="str">
        <f>""</f>
        <v/>
      </c>
      <c r="D74" s="11" t="str">
        <f>""</f>
        <v/>
      </c>
      <c r="E74" s="11" t="str">
        <f>""</f>
        <v/>
      </c>
      <c r="F74" s="12">
        <v>-31556316.93</v>
      </c>
    </row>
    <row r="75" spans="1:6" x14ac:dyDescent="0.25">
      <c r="A75" s="11" t="str">
        <f>"1693"</f>
        <v>1693</v>
      </c>
      <c r="B75" s="11" t="str">
        <f>"Начисленная амортизация по компьютерному оборудованию"</f>
        <v>Начисленная амортизация по компьютерному оборудованию</v>
      </c>
      <c r="C75" s="11" t="str">
        <f>""</f>
        <v/>
      </c>
      <c r="D75" s="11" t="str">
        <f>""</f>
        <v/>
      </c>
      <c r="E75" s="11" t="str">
        <f>""</f>
        <v/>
      </c>
      <c r="F75" s="12">
        <v>-1675997483.4000001</v>
      </c>
    </row>
    <row r="76" spans="1:6" x14ac:dyDescent="0.25">
      <c r="A76" s="11" t="str">
        <f>"1694"</f>
        <v>1694</v>
      </c>
      <c r="B76" s="11" t="str">
        <f>"Начисленная амортизация по прочим основным средствам"</f>
        <v>Начисленная амортизация по прочим основным средствам</v>
      </c>
      <c r="C76" s="11" t="str">
        <f>""</f>
        <v/>
      </c>
      <c r="D76" s="11" t="str">
        <f>""</f>
        <v/>
      </c>
      <c r="E76" s="11" t="str">
        <f>""</f>
        <v/>
      </c>
      <c r="F76" s="12">
        <v>-1899414883.8599999</v>
      </c>
    </row>
    <row r="77" spans="1:6" x14ac:dyDescent="0.25">
      <c r="A77" s="11" t="str">
        <f>"1695"</f>
        <v>1695</v>
      </c>
      <c r="B77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77" s="11" t="str">
        <f>""</f>
        <v/>
      </c>
      <c r="D77" s="11" t="str">
        <f>""</f>
        <v/>
      </c>
      <c r="E77" s="11" t="str">
        <f>""</f>
        <v/>
      </c>
      <c r="F77" s="12">
        <v>-1411316978.53</v>
      </c>
    </row>
    <row r="78" spans="1:6" x14ac:dyDescent="0.25">
      <c r="A78" s="11" t="str">
        <f>"1697"</f>
        <v>1697</v>
      </c>
      <c r="B78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78" s="11" t="str">
        <f>""</f>
        <v/>
      </c>
      <c r="D78" s="11" t="str">
        <f>""</f>
        <v/>
      </c>
      <c r="E78" s="11" t="str">
        <f>""</f>
        <v/>
      </c>
      <c r="F78" s="12">
        <v>-443088291.45999998</v>
      </c>
    </row>
    <row r="79" spans="1:6" x14ac:dyDescent="0.25">
      <c r="A79" s="11" t="str">
        <f>"1698"</f>
        <v>1698</v>
      </c>
      <c r="B79" s="11" t="str">
        <f>"Начисленная амортизация по транспортным средствам"</f>
        <v>Начисленная амортизация по транспортным средствам</v>
      </c>
      <c r="C79" s="11" t="str">
        <f>""</f>
        <v/>
      </c>
      <c r="D79" s="11" t="str">
        <f>""</f>
        <v/>
      </c>
      <c r="E79" s="11" t="str">
        <f>""</f>
        <v/>
      </c>
      <c r="F79" s="12">
        <v>-58950562.57</v>
      </c>
    </row>
    <row r="80" spans="1:6" x14ac:dyDescent="0.25">
      <c r="A80" s="11" t="str">
        <f>"1699"</f>
        <v>1699</v>
      </c>
      <c r="B80" s="11" t="str">
        <f>"Начисленная амортизация по нематериальным активам"</f>
        <v>Начисленная амортизация по нематериальным активам</v>
      </c>
      <c r="C80" s="11" t="str">
        <f>""</f>
        <v/>
      </c>
      <c r="D80" s="11" t="str">
        <f>""</f>
        <v/>
      </c>
      <c r="E80" s="11" t="str">
        <f>""</f>
        <v/>
      </c>
      <c r="F80" s="12">
        <v>-1928370776.7</v>
      </c>
    </row>
    <row r="81" spans="1:6" x14ac:dyDescent="0.25">
      <c r="A81" s="11" t="str">
        <f>"1705"</f>
        <v>1705</v>
      </c>
      <c r="B81" s="11" t="str">
        <f>"Начисленные доходы по корреспондентским счетам"</f>
        <v>Начисленные доходы по корреспондентским счетам</v>
      </c>
      <c r="C81" s="11" t="str">
        <f>"2"</f>
        <v>2</v>
      </c>
      <c r="D81" s="11" t="str">
        <f>"4"</f>
        <v>4</v>
      </c>
      <c r="E81" s="11" t="str">
        <f>"3"</f>
        <v>3</v>
      </c>
      <c r="F81" s="12">
        <v>2791564.74</v>
      </c>
    </row>
    <row r="82" spans="1:6" x14ac:dyDescent="0.25">
      <c r="A82" s="11" t="str">
        <f>"1710"</f>
        <v>1710</v>
      </c>
      <c r="B82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2" s="11" t="str">
        <f>"1"</f>
        <v>1</v>
      </c>
      <c r="D82" s="11" t="str">
        <f>"3"</f>
        <v>3</v>
      </c>
      <c r="E82" s="11" t="str">
        <f>"1"</f>
        <v>1</v>
      </c>
      <c r="F82" s="12">
        <v>56250000</v>
      </c>
    </row>
    <row r="83" spans="1:6" x14ac:dyDescent="0.25">
      <c r="A83" s="11" t="str">
        <f>"1740"</f>
        <v>1740</v>
      </c>
      <c r="B83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3" s="11" t="str">
        <f>"1"</f>
        <v>1</v>
      </c>
      <c r="D83" s="11" t="str">
        <f>"7"</f>
        <v>7</v>
      </c>
      <c r="E83" s="11" t="str">
        <f>"1"</f>
        <v>1</v>
      </c>
      <c r="F83" s="12">
        <v>811893168.29999995</v>
      </c>
    </row>
    <row r="84" spans="1:6" x14ac:dyDescent="0.25">
      <c r="A84" s="11" t="str">
        <f>"1740"</f>
        <v>1740</v>
      </c>
      <c r="B84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4" s="11" t="str">
        <f>"1"</f>
        <v>1</v>
      </c>
      <c r="D84" s="11" t="str">
        <f>"7"</f>
        <v>7</v>
      </c>
      <c r="E84" s="11" t="str">
        <f>"3"</f>
        <v>3</v>
      </c>
      <c r="F84" s="12">
        <v>580681.18999999994</v>
      </c>
    </row>
    <row r="85" spans="1:6" x14ac:dyDescent="0.25">
      <c r="A85" s="11" t="str">
        <f>"1740"</f>
        <v>1740</v>
      </c>
      <c r="B85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5" s="11" t="str">
        <f>"1"</f>
        <v>1</v>
      </c>
      <c r="D85" s="11" t="str">
        <f>"9"</f>
        <v>9</v>
      </c>
      <c r="E85" s="11" t="str">
        <f>"1"</f>
        <v>1</v>
      </c>
      <c r="F85" s="12">
        <v>895266693.36000001</v>
      </c>
    </row>
    <row r="86" spans="1:6" x14ac:dyDescent="0.25">
      <c r="A86" s="11" t="str">
        <f>"1740"</f>
        <v>1740</v>
      </c>
      <c r="B86" s="1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6" s="11" t="str">
        <f>"2"</f>
        <v>2</v>
      </c>
      <c r="D86" s="11" t="str">
        <f>"9"</f>
        <v>9</v>
      </c>
      <c r="E86" s="11" t="str">
        <f>"1"</f>
        <v>1</v>
      </c>
      <c r="F86" s="12">
        <v>5197.92</v>
      </c>
    </row>
    <row r="87" spans="1:6" x14ac:dyDescent="0.25">
      <c r="A87" s="11" t="str">
        <f>"1741"</f>
        <v>1741</v>
      </c>
      <c r="B87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7" s="11" t="str">
        <f>"1"</f>
        <v>1</v>
      </c>
      <c r="D87" s="11" t="str">
        <f>"7"</f>
        <v>7</v>
      </c>
      <c r="E87" s="11" t="str">
        <f>"1"</f>
        <v>1</v>
      </c>
      <c r="F87" s="12">
        <v>163970672.38</v>
      </c>
    </row>
    <row r="88" spans="1:6" x14ac:dyDescent="0.25">
      <c r="A88" s="11" t="str">
        <f>"1741"</f>
        <v>1741</v>
      </c>
      <c r="B88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8" s="11" t="str">
        <f>"1"</f>
        <v>1</v>
      </c>
      <c r="D88" s="11" t="str">
        <f>"7"</f>
        <v>7</v>
      </c>
      <c r="E88" s="11" t="str">
        <f>"2"</f>
        <v>2</v>
      </c>
      <c r="F88" s="12">
        <v>32485272.399999999</v>
      </c>
    </row>
    <row r="89" spans="1:6" x14ac:dyDescent="0.25">
      <c r="A89" s="11" t="str">
        <f>"1741"</f>
        <v>1741</v>
      </c>
      <c r="B89" s="1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9" s="11" t="str">
        <f>"1"</f>
        <v>1</v>
      </c>
      <c r="D89" s="11" t="str">
        <f>"9"</f>
        <v>9</v>
      </c>
      <c r="E89" s="11" t="str">
        <f t="shared" ref="E89:E113" si="9">"1"</f>
        <v>1</v>
      </c>
      <c r="F89" s="12">
        <v>1284218571.9300001</v>
      </c>
    </row>
    <row r="90" spans="1:6" x14ac:dyDescent="0.25">
      <c r="A90" s="11" t="str">
        <f>"1793"</f>
        <v>1793</v>
      </c>
      <c r="B90" s="11" t="str">
        <f>"Расходы будущих периодов"</f>
        <v>Расходы будущих периодов</v>
      </c>
      <c r="C90" s="11" t="str">
        <f>"1"</f>
        <v>1</v>
      </c>
      <c r="D90" s="11" t="str">
        <f>"5"</f>
        <v>5</v>
      </c>
      <c r="E90" s="11" t="str">
        <f t="shared" si="9"/>
        <v>1</v>
      </c>
      <c r="F90" s="12">
        <v>37031012.009999998</v>
      </c>
    </row>
    <row r="91" spans="1:6" x14ac:dyDescent="0.25">
      <c r="A91" s="11" t="str">
        <f>"1793"</f>
        <v>1793</v>
      </c>
      <c r="B91" s="11" t="str">
        <f>"Расходы будущих периодов"</f>
        <v>Расходы будущих периодов</v>
      </c>
      <c r="C91" s="11" t="str">
        <f>"1"</f>
        <v>1</v>
      </c>
      <c r="D91" s="11" t="str">
        <f>"7"</f>
        <v>7</v>
      </c>
      <c r="E91" s="11" t="str">
        <f t="shared" si="9"/>
        <v>1</v>
      </c>
      <c r="F91" s="12">
        <v>704486668.25</v>
      </c>
    </row>
    <row r="92" spans="1:6" x14ac:dyDescent="0.25">
      <c r="A92" s="11" t="str">
        <f>"1793"</f>
        <v>1793</v>
      </c>
      <c r="B92" s="11" t="str">
        <f>"Расходы будущих периодов"</f>
        <v>Расходы будущих периодов</v>
      </c>
      <c r="C92" s="11" t="str">
        <f>"2"</f>
        <v>2</v>
      </c>
      <c r="D92" s="11" t="str">
        <f>"4"</f>
        <v>4</v>
      </c>
      <c r="E92" s="11" t="str">
        <f t="shared" si="9"/>
        <v>1</v>
      </c>
      <c r="F92" s="12">
        <v>205218.45</v>
      </c>
    </row>
    <row r="93" spans="1:6" x14ac:dyDescent="0.25">
      <c r="A93" s="11" t="str">
        <f>"1793"</f>
        <v>1793</v>
      </c>
      <c r="B93" s="11" t="str">
        <f>"Расходы будущих периодов"</f>
        <v>Расходы будущих периодов</v>
      </c>
      <c r="C93" s="11" t="str">
        <f>"2"</f>
        <v>2</v>
      </c>
      <c r="D93" s="11" t="str">
        <f>"7"</f>
        <v>7</v>
      </c>
      <c r="E93" s="11" t="str">
        <f t="shared" si="9"/>
        <v>1</v>
      </c>
      <c r="F93" s="12">
        <v>7696562.7699999996</v>
      </c>
    </row>
    <row r="94" spans="1:6" x14ac:dyDescent="0.25">
      <c r="A94" s="11" t="str">
        <f t="shared" ref="A94:A100" si="10">"1799"</f>
        <v>1799</v>
      </c>
      <c r="B94" s="11" t="str">
        <f t="shared" ref="B94:B100" si="11">"Прочие предоплаты"</f>
        <v>Прочие предоплаты</v>
      </c>
      <c r="C94" s="11" t="str">
        <f>"1"</f>
        <v>1</v>
      </c>
      <c r="D94" s="11" t="str">
        <f>"5"</f>
        <v>5</v>
      </c>
      <c r="E94" s="11" t="str">
        <f t="shared" si="9"/>
        <v>1</v>
      </c>
      <c r="F94" s="12">
        <v>21983738.050000001</v>
      </c>
    </row>
    <row r="95" spans="1:6" x14ac:dyDescent="0.25">
      <c r="A95" s="11" t="str">
        <f t="shared" si="10"/>
        <v>1799</v>
      </c>
      <c r="B95" s="11" t="str">
        <f t="shared" si="11"/>
        <v>Прочие предоплаты</v>
      </c>
      <c r="C95" s="11" t="str">
        <f>"1"</f>
        <v>1</v>
      </c>
      <c r="D95" s="11" t="str">
        <f>"6"</f>
        <v>6</v>
      </c>
      <c r="E95" s="11" t="str">
        <f t="shared" si="9"/>
        <v>1</v>
      </c>
      <c r="F95" s="12">
        <v>5319018</v>
      </c>
    </row>
    <row r="96" spans="1:6" x14ac:dyDescent="0.25">
      <c r="A96" s="11" t="str">
        <f t="shared" si="10"/>
        <v>1799</v>
      </c>
      <c r="B96" s="11" t="str">
        <f t="shared" si="11"/>
        <v>Прочие предоплаты</v>
      </c>
      <c r="C96" s="11" t="str">
        <f>"1"</f>
        <v>1</v>
      </c>
      <c r="D96" s="11" t="str">
        <f>"7"</f>
        <v>7</v>
      </c>
      <c r="E96" s="11" t="str">
        <f t="shared" si="9"/>
        <v>1</v>
      </c>
      <c r="F96" s="12">
        <v>141460432.06</v>
      </c>
    </row>
    <row r="97" spans="1:6" x14ac:dyDescent="0.25">
      <c r="A97" s="11" t="str">
        <f t="shared" si="10"/>
        <v>1799</v>
      </c>
      <c r="B97" s="11" t="str">
        <f t="shared" si="11"/>
        <v>Прочие предоплаты</v>
      </c>
      <c r="C97" s="11" t="str">
        <f>"1"</f>
        <v>1</v>
      </c>
      <c r="D97" s="11" t="str">
        <f>"9"</f>
        <v>9</v>
      </c>
      <c r="E97" s="11" t="str">
        <f t="shared" si="9"/>
        <v>1</v>
      </c>
      <c r="F97" s="12">
        <v>9453129.0600000005</v>
      </c>
    </row>
    <row r="98" spans="1:6" x14ac:dyDescent="0.25">
      <c r="A98" s="11" t="str">
        <f t="shared" si="10"/>
        <v>1799</v>
      </c>
      <c r="B98" s="11" t="str">
        <f t="shared" si="11"/>
        <v>Прочие предоплаты</v>
      </c>
      <c r="C98" s="11" t="str">
        <f>"2"</f>
        <v>2</v>
      </c>
      <c r="D98" s="11" t="str">
        <f>"4"</f>
        <v>4</v>
      </c>
      <c r="E98" s="11" t="str">
        <f t="shared" si="9"/>
        <v>1</v>
      </c>
      <c r="F98" s="12">
        <v>664732.25</v>
      </c>
    </row>
    <row r="99" spans="1:6" x14ac:dyDescent="0.25">
      <c r="A99" s="11" t="str">
        <f t="shared" si="10"/>
        <v>1799</v>
      </c>
      <c r="B99" s="11" t="str">
        <f t="shared" si="11"/>
        <v>Прочие предоплаты</v>
      </c>
      <c r="C99" s="11" t="str">
        <f>"2"</f>
        <v>2</v>
      </c>
      <c r="D99" s="11" t="str">
        <f>"7"</f>
        <v>7</v>
      </c>
      <c r="E99" s="11" t="str">
        <f t="shared" si="9"/>
        <v>1</v>
      </c>
      <c r="F99" s="12">
        <v>28669813.030000001</v>
      </c>
    </row>
    <row r="100" spans="1:6" x14ac:dyDescent="0.25">
      <c r="A100" s="11" t="str">
        <f t="shared" si="10"/>
        <v>1799</v>
      </c>
      <c r="B100" s="11" t="str">
        <f t="shared" si="11"/>
        <v>Прочие предоплаты</v>
      </c>
      <c r="C100" s="11" t="str">
        <f>"2"</f>
        <v>2</v>
      </c>
      <c r="D100" s="11" t="str">
        <f>"9"</f>
        <v>9</v>
      </c>
      <c r="E100" s="11" t="str">
        <f t="shared" si="9"/>
        <v>1</v>
      </c>
      <c r="F100" s="12">
        <v>2010932.78</v>
      </c>
    </row>
    <row r="101" spans="1:6" x14ac:dyDescent="0.25">
      <c r="A101" s="11" t="str">
        <f>"1816"</f>
        <v>1816</v>
      </c>
      <c r="B101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1" s="11" t="str">
        <f>"1"</f>
        <v>1</v>
      </c>
      <c r="D101" s="11" t="str">
        <f>""</f>
        <v/>
      </c>
      <c r="E101" s="11" t="str">
        <f t="shared" si="9"/>
        <v>1</v>
      </c>
      <c r="F101" s="12">
        <v>131761911.56999999</v>
      </c>
    </row>
    <row r="102" spans="1:6" x14ac:dyDescent="0.25">
      <c r="A102" s="11" t="str">
        <f>"1818"</f>
        <v>1818</v>
      </c>
      <c r="B102" s="11" t="str">
        <f>"Начисленные прочие комиссионные доходы"</f>
        <v>Начисленные прочие комиссионные доходы</v>
      </c>
      <c r="C102" s="11" t="str">
        <f>"1"</f>
        <v>1</v>
      </c>
      <c r="D102" s="11" t="str">
        <f>""</f>
        <v/>
      </c>
      <c r="E102" s="11" t="str">
        <f t="shared" si="9"/>
        <v>1</v>
      </c>
      <c r="F102" s="12">
        <v>224623.35</v>
      </c>
    </row>
    <row r="103" spans="1:6" x14ac:dyDescent="0.25">
      <c r="A103" s="11" t="str">
        <f>"1831"</f>
        <v>1831</v>
      </c>
      <c r="B103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03" s="11" t="str">
        <f>"1"</f>
        <v>1</v>
      </c>
      <c r="D103" s="11" t="str">
        <f>""</f>
        <v/>
      </c>
      <c r="E103" s="11" t="str">
        <f t="shared" si="9"/>
        <v>1</v>
      </c>
      <c r="F103" s="12">
        <v>8448218.9100000001</v>
      </c>
    </row>
    <row r="104" spans="1:6" x14ac:dyDescent="0.25">
      <c r="A104" s="11" t="str">
        <f>"1836"</f>
        <v>1836</v>
      </c>
      <c r="B104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04" s="11" t="str">
        <f>"1"</f>
        <v>1</v>
      </c>
      <c r="D104" s="11" t="str">
        <f>""</f>
        <v/>
      </c>
      <c r="E104" s="11" t="str">
        <f t="shared" si="9"/>
        <v>1</v>
      </c>
      <c r="F104" s="12">
        <v>16571924.65</v>
      </c>
    </row>
    <row r="105" spans="1:6" x14ac:dyDescent="0.25">
      <c r="A105" s="11" t="str">
        <f>"1837"</f>
        <v>1837</v>
      </c>
      <c r="B105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05" s="11" t="str">
        <f>"1"</f>
        <v>1</v>
      </c>
      <c r="D105" s="11" t="str">
        <f>""</f>
        <v/>
      </c>
      <c r="E105" s="11" t="str">
        <f t="shared" si="9"/>
        <v>1</v>
      </c>
      <c r="F105" s="12">
        <v>15560732.74</v>
      </c>
    </row>
    <row r="106" spans="1:6" x14ac:dyDescent="0.25">
      <c r="A106" s="11" t="str">
        <f>"1837"</f>
        <v>1837</v>
      </c>
      <c r="B106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06" s="11" t="str">
        <f>"2"</f>
        <v>2</v>
      </c>
      <c r="D106" s="11" t="str">
        <f>""</f>
        <v/>
      </c>
      <c r="E106" s="11" t="str">
        <f t="shared" si="9"/>
        <v>1</v>
      </c>
      <c r="F106" s="12">
        <v>1002072.63</v>
      </c>
    </row>
    <row r="107" spans="1:6" x14ac:dyDescent="0.25">
      <c r="A107" s="11" t="str">
        <f>"1838"</f>
        <v>1838</v>
      </c>
      <c r="B107" s="11" t="str">
        <f>"Просроченные прочие комиссионные доходы"</f>
        <v>Просроченные прочие комиссионные доходы</v>
      </c>
      <c r="C107" s="11" t="str">
        <f>"1"</f>
        <v>1</v>
      </c>
      <c r="D107" s="11" t="str">
        <f>""</f>
        <v/>
      </c>
      <c r="E107" s="11" t="str">
        <f t="shared" si="9"/>
        <v>1</v>
      </c>
      <c r="F107" s="12">
        <v>52074791.600000001</v>
      </c>
    </row>
    <row r="108" spans="1:6" x14ac:dyDescent="0.25">
      <c r="A108" s="11" t="str">
        <f>"1838"</f>
        <v>1838</v>
      </c>
      <c r="B108" s="11" t="str">
        <f>"Просроченные прочие комиссионные доходы"</f>
        <v>Просроченные прочие комиссионные доходы</v>
      </c>
      <c r="C108" s="11" t="str">
        <f>"2"</f>
        <v>2</v>
      </c>
      <c r="D108" s="11" t="str">
        <f>""</f>
        <v/>
      </c>
      <c r="E108" s="11" t="str">
        <f t="shared" si="9"/>
        <v>1</v>
      </c>
      <c r="F108" s="12">
        <v>327476</v>
      </c>
    </row>
    <row r="109" spans="1:6" x14ac:dyDescent="0.25">
      <c r="A109" s="11" t="str">
        <f>"1841"</f>
        <v>1841</v>
      </c>
      <c r="B109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09" s="11" t="str">
        <f>"1"</f>
        <v>1</v>
      </c>
      <c r="D109" s="11" t="str">
        <f>""</f>
        <v/>
      </c>
      <c r="E109" s="11" t="str">
        <f t="shared" si="9"/>
        <v>1</v>
      </c>
      <c r="F109" s="12">
        <v>592628.54</v>
      </c>
    </row>
    <row r="110" spans="1:6" x14ac:dyDescent="0.25">
      <c r="A110" s="11" t="str">
        <f>"1841"</f>
        <v>1841</v>
      </c>
      <c r="B110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0" s="11" t="str">
        <f>"2"</f>
        <v>2</v>
      </c>
      <c r="D110" s="11" t="str">
        <f>""</f>
        <v/>
      </c>
      <c r="E110" s="11" t="str">
        <f t="shared" si="9"/>
        <v>1</v>
      </c>
      <c r="F110" s="12">
        <v>1000</v>
      </c>
    </row>
    <row r="111" spans="1:6" x14ac:dyDescent="0.25">
      <c r="A111" s="11" t="str">
        <f>"1845"</f>
        <v>1845</v>
      </c>
      <c r="B111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1" s="11" t="str">
        <f>"1"</f>
        <v>1</v>
      </c>
      <c r="D111" s="11" t="str">
        <f>""</f>
        <v/>
      </c>
      <c r="E111" s="11" t="str">
        <f t="shared" si="9"/>
        <v>1</v>
      </c>
      <c r="F111" s="12">
        <v>-92145844.670000002</v>
      </c>
    </row>
    <row r="112" spans="1:6" x14ac:dyDescent="0.25">
      <c r="A112" s="11" t="str">
        <f>"1845"</f>
        <v>1845</v>
      </c>
      <c r="B112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2" s="11" t="str">
        <f>"2"</f>
        <v>2</v>
      </c>
      <c r="D112" s="11" t="str">
        <f>""</f>
        <v/>
      </c>
      <c r="E112" s="11" t="str">
        <f t="shared" si="9"/>
        <v>1</v>
      </c>
      <c r="F112" s="12">
        <v>-1324548.6299999999</v>
      </c>
    </row>
    <row r="113" spans="1:6" x14ac:dyDescent="0.25">
      <c r="A113" s="11" t="str">
        <f>"1851"</f>
        <v>1851</v>
      </c>
      <c r="B113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3" s="11" t="str">
        <f>"1"</f>
        <v>1</v>
      </c>
      <c r="D113" s="11" t="str">
        <f>"1"</f>
        <v>1</v>
      </c>
      <c r="E113" s="11" t="str">
        <f t="shared" si="9"/>
        <v>1</v>
      </c>
      <c r="F113" s="12">
        <v>1091863092.78</v>
      </c>
    </row>
    <row r="114" spans="1:6" x14ac:dyDescent="0.25">
      <c r="A114" s="11" t="str">
        <f>"1854"</f>
        <v>1854</v>
      </c>
      <c r="B114" s="11" t="str">
        <f>"Расчеты с работниками"</f>
        <v>Расчеты с работниками</v>
      </c>
      <c r="C114" s="11" t="str">
        <f>""</f>
        <v/>
      </c>
      <c r="D114" s="11" t="str">
        <f>""</f>
        <v/>
      </c>
      <c r="E114" s="11" t="str">
        <f>""</f>
        <v/>
      </c>
      <c r="F114" s="12">
        <v>27391631.09</v>
      </c>
    </row>
    <row r="115" spans="1:6" x14ac:dyDescent="0.25">
      <c r="A115" s="11" t="str">
        <f>"1856"</f>
        <v>1856</v>
      </c>
      <c r="B115" s="11" t="str">
        <f>"Дебиторы по капитальным вложениям"</f>
        <v>Дебиторы по капитальным вложениям</v>
      </c>
      <c r="C115" s="11" t="str">
        <f>"1"</f>
        <v>1</v>
      </c>
      <c r="D115" s="11" t="str">
        <f>"7"</f>
        <v>7</v>
      </c>
      <c r="E115" s="11" t="str">
        <f>"1"</f>
        <v>1</v>
      </c>
      <c r="F115" s="12">
        <v>386764941</v>
      </c>
    </row>
    <row r="116" spans="1:6" x14ac:dyDescent="0.25">
      <c r="A116" s="11" t="str">
        <f>"1856"</f>
        <v>1856</v>
      </c>
      <c r="B116" s="11" t="str">
        <f>"Дебиторы по капитальным вложениям"</f>
        <v>Дебиторы по капитальным вложениям</v>
      </c>
      <c r="C116" s="11" t="str">
        <f>"1"</f>
        <v>1</v>
      </c>
      <c r="D116" s="11" t="str">
        <f>"9"</f>
        <v>9</v>
      </c>
      <c r="E116" s="11" t="str">
        <f>"1"</f>
        <v>1</v>
      </c>
      <c r="F116" s="12">
        <v>2659950</v>
      </c>
    </row>
    <row r="117" spans="1:6" x14ac:dyDescent="0.25">
      <c r="A117" s="11" t="str">
        <f>"1856"</f>
        <v>1856</v>
      </c>
      <c r="B117" s="11" t="str">
        <f>"Дебиторы по капитальным вложениям"</f>
        <v>Дебиторы по капитальным вложениям</v>
      </c>
      <c r="C117" s="11" t="str">
        <f>"2"</f>
        <v>2</v>
      </c>
      <c r="D117" s="11" t="str">
        <f>"7"</f>
        <v>7</v>
      </c>
      <c r="E117" s="11" t="str">
        <f>"1"</f>
        <v>1</v>
      </c>
      <c r="F117" s="12">
        <v>429871.29</v>
      </c>
    </row>
    <row r="118" spans="1:6" x14ac:dyDescent="0.25">
      <c r="A118" s="11" t="str">
        <f>"1857"</f>
        <v>1857</v>
      </c>
      <c r="B118" s="11" t="str">
        <f>"Отложенные налоговые активы"</f>
        <v>Отложенные налоговые активы</v>
      </c>
      <c r="C118" s="11" t="str">
        <f>""</f>
        <v/>
      </c>
      <c r="D118" s="11" t="str">
        <f>""</f>
        <v/>
      </c>
      <c r="E118" s="11" t="str">
        <f>""</f>
        <v/>
      </c>
      <c r="F118" s="12">
        <v>212054000</v>
      </c>
    </row>
    <row r="119" spans="1:6" x14ac:dyDescent="0.25">
      <c r="A119" s="11" t="str">
        <f t="shared" ref="A119:A128" si="12">"1860"</f>
        <v>1860</v>
      </c>
      <c r="B119" s="11" t="str">
        <f t="shared" ref="B119:B128" si="13">"Прочие дебиторы по банковской деятельности"</f>
        <v>Прочие дебиторы по банковской деятельности</v>
      </c>
      <c r="C119" s="11" t="str">
        <f>"1"</f>
        <v>1</v>
      </c>
      <c r="D119" s="11" t="str">
        <f>"1"</f>
        <v>1</v>
      </c>
      <c r="E119" s="11" t="str">
        <f>"1"</f>
        <v>1</v>
      </c>
      <c r="F119" s="12">
        <v>60980.639999999999</v>
      </c>
    </row>
    <row r="120" spans="1:6" x14ac:dyDescent="0.25">
      <c r="A120" s="11" t="str">
        <f t="shared" si="12"/>
        <v>1860</v>
      </c>
      <c r="B120" s="11" t="str">
        <f t="shared" si="13"/>
        <v>Прочие дебиторы по банковской деятельности</v>
      </c>
      <c r="C120" s="11" t="str">
        <f>"1"</f>
        <v>1</v>
      </c>
      <c r="D120" s="11" t="str">
        <f>"5"</f>
        <v>5</v>
      </c>
      <c r="E120" s="11" t="str">
        <f>"1"</f>
        <v>1</v>
      </c>
      <c r="F120" s="12">
        <v>6942070.8399999999</v>
      </c>
    </row>
    <row r="121" spans="1:6" x14ac:dyDescent="0.25">
      <c r="A121" s="11" t="str">
        <f t="shared" si="12"/>
        <v>1860</v>
      </c>
      <c r="B121" s="11" t="str">
        <f t="shared" si="13"/>
        <v>Прочие дебиторы по банковской деятельности</v>
      </c>
      <c r="C121" s="11" t="str">
        <f>"1"</f>
        <v>1</v>
      </c>
      <c r="D121" s="11" t="str">
        <f>"7"</f>
        <v>7</v>
      </c>
      <c r="E121" s="11" t="str">
        <f>"1"</f>
        <v>1</v>
      </c>
      <c r="F121" s="12">
        <v>111710508.11</v>
      </c>
    </row>
    <row r="122" spans="1:6" x14ac:dyDescent="0.25">
      <c r="A122" s="11" t="str">
        <f t="shared" si="12"/>
        <v>1860</v>
      </c>
      <c r="B122" s="11" t="str">
        <f t="shared" si="13"/>
        <v>Прочие дебиторы по банковской деятельности</v>
      </c>
      <c r="C122" s="11" t="str">
        <f>"1"</f>
        <v>1</v>
      </c>
      <c r="D122" s="11" t="str">
        <f>"9"</f>
        <v>9</v>
      </c>
      <c r="E122" s="11" t="str">
        <f>"1"</f>
        <v>1</v>
      </c>
      <c r="F122" s="12">
        <v>93810955.420000002</v>
      </c>
    </row>
    <row r="123" spans="1:6" x14ac:dyDescent="0.25">
      <c r="A123" s="11" t="str">
        <f t="shared" si="12"/>
        <v>1860</v>
      </c>
      <c r="B123" s="11" t="str">
        <f t="shared" si="13"/>
        <v>Прочие дебиторы по банковской деятельности</v>
      </c>
      <c r="C123" s="11" t="str">
        <f t="shared" ref="C123:C128" si="14">"2"</f>
        <v>2</v>
      </c>
      <c r="D123" s="11" t="str">
        <f>"4"</f>
        <v>4</v>
      </c>
      <c r="E123" s="11" t="str">
        <f>"1"</f>
        <v>1</v>
      </c>
      <c r="F123" s="12">
        <v>65635.27</v>
      </c>
    </row>
    <row r="124" spans="1:6" x14ac:dyDescent="0.25">
      <c r="A124" s="11" t="str">
        <f t="shared" si="12"/>
        <v>1860</v>
      </c>
      <c r="B124" s="11" t="str">
        <f t="shared" si="13"/>
        <v>Прочие дебиторы по банковской деятельности</v>
      </c>
      <c r="C124" s="11" t="str">
        <f t="shared" si="14"/>
        <v>2</v>
      </c>
      <c r="D124" s="11" t="str">
        <f>"4"</f>
        <v>4</v>
      </c>
      <c r="E124" s="11" t="str">
        <f>"2"</f>
        <v>2</v>
      </c>
      <c r="F124" s="12">
        <v>45260523.030000001</v>
      </c>
    </row>
    <row r="125" spans="1:6" x14ac:dyDescent="0.25">
      <c r="A125" s="11" t="str">
        <f t="shared" si="12"/>
        <v>1860</v>
      </c>
      <c r="B125" s="11" t="str">
        <f t="shared" si="13"/>
        <v>Прочие дебиторы по банковской деятельности</v>
      </c>
      <c r="C125" s="11" t="str">
        <f t="shared" si="14"/>
        <v>2</v>
      </c>
      <c r="D125" s="11" t="str">
        <f>"5"</f>
        <v>5</v>
      </c>
      <c r="E125" s="11" t="str">
        <f>"1"</f>
        <v>1</v>
      </c>
      <c r="F125" s="12">
        <v>9426415.3300000001</v>
      </c>
    </row>
    <row r="126" spans="1:6" x14ac:dyDescent="0.25">
      <c r="A126" s="11" t="str">
        <f t="shared" si="12"/>
        <v>1860</v>
      </c>
      <c r="B126" s="11" t="str">
        <f t="shared" si="13"/>
        <v>Прочие дебиторы по банковской деятельности</v>
      </c>
      <c r="C126" s="11" t="str">
        <f t="shared" si="14"/>
        <v>2</v>
      </c>
      <c r="D126" s="11" t="str">
        <f>"5"</f>
        <v>5</v>
      </c>
      <c r="E126" s="11" t="str">
        <f>"2"</f>
        <v>2</v>
      </c>
      <c r="F126" s="12">
        <v>44013596.18</v>
      </c>
    </row>
    <row r="127" spans="1:6" x14ac:dyDescent="0.25">
      <c r="A127" s="11" t="str">
        <f t="shared" si="12"/>
        <v>1860</v>
      </c>
      <c r="B127" s="11" t="str">
        <f t="shared" si="13"/>
        <v>Прочие дебиторы по банковской деятельности</v>
      </c>
      <c r="C127" s="11" t="str">
        <f t="shared" si="14"/>
        <v>2</v>
      </c>
      <c r="D127" s="11" t="str">
        <f>"5"</f>
        <v>5</v>
      </c>
      <c r="E127" s="11" t="str">
        <f>"3"</f>
        <v>3</v>
      </c>
      <c r="F127" s="12">
        <v>85687131.950000003</v>
      </c>
    </row>
    <row r="128" spans="1:6" x14ac:dyDescent="0.25">
      <c r="A128" s="11" t="str">
        <f t="shared" si="12"/>
        <v>1860</v>
      </c>
      <c r="B128" s="11" t="str">
        <f t="shared" si="13"/>
        <v>Прочие дебиторы по банковской деятельности</v>
      </c>
      <c r="C128" s="11" t="str">
        <f t="shared" si="14"/>
        <v>2</v>
      </c>
      <c r="D128" s="11" t="str">
        <f>"9"</f>
        <v>9</v>
      </c>
      <c r="E128" s="11" t="str">
        <f t="shared" ref="E128:E143" si="15">"1"</f>
        <v>1</v>
      </c>
      <c r="F128" s="12">
        <v>7601.99</v>
      </c>
    </row>
    <row r="129" spans="1:6" x14ac:dyDescent="0.25">
      <c r="A129" s="11" t="str">
        <f>"1861"</f>
        <v>1861</v>
      </c>
      <c r="B129" s="11" t="str">
        <f>"Дебиторы по гарантиям"</f>
        <v>Дебиторы по гарантиям</v>
      </c>
      <c r="C129" s="11" t="str">
        <f t="shared" ref="C129:C135" si="16">"1"</f>
        <v>1</v>
      </c>
      <c r="D129" s="11" t="str">
        <f>"7"</f>
        <v>7</v>
      </c>
      <c r="E129" s="11" t="str">
        <f t="shared" si="15"/>
        <v>1</v>
      </c>
      <c r="F129" s="12">
        <v>1402990995.0999999</v>
      </c>
    </row>
    <row r="130" spans="1:6" x14ac:dyDescent="0.25">
      <c r="A130" s="11" t="str">
        <f t="shared" ref="A130:A136" si="17">"1867"</f>
        <v>1867</v>
      </c>
      <c r="B130" s="11" t="str">
        <f t="shared" ref="B130:B136" si="18">"Прочие дебиторы по неосновной деятельности"</f>
        <v>Прочие дебиторы по неосновной деятельности</v>
      </c>
      <c r="C130" s="11" t="str">
        <f t="shared" si="16"/>
        <v>1</v>
      </c>
      <c r="D130" s="11" t="str">
        <f>"1"</f>
        <v>1</v>
      </c>
      <c r="E130" s="11" t="str">
        <f t="shared" si="15"/>
        <v>1</v>
      </c>
      <c r="F130" s="12">
        <v>2768505</v>
      </c>
    </row>
    <row r="131" spans="1:6" x14ac:dyDescent="0.25">
      <c r="A131" s="11" t="str">
        <f t="shared" si="17"/>
        <v>1867</v>
      </c>
      <c r="B131" s="11" t="str">
        <f t="shared" si="18"/>
        <v>Прочие дебиторы по неосновной деятельности</v>
      </c>
      <c r="C131" s="11" t="str">
        <f t="shared" si="16"/>
        <v>1</v>
      </c>
      <c r="D131" s="11" t="str">
        <f>"5"</f>
        <v>5</v>
      </c>
      <c r="E131" s="11" t="str">
        <f t="shared" si="15"/>
        <v>1</v>
      </c>
      <c r="F131" s="12">
        <v>1440955.36</v>
      </c>
    </row>
    <row r="132" spans="1:6" x14ac:dyDescent="0.25">
      <c r="A132" s="11" t="str">
        <f t="shared" si="17"/>
        <v>1867</v>
      </c>
      <c r="B132" s="11" t="str">
        <f t="shared" si="18"/>
        <v>Прочие дебиторы по неосновной деятельности</v>
      </c>
      <c r="C132" s="11" t="str">
        <f t="shared" si="16"/>
        <v>1</v>
      </c>
      <c r="D132" s="11" t="str">
        <f>"6"</f>
        <v>6</v>
      </c>
      <c r="E132" s="11" t="str">
        <f t="shared" si="15"/>
        <v>1</v>
      </c>
      <c r="F132" s="12">
        <v>114833.27</v>
      </c>
    </row>
    <row r="133" spans="1:6" x14ac:dyDescent="0.25">
      <c r="A133" s="11" t="str">
        <f t="shared" si="17"/>
        <v>1867</v>
      </c>
      <c r="B133" s="11" t="str">
        <f t="shared" si="18"/>
        <v>Прочие дебиторы по неосновной деятельности</v>
      </c>
      <c r="C133" s="11" t="str">
        <f t="shared" si="16"/>
        <v>1</v>
      </c>
      <c r="D133" s="11" t="str">
        <f>"7"</f>
        <v>7</v>
      </c>
      <c r="E133" s="11" t="str">
        <f t="shared" si="15"/>
        <v>1</v>
      </c>
      <c r="F133" s="12">
        <v>94594636.799999997</v>
      </c>
    </row>
    <row r="134" spans="1:6" x14ac:dyDescent="0.25">
      <c r="A134" s="11" t="str">
        <f t="shared" si="17"/>
        <v>1867</v>
      </c>
      <c r="B134" s="11" t="str">
        <f t="shared" si="18"/>
        <v>Прочие дебиторы по неосновной деятельности</v>
      </c>
      <c r="C134" s="11" t="str">
        <f t="shared" si="16"/>
        <v>1</v>
      </c>
      <c r="D134" s="11" t="str">
        <f>"8"</f>
        <v>8</v>
      </c>
      <c r="E134" s="11" t="str">
        <f t="shared" si="15"/>
        <v>1</v>
      </c>
      <c r="F134" s="12">
        <v>588504</v>
      </c>
    </row>
    <row r="135" spans="1:6" x14ac:dyDescent="0.25">
      <c r="A135" s="11" t="str">
        <f t="shared" si="17"/>
        <v>1867</v>
      </c>
      <c r="B135" s="11" t="str">
        <f t="shared" si="18"/>
        <v>Прочие дебиторы по неосновной деятельности</v>
      </c>
      <c r="C135" s="11" t="str">
        <f t="shared" si="16"/>
        <v>1</v>
      </c>
      <c r="D135" s="11" t="str">
        <f>"9"</f>
        <v>9</v>
      </c>
      <c r="E135" s="11" t="str">
        <f t="shared" si="15"/>
        <v>1</v>
      </c>
      <c r="F135" s="12">
        <v>89488092.280000001</v>
      </c>
    </row>
    <row r="136" spans="1:6" x14ac:dyDescent="0.25">
      <c r="A136" s="11" t="str">
        <f t="shared" si="17"/>
        <v>1867</v>
      </c>
      <c r="B136" s="11" t="str">
        <f t="shared" si="18"/>
        <v>Прочие дебиторы по неосновной деятельности</v>
      </c>
      <c r="C136" s="11" t="str">
        <f>"2"</f>
        <v>2</v>
      </c>
      <c r="D136" s="11" t="str">
        <f>"7"</f>
        <v>7</v>
      </c>
      <c r="E136" s="11" t="str">
        <f t="shared" si="15"/>
        <v>1</v>
      </c>
      <c r="F136" s="12">
        <v>851231.66</v>
      </c>
    </row>
    <row r="137" spans="1:6" x14ac:dyDescent="0.25">
      <c r="A137" s="11" t="str">
        <f>"1870"</f>
        <v>1870</v>
      </c>
      <c r="B137" s="11" t="str">
        <f>"Прочие транзитные счета"</f>
        <v>Прочие транзитные счета</v>
      </c>
      <c r="C137" s="11" t="str">
        <f t="shared" ref="C137:C142" si="19">"1"</f>
        <v>1</v>
      </c>
      <c r="D137" s="11" t="str">
        <f>"4"</f>
        <v>4</v>
      </c>
      <c r="E137" s="11" t="str">
        <f t="shared" si="15"/>
        <v>1</v>
      </c>
      <c r="F137" s="12">
        <v>51500000</v>
      </c>
    </row>
    <row r="138" spans="1:6" x14ac:dyDescent="0.25">
      <c r="A138" s="11" t="str">
        <f>"1870"</f>
        <v>1870</v>
      </c>
      <c r="B138" s="11" t="str">
        <f>"Прочие транзитные счета"</f>
        <v>Прочие транзитные счета</v>
      </c>
      <c r="C138" s="11" t="str">
        <f t="shared" si="19"/>
        <v>1</v>
      </c>
      <c r="D138" s="11" t="str">
        <f>"7"</f>
        <v>7</v>
      </c>
      <c r="E138" s="11" t="str">
        <f t="shared" si="15"/>
        <v>1</v>
      </c>
      <c r="F138" s="12">
        <v>234398794</v>
      </c>
    </row>
    <row r="139" spans="1:6" x14ac:dyDescent="0.25">
      <c r="A139" s="11" t="str">
        <f t="shared" ref="A139:A145" si="20">"1877"</f>
        <v>1877</v>
      </c>
      <c r="B139" s="11" t="str">
        <f t="shared" ref="B139:B145" si="2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39" s="11" t="str">
        <f t="shared" si="19"/>
        <v>1</v>
      </c>
      <c r="D139" s="11" t="str">
        <f>"4"</f>
        <v>4</v>
      </c>
      <c r="E139" s="11" t="str">
        <f t="shared" si="15"/>
        <v>1</v>
      </c>
      <c r="F139" s="12">
        <v>-2000</v>
      </c>
    </row>
    <row r="140" spans="1:6" x14ac:dyDescent="0.25">
      <c r="A140" s="11" t="str">
        <f t="shared" si="20"/>
        <v>1877</v>
      </c>
      <c r="B140" s="11" t="str">
        <f t="shared" si="21"/>
        <v>Резервы (провизии) по дебиторской задолженности, связанной с банковской деятельностью</v>
      </c>
      <c r="C140" s="11" t="str">
        <f t="shared" si="19"/>
        <v>1</v>
      </c>
      <c r="D140" s="11" t="str">
        <f>"5"</f>
        <v>5</v>
      </c>
      <c r="E140" s="11" t="str">
        <f t="shared" si="15"/>
        <v>1</v>
      </c>
      <c r="F140" s="12">
        <v>-3675843.1</v>
      </c>
    </row>
    <row r="141" spans="1:6" x14ac:dyDescent="0.25">
      <c r="A141" s="11" t="str">
        <f t="shared" si="20"/>
        <v>1877</v>
      </c>
      <c r="B141" s="11" t="str">
        <f t="shared" si="21"/>
        <v>Резервы (провизии) по дебиторской задолженности, связанной с банковской деятельностью</v>
      </c>
      <c r="C141" s="11" t="str">
        <f t="shared" si="19"/>
        <v>1</v>
      </c>
      <c r="D141" s="11" t="str">
        <f>"7"</f>
        <v>7</v>
      </c>
      <c r="E141" s="11" t="str">
        <f t="shared" si="15"/>
        <v>1</v>
      </c>
      <c r="F141" s="12">
        <v>-1368113905.22</v>
      </c>
    </row>
    <row r="142" spans="1:6" x14ac:dyDescent="0.25">
      <c r="A142" s="11" t="str">
        <f t="shared" si="20"/>
        <v>1877</v>
      </c>
      <c r="B142" s="11" t="str">
        <f t="shared" si="21"/>
        <v>Резервы (провизии) по дебиторской задолженности, связанной с банковской деятельностью</v>
      </c>
      <c r="C142" s="11" t="str">
        <f t="shared" si="19"/>
        <v>1</v>
      </c>
      <c r="D142" s="11" t="str">
        <f>"9"</f>
        <v>9</v>
      </c>
      <c r="E142" s="11" t="str">
        <f t="shared" si="15"/>
        <v>1</v>
      </c>
      <c r="F142" s="12">
        <v>-59954796.049999997</v>
      </c>
    </row>
    <row r="143" spans="1:6" x14ac:dyDescent="0.25">
      <c r="A143" s="11" t="str">
        <f t="shared" si="20"/>
        <v>1877</v>
      </c>
      <c r="B143" s="11" t="str">
        <f t="shared" si="21"/>
        <v>Резервы (провизии) по дебиторской задолженности, связанной с банковской деятельностью</v>
      </c>
      <c r="C143" s="11" t="str">
        <f>"2"</f>
        <v>2</v>
      </c>
      <c r="D143" s="11" t="str">
        <f>"4"</f>
        <v>4</v>
      </c>
      <c r="E143" s="11" t="str">
        <f t="shared" si="15"/>
        <v>1</v>
      </c>
      <c r="F143" s="12">
        <v>-4785.2700000000004</v>
      </c>
    </row>
    <row r="144" spans="1:6" x14ac:dyDescent="0.25">
      <c r="A144" s="11" t="str">
        <f t="shared" si="20"/>
        <v>1877</v>
      </c>
      <c r="B144" s="11" t="str">
        <f t="shared" si="21"/>
        <v>Резервы (провизии) по дебиторской задолженности, связанной с банковской деятельностью</v>
      </c>
      <c r="C144" s="11" t="str">
        <f>"2"</f>
        <v>2</v>
      </c>
      <c r="D144" s="11" t="str">
        <f>"4"</f>
        <v>4</v>
      </c>
      <c r="E144" s="11" t="str">
        <f>"2"</f>
        <v>2</v>
      </c>
      <c r="F144" s="12">
        <v>-45260523.030000001</v>
      </c>
    </row>
    <row r="145" spans="1:6" x14ac:dyDescent="0.25">
      <c r="A145" s="11" t="str">
        <f t="shared" si="20"/>
        <v>1877</v>
      </c>
      <c r="B145" s="11" t="str">
        <f t="shared" si="21"/>
        <v>Резервы (провизии) по дебиторской задолженности, связанной с банковской деятельностью</v>
      </c>
      <c r="C145" s="11" t="str">
        <f>"2"</f>
        <v>2</v>
      </c>
      <c r="D145" s="11" t="str">
        <f>"5"</f>
        <v>5</v>
      </c>
      <c r="E145" s="11" t="str">
        <f>"2"</f>
        <v>2</v>
      </c>
      <c r="F145" s="12">
        <v>-1742690.6</v>
      </c>
    </row>
    <row r="146" spans="1:6" x14ac:dyDescent="0.25">
      <c r="A146" s="11" t="str">
        <f>"1878"</f>
        <v>1878</v>
      </c>
      <c r="B146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46" s="11" t="str">
        <f t="shared" ref="C146:C151" si="22">"1"</f>
        <v>1</v>
      </c>
      <c r="D146" s="11" t="str">
        <f>"7"</f>
        <v>7</v>
      </c>
      <c r="E146" s="11" t="str">
        <f t="shared" ref="E146:E153" si="23">"1"</f>
        <v>1</v>
      </c>
      <c r="F146" s="12">
        <v>-23728925.43</v>
      </c>
    </row>
    <row r="147" spans="1:6" x14ac:dyDescent="0.25">
      <c r="A147" s="11" t="str">
        <f>"1878"</f>
        <v>1878</v>
      </c>
      <c r="B147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47" s="11" t="str">
        <f t="shared" si="22"/>
        <v>1</v>
      </c>
      <c r="D147" s="11" t="str">
        <f>"8"</f>
        <v>8</v>
      </c>
      <c r="E147" s="11" t="str">
        <f t="shared" si="23"/>
        <v>1</v>
      </c>
      <c r="F147" s="12">
        <v>-350000</v>
      </c>
    </row>
    <row r="148" spans="1:6" x14ac:dyDescent="0.25">
      <c r="A148" s="11" t="str">
        <f>"1878"</f>
        <v>1878</v>
      </c>
      <c r="B148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48" s="11" t="str">
        <f t="shared" si="22"/>
        <v>1</v>
      </c>
      <c r="D148" s="11" t="str">
        <f>"9"</f>
        <v>9</v>
      </c>
      <c r="E148" s="11" t="str">
        <f t="shared" si="23"/>
        <v>1</v>
      </c>
      <c r="F148" s="12">
        <v>-7528166</v>
      </c>
    </row>
    <row r="149" spans="1:6" x14ac:dyDescent="0.25">
      <c r="A149" s="11" t="str">
        <f>"1879"</f>
        <v>1879</v>
      </c>
      <c r="B149" s="11" t="str">
        <f>"Начисленная неустойка (штраф, пеня)"</f>
        <v>Начисленная неустойка (штраф, пеня)</v>
      </c>
      <c r="C149" s="11" t="str">
        <f t="shared" si="22"/>
        <v>1</v>
      </c>
      <c r="D149" s="11" t="str">
        <f>"7"</f>
        <v>7</v>
      </c>
      <c r="E149" s="11" t="str">
        <f t="shared" si="23"/>
        <v>1</v>
      </c>
      <c r="F149" s="12">
        <v>1200000</v>
      </c>
    </row>
    <row r="150" spans="1:6" x14ac:dyDescent="0.25">
      <c r="A150" s="11" t="str">
        <f>"1879"</f>
        <v>1879</v>
      </c>
      <c r="B150" s="11" t="str">
        <f>"Начисленная неустойка (штраф, пеня)"</f>
        <v>Начисленная неустойка (штраф, пеня)</v>
      </c>
      <c r="C150" s="11" t="str">
        <f t="shared" si="22"/>
        <v>1</v>
      </c>
      <c r="D150" s="11" t="str">
        <f>"9"</f>
        <v>9</v>
      </c>
      <c r="E150" s="11" t="str">
        <f t="shared" si="23"/>
        <v>1</v>
      </c>
      <c r="F150" s="12">
        <v>13389192.68</v>
      </c>
    </row>
    <row r="151" spans="1:6" x14ac:dyDescent="0.25">
      <c r="A151" s="11" t="str">
        <f>"1894"</f>
        <v>1894</v>
      </c>
      <c r="B151" s="11" t="str">
        <f>"Требования по операциям спот"</f>
        <v>Требования по операциям спот</v>
      </c>
      <c r="C151" s="11" t="str">
        <f t="shared" si="22"/>
        <v>1</v>
      </c>
      <c r="D151" s="11" t="str">
        <f>"5"</f>
        <v>5</v>
      </c>
      <c r="E151" s="11" t="str">
        <f t="shared" si="23"/>
        <v>1</v>
      </c>
      <c r="F151" s="12">
        <v>3300000</v>
      </c>
    </row>
    <row r="152" spans="1:6" x14ac:dyDescent="0.25">
      <c r="A152" s="11" t="str">
        <f>"1894"</f>
        <v>1894</v>
      </c>
      <c r="B152" s="11" t="str">
        <f>"Требования по операциям спот"</f>
        <v>Требования по операциям спот</v>
      </c>
      <c r="C152" s="11" t="str">
        <f>"2"</f>
        <v>2</v>
      </c>
      <c r="D152" s="11" t="str">
        <f>"4"</f>
        <v>4</v>
      </c>
      <c r="E152" s="11" t="str">
        <f t="shared" si="23"/>
        <v>1</v>
      </c>
      <c r="F152" s="12">
        <v>164869000</v>
      </c>
    </row>
    <row r="153" spans="1:6" x14ac:dyDescent="0.25">
      <c r="A153" s="11" t="str">
        <f>"2013"</f>
        <v>2013</v>
      </c>
      <c r="B153" s="11" t="str">
        <f>"Корреспондентские счета других банков"</f>
        <v>Корреспондентские счета других банков</v>
      </c>
      <c r="C153" s="11" t="str">
        <f>"2"</f>
        <v>2</v>
      </c>
      <c r="D153" s="11" t="str">
        <f>"4"</f>
        <v>4</v>
      </c>
      <c r="E153" s="11" t="str">
        <f t="shared" si="23"/>
        <v>1</v>
      </c>
      <c r="F153" s="12">
        <v>6269412283.4799995</v>
      </c>
    </row>
    <row r="154" spans="1:6" x14ac:dyDescent="0.25">
      <c r="A154" s="11" t="str">
        <f>"2056"</f>
        <v>2056</v>
      </c>
      <c r="B154" s="11" t="str">
        <f>"Долгосрочные займы, полученные от других банков"</f>
        <v>Долгосрочные займы, полученные от других банков</v>
      </c>
      <c r="C154" s="11" t="str">
        <f>"2"</f>
        <v>2</v>
      </c>
      <c r="D154" s="11" t="str">
        <f>"4"</f>
        <v>4</v>
      </c>
      <c r="E154" s="11" t="str">
        <f>"3"</f>
        <v>3</v>
      </c>
      <c r="F154" s="12">
        <v>15207500000</v>
      </c>
    </row>
    <row r="155" spans="1:6" x14ac:dyDescent="0.25">
      <c r="A155" s="11" t="str">
        <f t="shared" ref="A155:A169" si="24">"2203"</f>
        <v>2203</v>
      </c>
      <c r="B155" s="11" t="str">
        <f t="shared" ref="B155:B169" si="25">"Текущие счета юридических лиц"</f>
        <v>Текущие счета юридических лиц</v>
      </c>
      <c r="C155" s="11" t="str">
        <f t="shared" ref="C155:C163" si="26">"1"</f>
        <v>1</v>
      </c>
      <c r="D155" s="11" t="str">
        <f>"5"</f>
        <v>5</v>
      </c>
      <c r="E155" s="11" t="str">
        <f>"1"</f>
        <v>1</v>
      </c>
      <c r="F155" s="12">
        <v>11165463.77</v>
      </c>
    </row>
    <row r="156" spans="1:6" x14ac:dyDescent="0.25">
      <c r="A156" s="11" t="str">
        <f t="shared" si="24"/>
        <v>2203</v>
      </c>
      <c r="B156" s="11" t="str">
        <f t="shared" si="25"/>
        <v>Текущие счета юридических лиц</v>
      </c>
      <c r="C156" s="11" t="str">
        <f t="shared" si="26"/>
        <v>1</v>
      </c>
      <c r="D156" s="11" t="str">
        <f>"5"</f>
        <v>5</v>
      </c>
      <c r="E156" s="11" t="str">
        <f>"2"</f>
        <v>2</v>
      </c>
      <c r="F156" s="12">
        <v>22186.91</v>
      </c>
    </row>
    <row r="157" spans="1:6" x14ac:dyDescent="0.25">
      <c r="A157" s="11" t="str">
        <f t="shared" si="24"/>
        <v>2203</v>
      </c>
      <c r="B157" s="11" t="str">
        <f t="shared" si="25"/>
        <v>Текущие счета юридических лиц</v>
      </c>
      <c r="C157" s="11" t="str">
        <f t="shared" si="26"/>
        <v>1</v>
      </c>
      <c r="D157" s="11" t="str">
        <f>"6"</f>
        <v>6</v>
      </c>
      <c r="E157" s="11" t="str">
        <f>"1"</f>
        <v>1</v>
      </c>
      <c r="F157" s="12">
        <v>8399207.4800000004</v>
      </c>
    </row>
    <row r="158" spans="1:6" x14ac:dyDescent="0.25">
      <c r="A158" s="11" t="str">
        <f t="shared" si="24"/>
        <v>2203</v>
      </c>
      <c r="B158" s="11" t="str">
        <f t="shared" si="25"/>
        <v>Текущие счета юридических лиц</v>
      </c>
      <c r="C158" s="11" t="str">
        <f t="shared" si="26"/>
        <v>1</v>
      </c>
      <c r="D158" s="11" t="str">
        <f>"6"</f>
        <v>6</v>
      </c>
      <c r="E158" s="11" t="str">
        <f>"3"</f>
        <v>3</v>
      </c>
      <c r="F158" s="12">
        <v>46151023.439999998</v>
      </c>
    </row>
    <row r="159" spans="1:6" x14ac:dyDescent="0.25">
      <c r="A159" s="11" t="str">
        <f t="shared" si="24"/>
        <v>2203</v>
      </c>
      <c r="B159" s="11" t="str">
        <f t="shared" si="25"/>
        <v>Текущие счета юридических лиц</v>
      </c>
      <c r="C159" s="11" t="str">
        <f t="shared" si="26"/>
        <v>1</v>
      </c>
      <c r="D159" s="11" t="str">
        <f>"7"</f>
        <v>7</v>
      </c>
      <c r="E159" s="11" t="str">
        <f>"1"</f>
        <v>1</v>
      </c>
      <c r="F159" s="12">
        <v>8674302608.0100002</v>
      </c>
    </row>
    <row r="160" spans="1:6" x14ac:dyDescent="0.25">
      <c r="A160" s="11" t="str">
        <f t="shared" si="24"/>
        <v>2203</v>
      </c>
      <c r="B160" s="11" t="str">
        <f t="shared" si="25"/>
        <v>Текущие счета юридических лиц</v>
      </c>
      <c r="C160" s="11" t="str">
        <f t="shared" si="26"/>
        <v>1</v>
      </c>
      <c r="D160" s="11" t="str">
        <f>"7"</f>
        <v>7</v>
      </c>
      <c r="E160" s="11" t="str">
        <f>"2"</f>
        <v>2</v>
      </c>
      <c r="F160" s="12">
        <v>381535177.26999998</v>
      </c>
    </row>
    <row r="161" spans="1:6" x14ac:dyDescent="0.25">
      <c r="A161" s="11" t="str">
        <f t="shared" si="24"/>
        <v>2203</v>
      </c>
      <c r="B161" s="11" t="str">
        <f t="shared" si="25"/>
        <v>Текущие счета юридических лиц</v>
      </c>
      <c r="C161" s="11" t="str">
        <f t="shared" si="26"/>
        <v>1</v>
      </c>
      <c r="D161" s="11" t="str">
        <f>"7"</f>
        <v>7</v>
      </c>
      <c r="E161" s="11" t="str">
        <f>"3"</f>
        <v>3</v>
      </c>
      <c r="F161" s="12">
        <v>10887779020.629999</v>
      </c>
    </row>
    <row r="162" spans="1:6" x14ac:dyDescent="0.25">
      <c r="A162" s="11" t="str">
        <f t="shared" si="24"/>
        <v>2203</v>
      </c>
      <c r="B162" s="11" t="str">
        <f t="shared" si="25"/>
        <v>Текущие счета юридических лиц</v>
      </c>
      <c r="C162" s="11" t="str">
        <f t="shared" si="26"/>
        <v>1</v>
      </c>
      <c r="D162" s="11" t="str">
        <f>"8"</f>
        <v>8</v>
      </c>
      <c r="E162" s="11" t="str">
        <f>"1"</f>
        <v>1</v>
      </c>
      <c r="F162" s="12">
        <v>36417498.93</v>
      </c>
    </row>
    <row r="163" spans="1:6" x14ac:dyDescent="0.25">
      <c r="A163" s="11" t="str">
        <f t="shared" si="24"/>
        <v>2203</v>
      </c>
      <c r="B163" s="11" t="str">
        <f t="shared" si="25"/>
        <v>Текущие счета юридических лиц</v>
      </c>
      <c r="C163" s="11" t="str">
        <f t="shared" si="26"/>
        <v>1</v>
      </c>
      <c r="D163" s="11" t="str">
        <f>"8"</f>
        <v>8</v>
      </c>
      <c r="E163" s="11" t="str">
        <f>"3"</f>
        <v>3</v>
      </c>
      <c r="F163" s="12">
        <v>2.99</v>
      </c>
    </row>
    <row r="164" spans="1:6" x14ac:dyDescent="0.25">
      <c r="A164" s="11" t="str">
        <f t="shared" si="24"/>
        <v>2203</v>
      </c>
      <c r="B164" s="11" t="str">
        <f t="shared" si="25"/>
        <v>Текущие счета юридических лиц</v>
      </c>
      <c r="C164" s="11" t="str">
        <f t="shared" ref="C164:C169" si="27">"2"</f>
        <v>2</v>
      </c>
      <c r="D164" s="11" t="str">
        <f>"1"</f>
        <v>1</v>
      </c>
      <c r="E164" s="11" t="str">
        <f>"1"</f>
        <v>1</v>
      </c>
      <c r="F164" s="12">
        <v>27803263.539999999</v>
      </c>
    </row>
    <row r="165" spans="1:6" x14ac:dyDescent="0.25">
      <c r="A165" s="11" t="str">
        <f t="shared" si="24"/>
        <v>2203</v>
      </c>
      <c r="B165" s="11" t="str">
        <f t="shared" si="25"/>
        <v>Текущие счета юридических лиц</v>
      </c>
      <c r="C165" s="11" t="str">
        <f t="shared" si="27"/>
        <v>2</v>
      </c>
      <c r="D165" s="11" t="str">
        <f>"5"</f>
        <v>5</v>
      </c>
      <c r="E165" s="11" t="str">
        <f>"1"</f>
        <v>1</v>
      </c>
      <c r="F165" s="12">
        <v>1114228.1200000001</v>
      </c>
    </row>
    <row r="166" spans="1:6" x14ac:dyDescent="0.25">
      <c r="A166" s="11" t="str">
        <f t="shared" si="24"/>
        <v>2203</v>
      </c>
      <c r="B166" s="11" t="str">
        <f t="shared" si="25"/>
        <v>Текущие счета юридических лиц</v>
      </c>
      <c r="C166" s="11" t="str">
        <f t="shared" si="27"/>
        <v>2</v>
      </c>
      <c r="D166" s="11" t="str">
        <f>"6"</f>
        <v>6</v>
      </c>
      <c r="E166" s="11" t="str">
        <f>"1"</f>
        <v>1</v>
      </c>
      <c r="F166" s="12">
        <v>8900</v>
      </c>
    </row>
    <row r="167" spans="1:6" x14ac:dyDescent="0.25">
      <c r="A167" s="11" t="str">
        <f t="shared" si="24"/>
        <v>2203</v>
      </c>
      <c r="B167" s="11" t="str">
        <f t="shared" si="25"/>
        <v>Текущие счета юридических лиц</v>
      </c>
      <c r="C167" s="11" t="str">
        <f t="shared" si="27"/>
        <v>2</v>
      </c>
      <c r="D167" s="11" t="str">
        <f>"7"</f>
        <v>7</v>
      </c>
      <c r="E167" s="11" t="str">
        <f>"1"</f>
        <v>1</v>
      </c>
      <c r="F167" s="12">
        <v>31615725.699999999</v>
      </c>
    </row>
    <row r="168" spans="1:6" x14ac:dyDescent="0.25">
      <c r="A168" s="11" t="str">
        <f t="shared" si="24"/>
        <v>2203</v>
      </c>
      <c r="B168" s="11" t="str">
        <f t="shared" si="25"/>
        <v>Текущие счета юридических лиц</v>
      </c>
      <c r="C168" s="11" t="str">
        <f t="shared" si="27"/>
        <v>2</v>
      </c>
      <c r="D168" s="11" t="str">
        <f>"7"</f>
        <v>7</v>
      </c>
      <c r="E168" s="11" t="str">
        <f>"2"</f>
        <v>2</v>
      </c>
      <c r="F168" s="12">
        <v>17103915.969999999</v>
      </c>
    </row>
    <row r="169" spans="1:6" x14ac:dyDescent="0.25">
      <c r="A169" s="11" t="str">
        <f t="shared" si="24"/>
        <v>2203</v>
      </c>
      <c r="B169" s="11" t="str">
        <f t="shared" si="25"/>
        <v>Текущие счета юридических лиц</v>
      </c>
      <c r="C169" s="11" t="str">
        <f t="shared" si="27"/>
        <v>2</v>
      </c>
      <c r="D169" s="11" t="str">
        <f>"7"</f>
        <v>7</v>
      </c>
      <c r="E169" s="11" t="str">
        <f>"3"</f>
        <v>3</v>
      </c>
      <c r="F169" s="12">
        <v>48440075.539999999</v>
      </c>
    </row>
    <row r="170" spans="1:6" x14ac:dyDescent="0.25">
      <c r="A170" s="11" t="str">
        <f t="shared" ref="A170:A175" si="28">"2204"</f>
        <v>2204</v>
      </c>
      <c r="B170" s="11" t="str">
        <f t="shared" ref="B170:B175" si="29">"Текущие счета физических лиц"</f>
        <v>Текущие счета физических лиц</v>
      </c>
      <c r="C170" s="11" t="str">
        <f>"1"</f>
        <v>1</v>
      </c>
      <c r="D170" s="11" t="str">
        <f t="shared" ref="D170:D189" si="30">"9"</f>
        <v>9</v>
      </c>
      <c r="E170" s="11" t="str">
        <f>"1"</f>
        <v>1</v>
      </c>
      <c r="F170" s="12">
        <v>2599318340</v>
      </c>
    </row>
    <row r="171" spans="1:6" x14ac:dyDescent="0.25">
      <c r="A171" s="11" t="str">
        <f t="shared" si="28"/>
        <v>2204</v>
      </c>
      <c r="B171" s="11" t="str">
        <f t="shared" si="29"/>
        <v>Текущие счета физических лиц</v>
      </c>
      <c r="C171" s="11" t="str">
        <f>"1"</f>
        <v>1</v>
      </c>
      <c r="D171" s="11" t="str">
        <f t="shared" si="30"/>
        <v>9</v>
      </c>
      <c r="E171" s="11" t="str">
        <f>"2"</f>
        <v>2</v>
      </c>
      <c r="F171" s="12">
        <v>45053400.899999999</v>
      </c>
    </row>
    <row r="172" spans="1:6" x14ac:dyDescent="0.25">
      <c r="A172" s="11" t="str">
        <f t="shared" si="28"/>
        <v>2204</v>
      </c>
      <c r="B172" s="11" t="str">
        <f t="shared" si="29"/>
        <v>Текущие счета физических лиц</v>
      </c>
      <c r="C172" s="11" t="str">
        <f>"1"</f>
        <v>1</v>
      </c>
      <c r="D172" s="11" t="str">
        <f t="shared" si="30"/>
        <v>9</v>
      </c>
      <c r="E172" s="11" t="str">
        <f>"3"</f>
        <v>3</v>
      </c>
      <c r="F172" s="12">
        <v>634014774.65999997</v>
      </c>
    </row>
    <row r="173" spans="1:6" x14ac:dyDescent="0.25">
      <c r="A173" s="11" t="str">
        <f t="shared" si="28"/>
        <v>2204</v>
      </c>
      <c r="B173" s="11" t="str">
        <f t="shared" si="29"/>
        <v>Текущие счета физических лиц</v>
      </c>
      <c r="C173" s="11" t="str">
        <f>"2"</f>
        <v>2</v>
      </c>
      <c r="D173" s="11" t="str">
        <f t="shared" si="30"/>
        <v>9</v>
      </c>
      <c r="E173" s="11" t="str">
        <f>"1"</f>
        <v>1</v>
      </c>
      <c r="F173" s="12">
        <v>208004360.28999999</v>
      </c>
    </row>
    <row r="174" spans="1:6" x14ac:dyDescent="0.25">
      <c r="A174" s="11" t="str">
        <f t="shared" si="28"/>
        <v>2204</v>
      </c>
      <c r="B174" s="11" t="str">
        <f t="shared" si="29"/>
        <v>Текущие счета физических лиц</v>
      </c>
      <c r="C174" s="11" t="str">
        <f>"2"</f>
        <v>2</v>
      </c>
      <c r="D174" s="11" t="str">
        <f t="shared" si="30"/>
        <v>9</v>
      </c>
      <c r="E174" s="11" t="str">
        <f>"2"</f>
        <v>2</v>
      </c>
      <c r="F174" s="12">
        <v>8686746.7200000007</v>
      </c>
    </row>
    <row r="175" spans="1:6" x14ac:dyDescent="0.25">
      <c r="A175" s="11" t="str">
        <f t="shared" si="28"/>
        <v>2204</v>
      </c>
      <c r="B175" s="11" t="str">
        <f t="shared" si="29"/>
        <v>Текущие счета физических лиц</v>
      </c>
      <c r="C175" s="11" t="str">
        <f>"2"</f>
        <v>2</v>
      </c>
      <c r="D175" s="11" t="str">
        <f t="shared" si="30"/>
        <v>9</v>
      </c>
      <c r="E175" s="11" t="str">
        <f>"3"</f>
        <v>3</v>
      </c>
      <c r="F175" s="12">
        <v>60426415.329999998</v>
      </c>
    </row>
    <row r="176" spans="1:6" x14ac:dyDescent="0.25">
      <c r="A176" s="11" t="str">
        <f t="shared" ref="A176:A181" si="31">"2206"</f>
        <v>2206</v>
      </c>
      <c r="B176" s="11" t="str">
        <f t="shared" ref="B176:B181" si="32">"Краткосрочные вклады физических лиц"</f>
        <v>Краткосрочные вклады физических лиц</v>
      </c>
      <c r="C176" s="11" t="str">
        <f>"1"</f>
        <v>1</v>
      </c>
      <c r="D176" s="11" t="str">
        <f t="shared" si="30"/>
        <v>9</v>
      </c>
      <c r="E176" s="11" t="str">
        <f>"1"</f>
        <v>1</v>
      </c>
      <c r="F176" s="12">
        <v>7921496047.8000002</v>
      </c>
    </row>
    <row r="177" spans="1:6" x14ac:dyDescent="0.25">
      <c r="A177" s="11" t="str">
        <f t="shared" si="31"/>
        <v>2206</v>
      </c>
      <c r="B177" s="11" t="str">
        <f t="shared" si="32"/>
        <v>Краткосрочные вклады физических лиц</v>
      </c>
      <c r="C177" s="11" t="str">
        <f>"1"</f>
        <v>1</v>
      </c>
      <c r="D177" s="11" t="str">
        <f t="shared" si="30"/>
        <v>9</v>
      </c>
      <c r="E177" s="11" t="str">
        <f>"2"</f>
        <v>2</v>
      </c>
      <c r="F177" s="12">
        <v>23951483.359999999</v>
      </c>
    </row>
    <row r="178" spans="1:6" x14ac:dyDescent="0.25">
      <c r="A178" s="11" t="str">
        <f t="shared" si="31"/>
        <v>2206</v>
      </c>
      <c r="B178" s="11" t="str">
        <f t="shared" si="32"/>
        <v>Краткосрочные вклады физических лиц</v>
      </c>
      <c r="C178" s="11" t="str">
        <f>"1"</f>
        <v>1</v>
      </c>
      <c r="D178" s="11" t="str">
        <f t="shared" si="30"/>
        <v>9</v>
      </c>
      <c r="E178" s="11" t="str">
        <f>"3"</f>
        <v>3</v>
      </c>
      <c r="F178" s="12">
        <v>1309887354.28</v>
      </c>
    </row>
    <row r="179" spans="1:6" x14ac:dyDescent="0.25">
      <c r="A179" s="11" t="str">
        <f t="shared" si="31"/>
        <v>2206</v>
      </c>
      <c r="B179" s="11" t="str">
        <f t="shared" si="32"/>
        <v>Краткосрочные вклады физических лиц</v>
      </c>
      <c r="C179" s="11" t="str">
        <f>"2"</f>
        <v>2</v>
      </c>
      <c r="D179" s="11" t="str">
        <f t="shared" si="30"/>
        <v>9</v>
      </c>
      <c r="E179" s="11" t="str">
        <f>"1"</f>
        <v>1</v>
      </c>
      <c r="F179" s="12">
        <v>503338628.32999998</v>
      </c>
    </row>
    <row r="180" spans="1:6" x14ac:dyDescent="0.25">
      <c r="A180" s="11" t="str">
        <f t="shared" si="31"/>
        <v>2206</v>
      </c>
      <c r="B180" s="11" t="str">
        <f t="shared" si="32"/>
        <v>Краткосрочные вклады физических лиц</v>
      </c>
      <c r="C180" s="11" t="str">
        <f>"2"</f>
        <v>2</v>
      </c>
      <c r="D180" s="11" t="str">
        <f t="shared" si="30"/>
        <v>9</v>
      </c>
      <c r="E180" s="11" t="str">
        <f>"2"</f>
        <v>2</v>
      </c>
      <c r="F180" s="12">
        <v>260726.8</v>
      </c>
    </row>
    <row r="181" spans="1:6" x14ac:dyDescent="0.25">
      <c r="A181" s="11" t="str">
        <f t="shared" si="31"/>
        <v>2206</v>
      </c>
      <c r="B181" s="11" t="str">
        <f t="shared" si="32"/>
        <v>Краткосрочные вклады физических лиц</v>
      </c>
      <c r="C181" s="11" t="str">
        <f>"2"</f>
        <v>2</v>
      </c>
      <c r="D181" s="11" t="str">
        <f t="shared" si="30"/>
        <v>9</v>
      </c>
      <c r="E181" s="11" t="str">
        <f>"3"</f>
        <v>3</v>
      </c>
      <c r="F181" s="12">
        <v>38500566.859999999</v>
      </c>
    </row>
    <row r="182" spans="1:6" x14ac:dyDescent="0.25">
      <c r="A182" s="11" t="str">
        <f t="shared" ref="A182:A187" si="33">"2207"</f>
        <v>2207</v>
      </c>
      <c r="B182" s="11" t="str">
        <f t="shared" ref="B182:B187" si="34">"Долгосрочные вклады физических лиц"</f>
        <v>Долгосрочные вклады физических лиц</v>
      </c>
      <c r="C182" s="11" t="str">
        <f>"1"</f>
        <v>1</v>
      </c>
      <c r="D182" s="11" t="str">
        <f t="shared" si="30"/>
        <v>9</v>
      </c>
      <c r="E182" s="11" t="str">
        <f>"1"</f>
        <v>1</v>
      </c>
      <c r="F182" s="12">
        <v>5929822608.8000002</v>
      </c>
    </row>
    <row r="183" spans="1:6" x14ac:dyDescent="0.25">
      <c r="A183" s="11" t="str">
        <f t="shared" si="33"/>
        <v>2207</v>
      </c>
      <c r="B183" s="11" t="str">
        <f t="shared" si="34"/>
        <v>Долгосрочные вклады физических лиц</v>
      </c>
      <c r="C183" s="11" t="str">
        <f>"1"</f>
        <v>1</v>
      </c>
      <c r="D183" s="11" t="str">
        <f t="shared" si="30"/>
        <v>9</v>
      </c>
      <c r="E183" s="11" t="str">
        <f>"2"</f>
        <v>2</v>
      </c>
      <c r="F183" s="12">
        <v>170282434.06999999</v>
      </c>
    </row>
    <row r="184" spans="1:6" x14ac:dyDescent="0.25">
      <c r="A184" s="11" t="str">
        <f t="shared" si="33"/>
        <v>2207</v>
      </c>
      <c r="B184" s="11" t="str">
        <f t="shared" si="34"/>
        <v>Долгосрочные вклады физических лиц</v>
      </c>
      <c r="C184" s="11" t="str">
        <f>"1"</f>
        <v>1</v>
      </c>
      <c r="D184" s="11" t="str">
        <f t="shared" si="30"/>
        <v>9</v>
      </c>
      <c r="E184" s="11" t="str">
        <f>"3"</f>
        <v>3</v>
      </c>
      <c r="F184" s="12">
        <v>2622538.1</v>
      </c>
    </row>
    <row r="185" spans="1:6" x14ac:dyDescent="0.25">
      <c r="A185" s="11" t="str">
        <f t="shared" si="33"/>
        <v>2207</v>
      </c>
      <c r="B185" s="11" t="str">
        <f t="shared" si="34"/>
        <v>Долгосрочные вклады физических лиц</v>
      </c>
      <c r="C185" s="11" t="str">
        <f>"2"</f>
        <v>2</v>
      </c>
      <c r="D185" s="11" t="str">
        <f t="shared" si="30"/>
        <v>9</v>
      </c>
      <c r="E185" s="11" t="str">
        <f>"1"</f>
        <v>1</v>
      </c>
      <c r="F185" s="12">
        <v>1857931104.98</v>
      </c>
    </row>
    <row r="186" spans="1:6" x14ac:dyDescent="0.25">
      <c r="A186" s="11" t="str">
        <f t="shared" si="33"/>
        <v>2207</v>
      </c>
      <c r="B186" s="11" t="str">
        <f t="shared" si="34"/>
        <v>Долгосрочные вклады физических лиц</v>
      </c>
      <c r="C186" s="11" t="str">
        <f>"2"</f>
        <v>2</v>
      </c>
      <c r="D186" s="11" t="str">
        <f t="shared" si="30"/>
        <v>9</v>
      </c>
      <c r="E186" s="11" t="str">
        <f>"2"</f>
        <v>2</v>
      </c>
      <c r="F186" s="12">
        <v>686337.33</v>
      </c>
    </row>
    <row r="187" spans="1:6" x14ac:dyDescent="0.25">
      <c r="A187" s="11" t="str">
        <f t="shared" si="33"/>
        <v>2207</v>
      </c>
      <c r="B187" s="11" t="str">
        <f t="shared" si="34"/>
        <v>Долгосрочные вклады физических лиц</v>
      </c>
      <c r="C187" s="11" t="str">
        <f>"2"</f>
        <v>2</v>
      </c>
      <c r="D187" s="11" t="str">
        <f t="shared" si="30"/>
        <v>9</v>
      </c>
      <c r="E187" s="11" t="str">
        <f>"3"</f>
        <v>3</v>
      </c>
      <c r="F187" s="12">
        <v>187900.99</v>
      </c>
    </row>
    <row r="188" spans="1:6" x14ac:dyDescent="0.25">
      <c r="A188" s="11" t="str">
        <f>"2214"</f>
        <v>2214</v>
      </c>
      <c r="B188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88" s="11" t="str">
        <f>"1"</f>
        <v>1</v>
      </c>
      <c r="D188" s="11" t="str">
        <f t="shared" si="30"/>
        <v>9</v>
      </c>
      <c r="E188" s="11" t="str">
        <f>"1"</f>
        <v>1</v>
      </c>
      <c r="F188" s="12">
        <v>21101096524.099998</v>
      </c>
    </row>
    <row r="189" spans="1:6" x14ac:dyDescent="0.25">
      <c r="A189" s="11" t="str">
        <f>"2214"</f>
        <v>2214</v>
      </c>
      <c r="B189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89" s="11" t="str">
        <f>"2"</f>
        <v>2</v>
      </c>
      <c r="D189" s="11" t="str">
        <f t="shared" si="30"/>
        <v>9</v>
      </c>
      <c r="E189" s="11" t="str">
        <f>"1"</f>
        <v>1</v>
      </c>
      <c r="F189" s="12">
        <v>527991608.04000002</v>
      </c>
    </row>
    <row r="190" spans="1:6" x14ac:dyDescent="0.25">
      <c r="A190" s="11" t="str">
        <f>"2215"</f>
        <v>2215</v>
      </c>
      <c r="B190" s="11" t="str">
        <f>"Краткосрочные вклады юридических лиц"</f>
        <v>Краткосрочные вклады юридических лиц</v>
      </c>
      <c r="C190" s="11" t="str">
        <f>"1"</f>
        <v>1</v>
      </c>
      <c r="D190" s="11" t="str">
        <f>"6"</f>
        <v>6</v>
      </c>
      <c r="E190" s="11" t="str">
        <f>"1"</f>
        <v>1</v>
      </c>
      <c r="F190" s="12">
        <v>77500000</v>
      </c>
    </row>
    <row r="191" spans="1:6" x14ac:dyDescent="0.25">
      <c r="A191" s="11" t="str">
        <f>"2215"</f>
        <v>2215</v>
      </c>
      <c r="B191" s="11" t="str">
        <f>"Краткосрочные вклады юридических лиц"</f>
        <v>Краткосрочные вклады юридических лиц</v>
      </c>
      <c r="C191" s="11" t="str">
        <f>"1"</f>
        <v>1</v>
      </c>
      <c r="D191" s="11" t="str">
        <f>"7"</f>
        <v>7</v>
      </c>
      <c r="E191" s="11" t="str">
        <f>"1"</f>
        <v>1</v>
      </c>
      <c r="F191" s="12">
        <v>14370360173.25</v>
      </c>
    </row>
    <row r="192" spans="1:6" x14ac:dyDescent="0.25">
      <c r="A192" s="11" t="str">
        <f>"2215"</f>
        <v>2215</v>
      </c>
      <c r="B192" s="11" t="str">
        <f>"Краткосрочные вклады юридических лиц"</f>
        <v>Краткосрочные вклады юридических лиц</v>
      </c>
      <c r="C192" s="11" t="str">
        <f>"1"</f>
        <v>1</v>
      </c>
      <c r="D192" s="11" t="str">
        <f>"7"</f>
        <v>7</v>
      </c>
      <c r="E192" s="11" t="str">
        <f>"3"</f>
        <v>3</v>
      </c>
      <c r="F192" s="12">
        <v>8147489450.4899998</v>
      </c>
    </row>
    <row r="193" spans="1:6" x14ac:dyDescent="0.25">
      <c r="A193" s="11" t="str">
        <f>"2215"</f>
        <v>2215</v>
      </c>
      <c r="B193" s="11" t="str">
        <f>"Краткосрочные вклады юридических лиц"</f>
        <v>Краткосрочные вклады юридических лиц</v>
      </c>
      <c r="C193" s="11" t="str">
        <f>"1"</f>
        <v>1</v>
      </c>
      <c r="D193" s="11" t="str">
        <f>"8"</f>
        <v>8</v>
      </c>
      <c r="E193" s="11" t="str">
        <f t="shared" ref="E193:E203" si="35">"1"</f>
        <v>1</v>
      </c>
      <c r="F193" s="12">
        <v>102773397.48</v>
      </c>
    </row>
    <row r="194" spans="1:6" x14ac:dyDescent="0.25">
      <c r="A194" s="11" t="str">
        <f>"2215"</f>
        <v>2215</v>
      </c>
      <c r="B194" s="11" t="str">
        <f>"Краткосрочные вклады юридических лиц"</f>
        <v>Краткосрочные вклады юридических лиц</v>
      </c>
      <c r="C194" s="11" t="str">
        <f>"2"</f>
        <v>2</v>
      </c>
      <c r="D194" s="11" t="str">
        <f>"5"</f>
        <v>5</v>
      </c>
      <c r="E194" s="11" t="str">
        <f t="shared" si="35"/>
        <v>1</v>
      </c>
      <c r="F194" s="12">
        <v>104874393.03</v>
      </c>
    </row>
    <row r="195" spans="1:6" x14ac:dyDescent="0.25">
      <c r="A195" s="11" t="str">
        <f>"2217"</f>
        <v>2217</v>
      </c>
      <c r="B195" s="11" t="str">
        <f>"Долгосрочные вклады юридических лиц"</f>
        <v>Долгосрочные вклады юридических лиц</v>
      </c>
      <c r="C195" s="11" t="str">
        <f t="shared" ref="C195:C209" si="36">"1"</f>
        <v>1</v>
      </c>
      <c r="D195" s="11" t="str">
        <f>"5"</f>
        <v>5</v>
      </c>
      <c r="E195" s="11" t="str">
        <f t="shared" si="35"/>
        <v>1</v>
      </c>
      <c r="F195" s="12">
        <v>8244507.7999999998</v>
      </c>
    </row>
    <row r="196" spans="1:6" x14ac:dyDescent="0.25">
      <c r="A196" s="11" t="str">
        <f>"2217"</f>
        <v>2217</v>
      </c>
      <c r="B196" s="11" t="str">
        <f>"Долгосрочные вклады юридических лиц"</f>
        <v>Долгосрочные вклады юридических лиц</v>
      </c>
      <c r="C196" s="11" t="str">
        <f t="shared" si="36"/>
        <v>1</v>
      </c>
      <c r="D196" s="11" t="str">
        <f>"7"</f>
        <v>7</v>
      </c>
      <c r="E196" s="11" t="str">
        <f t="shared" si="35"/>
        <v>1</v>
      </c>
      <c r="F196" s="12">
        <v>500000</v>
      </c>
    </row>
    <row r="197" spans="1:6" x14ac:dyDescent="0.25">
      <c r="A197" s="11" t="str">
        <f>"2219"</f>
        <v>2219</v>
      </c>
      <c r="B197" s="11" t="str">
        <f>"Условные вклады юридических лиц"</f>
        <v>Условные вклады юридических лиц</v>
      </c>
      <c r="C197" s="11" t="str">
        <f t="shared" si="36"/>
        <v>1</v>
      </c>
      <c r="D197" s="11" t="str">
        <f>"7"</f>
        <v>7</v>
      </c>
      <c r="E197" s="11" t="str">
        <f t="shared" si="35"/>
        <v>1</v>
      </c>
      <c r="F197" s="12">
        <v>19951358.73</v>
      </c>
    </row>
    <row r="198" spans="1:6" x14ac:dyDescent="0.25">
      <c r="A198" s="11" t="str">
        <f>"2220"</f>
        <v>2220</v>
      </c>
      <c r="B198" s="1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198" s="11" t="str">
        <f t="shared" si="36"/>
        <v>1</v>
      </c>
      <c r="D198" s="11" t="str">
        <f>"7"</f>
        <v>7</v>
      </c>
      <c r="E198" s="11" t="str">
        <f t="shared" si="35"/>
        <v>1</v>
      </c>
      <c r="F198" s="12">
        <v>161829592.5</v>
      </c>
    </row>
    <row r="199" spans="1:6" x14ac:dyDescent="0.25">
      <c r="A199" s="11" t="str">
        <f>"2223"</f>
        <v>2223</v>
      </c>
      <c r="B199" s="1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199" s="11" t="str">
        <f t="shared" si="36"/>
        <v>1</v>
      </c>
      <c r="D199" s="11" t="str">
        <f>"7"</f>
        <v>7</v>
      </c>
      <c r="E199" s="11" t="str">
        <f t="shared" si="35"/>
        <v>1</v>
      </c>
      <c r="F199" s="12">
        <v>43069132.670000002</v>
      </c>
    </row>
    <row r="200" spans="1:6" x14ac:dyDescent="0.25">
      <c r="A200" s="11" t="str">
        <f>"2227"</f>
        <v>2227</v>
      </c>
      <c r="B200" s="11" t="str">
        <f>"Обязательства по аренде"</f>
        <v>Обязательства по аренде</v>
      </c>
      <c r="C200" s="11" t="str">
        <f t="shared" si="36"/>
        <v>1</v>
      </c>
      <c r="D200" s="11" t="str">
        <f>"1"</f>
        <v>1</v>
      </c>
      <c r="E200" s="11" t="str">
        <f t="shared" si="35"/>
        <v>1</v>
      </c>
      <c r="F200" s="12">
        <v>162517255.31</v>
      </c>
    </row>
    <row r="201" spans="1:6" x14ac:dyDescent="0.25">
      <c r="A201" s="11" t="str">
        <f>"2227"</f>
        <v>2227</v>
      </c>
      <c r="B201" s="11" t="str">
        <f>"Обязательства по аренде"</f>
        <v>Обязательства по аренде</v>
      </c>
      <c r="C201" s="11" t="str">
        <f t="shared" si="36"/>
        <v>1</v>
      </c>
      <c r="D201" s="11" t="str">
        <f>"7"</f>
        <v>7</v>
      </c>
      <c r="E201" s="11" t="str">
        <f t="shared" si="35"/>
        <v>1</v>
      </c>
      <c r="F201" s="12">
        <v>1653999792.3599999</v>
      </c>
    </row>
    <row r="202" spans="1:6" x14ac:dyDescent="0.25">
      <c r="A202" s="11" t="str">
        <f>"2227"</f>
        <v>2227</v>
      </c>
      <c r="B202" s="11" t="str">
        <f>"Обязательства по аренде"</f>
        <v>Обязательства по аренде</v>
      </c>
      <c r="C202" s="11" t="str">
        <f t="shared" si="36"/>
        <v>1</v>
      </c>
      <c r="D202" s="11" t="str">
        <f>"9"</f>
        <v>9</v>
      </c>
      <c r="E202" s="11" t="str">
        <f t="shared" si="35"/>
        <v>1</v>
      </c>
      <c r="F202" s="12">
        <v>696982385.53999996</v>
      </c>
    </row>
    <row r="203" spans="1:6" x14ac:dyDescent="0.25">
      <c r="A203" s="11" t="str">
        <f>"2229"</f>
        <v>2229</v>
      </c>
      <c r="B203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C203" s="11" t="str">
        <f t="shared" si="36"/>
        <v>1</v>
      </c>
      <c r="D203" s="11" t="str">
        <f>"9"</f>
        <v>9</v>
      </c>
      <c r="E203" s="11" t="str">
        <f t="shared" si="35"/>
        <v>1</v>
      </c>
      <c r="F203" s="12">
        <v>169203528.31</v>
      </c>
    </row>
    <row r="204" spans="1:6" x14ac:dyDescent="0.25">
      <c r="A204" s="11" t="str">
        <f>"2229"</f>
        <v>2229</v>
      </c>
      <c r="B204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C204" s="11" t="str">
        <f t="shared" si="36"/>
        <v>1</v>
      </c>
      <c r="D204" s="11" t="str">
        <f>"9"</f>
        <v>9</v>
      </c>
      <c r="E204" s="11" t="str">
        <f>"2"</f>
        <v>2</v>
      </c>
      <c r="F204" s="12">
        <v>2476023.0499999998</v>
      </c>
    </row>
    <row r="205" spans="1:6" x14ac:dyDescent="0.25">
      <c r="A205" s="11" t="str">
        <f t="shared" ref="A205:A210" si="37">"2237"</f>
        <v>2237</v>
      </c>
      <c r="B205" s="11" t="str">
        <f t="shared" ref="B205:B210" si="3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05" s="11" t="str">
        <f t="shared" si="36"/>
        <v>1</v>
      </c>
      <c r="D205" s="11" t="str">
        <f>"7"</f>
        <v>7</v>
      </c>
      <c r="E205" s="11" t="str">
        <f>"1"</f>
        <v>1</v>
      </c>
      <c r="F205" s="12">
        <v>588023479.17999995</v>
      </c>
    </row>
    <row r="206" spans="1:6" x14ac:dyDescent="0.25">
      <c r="A206" s="11" t="str">
        <f t="shared" si="37"/>
        <v>2237</v>
      </c>
      <c r="B206" s="11" t="str">
        <f t="shared" si="38"/>
        <v>Счет хранения указаний отправителя в соответствии с валютным законодательством Республики Казахстан</v>
      </c>
      <c r="C206" s="11" t="str">
        <f t="shared" si="36"/>
        <v>1</v>
      </c>
      <c r="D206" s="11" t="str">
        <f>"7"</f>
        <v>7</v>
      </c>
      <c r="E206" s="11" t="str">
        <f>"3"</f>
        <v>3</v>
      </c>
      <c r="F206" s="12">
        <v>2233707130.6199999</v>
      </c>
    </row>
    <row r="207" spans="1:6" x14ac:dyDescent="0.25">
      <c r="A207" s="11" t="str">
        <f t="shared" si="37"/>
        <v>2237</v>
      </c>
      <c r="B207" s="11" t="str">
        <f t="shared" si="38"/>
        <v>Счет хранения указаний отправителя в соответствии с валютным законодательством Республики Казахстан</v>
      </c>
      <c r="C207" s="11" t="str">
        <f t="shared" si="36"/>
        <v>1</v>
      </c>
      <c r="D207" s="11" t="str">
        <f>"8"</f>
        <v>8</v>
      </c>
      <c r="E207" s="11" t="str">
        <f>"3"</f>
        <v>3</v>
      </c>
      <c r="F207" s="12">
        <v>57534.12</v>
      </c>
    </row>
    <row r="208" spans="1:6" x14ac:dyDescent="0.25">
      <c r="A208" s="11" t="str">
        <f t="shared" si="37"/>
        <v>2237</v>
      </c>
      <c r="B208" s="11" t="str">
        <f t="shared" si="38"/>
        <v>Счет хранения указаний отправителя в соответствии с валютным законодательством Республики Казахстан</v>
      </c>
      <c r="C208" s="11" t="str">
        <f t="shared" si="36"/>
        <v>1</v>
      </c>
      <c r="D208" s="11" t="str">
        <f>"9"</f>
        <v>9</v>
      </c>
      <c r="E208" s="11" t="str">
        <f>"1"</f>
        <v>1</v>
      </c>
      <c r="F208" s="12">
        <v>139088169.75999999</v>
      </c>
    </row>
    <row r="209" spans="1:6" x14ac:dyDescent="0.25">
      <c r="A209" s="11" t="str">
        <f t="shared" si="37"/>
        <v>2237</v>
      </c>
      <c r="B209" s="11" t="str">
        <f t="shared" si="38"/>
        <v>Счет хранения указаний отправителя в соответствии с валютным законодательством Республики Казахстан</v>
      </c>
      <c r="C209" s="11" t="str">
        <f t="shared" si="36"/>
        <v>1</v>
      </c>
      <c r="D209" s="11" t="str">
        <f>"9"</f>
        <v>9</v>
      </c>
      <c r="E209" s="11" t="str">
        <f>"3"</f>
        <v>3</v>
      </c>
      <c r="F209" s="12">
        <v>214687050.46000001</v>
      </c>
    </row>
    <row r="210" spans="1:6" x14ac:dyDescent="0.25">
      <c r="A210" s="11" t="str">
        <f t="shared" si="37"/>
        <v>2237</v>
      </c>
      <c r="B210" s="11" t="str">
        <f t="shared" si="38"/>
        <v>Счет хранения указаний отправителя в соответствии с валютным законодательством Республики Казахстан</v>
      </c>
      <c r="C210" s="11" t="str">
        <f>"2"</f>
        <v>2</v>
      </c>
      <c r="D210" s="11" t="str">
        <f>"9"</f>
        <v>9</v>
      </c>
      <c r="E210" s="11" t="str">
        <f t="shared" ref="E210:E224" si="39">"1"</f>
        <v>1</v>
      </c>
      <c r="F210" s="12">
        <v>55515000</v>
      </c>
    </row>
    <row r="211" spans="1:6" x14ac:dyDescent="0.25">
      <c r="A211" s="11" t="str">
        <f>"2240"</f>
        <v>2240</v>
      </c>
      <c r="B211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11" s="11" t="str">
        <f t="shared" ref="C211:C216" si="40">"1"</f>
        <v>1</v>
      </c>
      <c r="D211" s="11" t="str">
        <f>"7"</f>
        <v>7</v>
      </c>
      <c r="E211" s="11" t="str">
        <f t="shared" si="39"/>
        <v>1</v>
      </c>
      <c r="F211" s="12">
        <v>499875383.31</v>
      </c>
    </row>
    <row r="212" spans="1:6" x14ac:dyDescent="0.25">
      <c r="A212" s="11" t="str">
        <f>"2240"</f>
        <v>2240</v>
      </c>
      <c r="B212" s="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12" s="11" t="str">
        <f t="shared" si="40"/>
        <v>1</v>
      </c>
      <c r="D212" s="11" t="str">
        <f>"9"</f>
        <v>9</v>
      </c>
      <c r="E212" s="11" t="str">
        <f t="shared" si="39"/>
        <v>1</v>
      </c>
      <c r="F212" s="12">
        <v>22032155.550000001</v>
      </c>
    </row>
    <row r="213" spans="1:6" x14ac:dyDescent="0.25">
      <c r="A213" s="11" t="str">
        <f>"2241"</f>
        <v>2241</v>
      </c>
      <c r="B213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C213" s="11" t="str">
        <f t="shared" si="40"/>
        <v>1</v>
      </c>
      <c r="D213" s="11" t="str">
        <f>"9"</f>
        <v>9</v>
      </c>
      <c r="E213" s="11" t="str">
        <f t="shared" si="39"/>
        <v>1</v>
      </c>
      <c r="F213" s="12">
        <v>46472000</v>
      </c>
    </row>
    <row r="214" spans="1:6" x14ac:dyDescent="0.25">
      <c r="A214" s="11" t="str">
        <f>"2301"</f>
        <v>2301</v>
      </c>
      <c r="B214" s="11" t="str">
        <f>"Выпущенные в обращение облигации"</f>
        <v>Выпущенные в обращение облигации</v>
      </c>
      <c r="C214" s="11" t="str">
        <f t="shared" si="40"/>
        <v>1</v>
      </c>
      <c r="D214" s="11" t="str">
        <f>"4"</f>
        <v>4</v>
      </c>
      <c r="E214" s="11" t="str">
        <f t="shared" si="39"/>
        <v>1</v>
      </c>
      <c r="F214" s="12">
        <v>2237927000</v>
      </c>
    </row>
    <row r="215" spans="1:6" x14ac:dyDescent="0.25">
      <c r="A215" s="11" t="str">
        <f>"2301"</f>
        <v>2301</v>
      </c>
      <c r="B215" s="11" t="str">
        <f>"Выпущенные в обращение облигации"</f>
        <v>Выпущенные в обращение облигации</v>
      </c>
      <c r="C215" s="11" t="str">
        <f t="shared" si="40"/>
        <v>1</v>
      </c>
      <c r="D215" s="11" t="str">
        <f>"5"</f>
        <v>5</v>
      </c>
      <c r="E215" s="11" t="str">
        <f t="shared" si="39"/>
        <v>1</v>
      </c>
      <c r="F215" s="12">
        <v>7120765000</v>
      </c>
    </row>
    <row r="216" spans="1:6" x14ac:dyDescent="0.25">
      <c r="A216" s="11" t="str">
        <f>"2301"</f>
        <v>2301</v>
      </c>
      <c r="B216" s="11" t="str">
        <f>"Выпущенные в обращение облигации"</f>
        <v>Выпущенные в обращение облигации</v>
      </c>
      <c r="C216" s="11" t="str">
        <f t="shared" si="40"/>
        <v>1</v>
      </c>
      <c r="D216" s="11" t="str">
        <f>"9"</f>
        <v>9</v>
      </c>
      <c r="E216" s="11" t="str">
        <f t="shared" si="39"/>
        <v>1</v>
      </c>
      <c r="F216" s="12">
        <v>788000</v>
      </c>
    </row>
    <row r="217" spans="1:6" x14ac:dyDescent="0.25">
      <c r="A217" s="11" t="str">
        <f>"2301"</f>
        <v>2301</v>
      </c>
      <c r="B217" s="11" t="str">
        <f>"Выпущенные в обращение облигации"</f>
        <v>Выпущенные в обращение облигации</v>
      </c>
      <c r="C217" s="11" t="str">
        <f>"2"</f>
        <v>2</v>
      </c>
      <c r="D217" s="11" t="str">
        <f>"5"</f>
        <v>5</v>
      </c>
      <c r="E217" s="11" t="str">
        <f t="shared" si="39"/>
        <v>1</v>
      </c>
      <c r="F217" s="12">
        <v>640520000</v>
      </c>
    </row>
    <row r="218" spans="1:6" x14ac:dyDescent="0.25">
      <c r="A218" s="11" t="str">
        <f>"2303"</f>
        <v>2303</v>
      </c>
      <c r="B218" s="11" t="str">
        <f>"Выпущенные в обращение прочие ценные бумаги"</f>
        <v>Выпущенные в обращение прочие ценные бумаги</v>
      </c>
      <c r="C218" s="11" t="str">
        <f>"1"</f>
        <v>1</v>
      </c>
      <c r="D218" s="11" t="str">
        <f>"9"</f>
        <v>9</v>
      </c>
      <c r="E218" s="11" t="str">
        <f t="shared" si="39"/>
        <v>1</v>
      </c>
      <c r="F218" s="12">
        <v>281873188</v>
      </c>
    </row>
    <row r="219" spans="1:6" x14ac:dyDescent="0.25">
      <c r="A219" s="11" t="str">
        <f>"2303"</f>
        <v>2303</v>
      </c>
      <c r="B219" s="11" t="str">
        <f>"Выпущенные в обращение прочие ценные бумаги"</f>
        <v>Выпущенные в обращение прочие ценные бумаги</v>
      </c>
      <c r="C219" s="11" t="str">
        <f>"2"</f>
        <v>2</v>
      </c>
      <c r="D219" s="11" t="str">
        <f>"9"</f>
        <v>9</v>
      </c>
      <c r="E219" s="11" t="str">
        <f t="shared" si="39"/>
        <v>1</v>
      </c>
      <c r="F219" s="12">
        <v>418850000</v>
      </c>
    </row>
    <row r="220" spans="1:6" x14ac:dyDescent="0.25">
      <c r="A220" s="11" t="str">
        <f>"2305"</f>
        <v>2305</v>
      </c>
      <c r="B220" s="11" t="str">
        <f>"Дисконт по выпущенным в обращение ценным бумагам"</f>
        <v>Дисконт по выпущенным в обращение ценным бумагам</v>
      </c>
      <c r="C220" s="11" t="str">
        <f>"1"</f>
        <v>1</v>
      </c>
      <c r="D220" s="11" t="str">
        <f>"4"</f>
        <v>4</v>
      </c>
      <c r="E220" s="11" t="str">
        <f t="shared" si="39"/>
        <v>1</v>
      </c>
      <c r="F220" s="12">
        <v>-6922557.0099999998</v>
      </c>
    </row>
    <row r="221" spans="1:6" x14ac:dyDescent="0.25">
      <c r="A221" s="11" t="str">
        <f>"2305"</f>
        <v>2305</v>
      </c>
      <c r="B221" s="11" t="str">
        <f>"Дисконт по выпущенным в обращение ценным бумагам"</f>
        <v>Дисконт по выпущенным в обращение ценным бумагам</v>
      </c>
      <c r="C221" s="11" t="str">
        <f>"1"</f>
        <v>1</v>
      </c>
      <c r="D221" s="11" t="str">
        <f>"5"</f>
        <v>5</v>
      </c>
      <c r="E221" s="11" t="str">
        <f t="shared" si="39"/>
        <v>1</v>
      </c>
      <c r="F221" s="12">
        <v>-22026590.129999999</v>
      </c>
    </row>
    <row r="222" spans="1:6" x14ac:dyDescent="0.25">
      <c r="A222" s="11" t="str">
        <f>"2305"</f>
        <v>2305</v>
      </c>
      <c r="B222" s="11" t="str">
        <f>"Дисконт по выпущенным в обращение ценным бумагам"</f>
        <v>Дисконт по выпущенным в обращение ценным бумагам</v>
      </c>
      <c r="C222" s="11" t="str">
        <f>"1"</f>
        <v>1</v>
      </c>
      <c r="D222" s="11" t="str">
        <f>"9"</f>
        <v>9</v>
      </c>
      <c r="E222" s="11" t="str">
        <f t="shared" si="39"/>
        <v>1</v>
      </c>
      <c r="F222" s="12">
        <v>-2437.4899999999998</v>
      </c>
    </row>
    <row r="223" spans="1:6" x14ac:dyDescent="0.25">
      <c r="A223" s="11" t="str">
        <f>"2305"</f>
        <v>2305</v>
      </c>
      <c r="B223" s="11" t="str">
        <f>"Дисконт по выпущенным в обращение ценным бумагам"</f>
        <v>Дисконт по выпущенным в обращение ценным бумагам</v>
      </c>
      <c r="C223" s="11" t="str">
        <f>"2"</f>
        <v>2</v>
      </c>
      <c r="D223" s="11" t="str">
        <f>"5"</f>
        <v>5</v>
      </c>
      <c r="E223" s="11" t="str">
        <f t="shared" si="39"/>
        <v>1</v>
      </c>
      <c r="F223" s="12">
        <v>-1981313.99</v>
      </c>
    </row>
    <row r="224" spans="1:6" x14ac:dyDescent="0.25">
      <c r="A224" s="11" t="str">
        <f>"2552"</f>
        <v>2552</v>
      </c>
      <c r="B224" s="11" t="str">
        <f>"Расчеты с клиентами"</f>
        <v>Расчеты с клиентами</v>
      </c>
      <c r="C224" s="11" t="str">
        <f>"2"</f>
        <v>2</v>
      </c>
      <c r="D224" s="11" t="str">
        <f>"5"</f>
        <v>5</v>
      </c>
      <c r="E224" s="11" t="str">
        <f t="shared" si="39"/>
        <v>1</v>
      </c>
      <c r="F224" s="12">
        <v>395311.06</v>
      </c>
    </row>
    <row r="225" spans="1:6" x14ac:dyDescent="0.25">
      <c r="A225" s="11" t="str">
        <f>"2552"</f>
        <v>2552</v>
      </c>
      <c r="B225" s="11" t="str">
        <f>"Расчеты с клиентами"</f>
        <v>Расчеты с клиентами</v>
      </c>
      <c r="C225" s="11" t="str">
        <f>"2"</f>
        <v>2</v>
      </c>
      <c r="D225" s="11" t="str">
        <f>"5"</f>
        <v>5</v>
      </c>
      <c r="E225" s="11" t="str">
        <f>"3"</f>
        <v>3</v>
      </c>
      <c r="F225" s="12">
        <v>52511132.630000003</v>
      </c>
    </row>
    <row r="226" spans="1:6" x14ac:dyDescent="0.25">
      <c r="A226" s="11" t="str">
        <f>"2705"</f>
        <v>2705</v>
      </c>
      <c r="B226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26" s="11" t="str">
        <f>"2"</f>
        <v>2</v>
      </c>
      <c r="D226" s="11" t="str">
        <f>"4"</f>
        <v>4</v>
      </c>
      <c r="E226" s="11" t="str">
        <f>"3"</f>
        <v>3</v>
      </c>
      <c r="F226" s="12">
        <v>37395491.789999999</v>
      </c>
    </row>
    <row r="227" spans="1:6" x14ac:dyDescent="0.25">
      <c r="A227" s="11" t="str">
        <f>"2707"</f>
        <v>2707</v>
      </c>
      <c r="B227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27" s="11" t="str">
        <f>"1"</f>
        <v>1</v>
      </c>
      <c r="D227" s="11" t="str">
        <f>"7"</f>
        <v>7</v>
      </c>
      <c r="E227" s="11" t="str">
        <f t="shared" ref="E227:E255" si="41">"1"</f>
        <v>1</v>
      </c>
      <c r="F227" s="12">
        <v>2129383.0299999998</v>
      </c>
    </row>
    <row r="228" spans="1:6" x14ac:dyDescent="0.25">
      <c r="A228" s="11" t="str">
        <f>"2707"</f>
        <v>2707</v>
      </c>
      <c r="B228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28" s="11" t="str">
        <f>"1"</f>
        <v>1</v>
      </c>
      <c r="D228" s="11" t="str">
        <f>"9"</f>
        <v>9</v>
      </c>
      <c r="E228" s="11" t="str">
        <f t="shared" si="41"/>
        <v>1</v>
      </c>
      <c r="F228" s="12">
        <v>16905.91</v>
      </c>
    </row>
    <row r="229" spans="1:6" x14ac:dyDescent="0.25">
      <c r="A229" s="11" t="str">
        <f>"2719"</f>
        <v>2719</v>
      </c>
      <c r="B229" s="11" t="str">
        <f>"Начисленные расходы по условным вкладам клиентов"</f>
        <v>Начисленные расходы по условным вкладам клиентов</v>
      </c>
      <c r="C229" s="11" t="str">
        <f>"1"</f>
        <v>1</v>
      </c>
      <c r="D229" s="11" t="str">
        <f>"7"</f>
        <v>7</v>
      </c>
      <c r="E229" s="11" t="str">
        <f t="shared" si="41"/>
        <v>1</v>
      </c>
      <c r="F229" s="12">
        <v>170435.68</v>
      </c>
    </row>
    <row r="230" spans="1:6" x14ac:dyDescent="0.25">
      <c r="A230" s="11" t="str">
        <f>"2721"</f>
        <v>2721</v>
      </c>
      <c r="B230" s="11" t="str">
        <f>"Начисленные расходы по срочным вкладам клиентов"</f>
        <v>Начисленные расходы по срочным вкладам клиентов</v>
      </c>
      <c r="C230" s="11" t="str">
        <f>"1"</f>
        <v>1</v>
      </c>
      <c r="D230" s="11" t="str">
        <f>"5"</f>
        <v>5</v>
      </c>
      <c r="E230" s="11" t="str">
        <f t="shared" si="41"/>
        <v>1</v>
      </c>
      <c r="F230" s="12">
        <v>2049.87</v>
      </c>
    </row>
    <row r="231" spans="1:6" x14ac:dyDescent="0.25">
      <c r="A231" s="11" t="str">
        <f>"2721"</f>
        <v>2721</v>
      </c>
      <c r="B231" s="11" t="str">
        <f>"Начисленные расходы по срочным вкладам клиентов"</f>
        <v>Начисленные расходы по срочным вкладам клиентов</v>
      </c>
      <c r="C231" s="11" t="str">
        <f>"1"</f>
        <v>1</v>
      </c>
      <c r="D231" s="11" t="str">
        <f>"7"</f>
        <v>7</v>
      </c>
      <c r="E231" s="11" t="str">
        <f t="shared" si="41"/>
        <v>1</v>
      </c>
      <c r="F231" s="12">
        <v>34032.79</v>
      </c>
    </row>
    <row r="232" spans="1:6" x14ac:dyDescent="0.25">
      <c r="A232" s="11" t="str">
        <f>"2721"</f>
        <v>2721</v>
      </c>
      <c r="B232" s="11" t="str">
        <f>"Начисленные расходы по срочным вкладам клиентов"</f>
        <v>Начисленные расходы по срочным вкладам клиентов</v>
      </c>
      <c r="C232" s="11" t="str">
        <f>"2"</f>
        <v>2</v>
      </c>
      <c r="D232" s="11" t="str">
        <f>"9"</f>
        <v>9</v>
      </c>
      <c r="E232" s="11" t="str">
        <f t="shared" si="41"/>
        <v>1</v>
      </c>
      <c r="F232" s="12">
        <v>1249.32</v>
      </c>
    </row>
    <row r="233" spans="1:6" x14ac:dyDescent="0.25">
      <c r="A233" s="11" t="str">
        <f>"2730"</f>
        <v>2730</v>
      </c>
      <c r="B233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33" s="11" t="str">
        <f>"1"</f>
        <v>1</v>
      </c>
      <c r="D233" s="11" t="str">
        <f>"4"</f>
        <v>4</v>
      </c>
      <c r="E233" s="11" t="str">
        <f t="shared" si="41"/>
        <v>1</v>
      </c>
      <c r="F233" s="12">
        <v>68816255.25</v>
      </c>
    </row>
    <row r="234" spans="1:6" x14ac:dyDescent="0.25">
      <c r="A234" s="11" t="str">
        <f>"2730"</f>
        <v>2730</v>
      </c>
      <c r="B234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34" s="11" t="str">
        <f>"1"</f>
        <v>1</v>
      </c>
      <c r="D234" s="11" t="str">
        <f>"5"</f>
        <v>5</v>
      </c>
      <c r="E234" s="11" t="str">
        <f t="shared" si="41"/>
        <v>1</v>
      </c>
      <c r="F234" s="12">
        <v>218963523.75</v>
      </c>
    </row>
    <row r="235" spans="1:6" x14ac:dyDescent="0.25">
      <c r="A235" s="11" t="str">
        <f>"2730"</f>
        <v>2730</v>
      </c>
      <c r="B235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35" s="11" t="str">
        <f>"1"</f>
        <v>1</v>
      </c>
      <c r="D235" s="11" t="str">
        <f>"9"</f>
        <v>9</v>
      </c>
      <c r="E235" s="11" t="str">
        <f t="shared" si="41"/>
        <v>1</v>
      </c>
      <c r="F235" s="12">
        <v>20812421.109999999</v>
      </c>
    </row>
    <row r="236" spans="1:6" x14ac:dyDescent="0.25">
      <c r="A236" s="11" t="str">
        <f>"2730"</f>
        <v>2730</v>
      </c>
      <c r="B236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36" s="11" t="str">
        <f>"2"</f>
        <v>2</v>
      </c>
      <c r="D236" s="11" t="str">
        <f>"5"</f>
        <v>5</v>
      </c>
      <c r="E236" s="11" t="str">
        <f t="shared" si="41"/>
        <v>1</v>
      </c>
      <c r="F236" s="12">
        <v>19695990</v>
      </c>
    </row>
    <row r="237" spans="1:6" x14ac:dyDescent="0.25">
      <c r="A237" s="11" t="str">
        <f>"2730"</f>
        <v>2730</v>
      </c>
      <c r="B237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37" s="11" t="str">
        <f>"2"</f>
        <v>2</v>
      </c>
      <c r="D237" s="11" t="str">
        <f>"9"</f>
        <v>9</v>
      </c>
      <c r="E237" s="11" t="str">
        <f t="shared" si="41"/>
        <v>1</v>
      </c>
      <c r="F237" s="12">
        <v>6172312.1500000004</v>
      </c>
    </row>
    <row r="238" spans="1:6" x14ac:dyDescent="0.25">
      <c r="A238" s="11" t="str">
        <f>"2745"</f>
        <v>2745</v>
      </c>
      <c r="B238" s="1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38" s="11" t="str">
        <f>"1"</f>
        <v>1</v>
      </c>
      <c r="D238" s="11" t="str">
        <f>"1"</f>
        <v>1</v>
      </c>
      <c r="E238" s="11" t="str">
        <f t="shared" si="41"/>
        <v>1</v>
      </c>
      <c r="F238" s="12">
        <v>1662235.96</v>
      </c>
    </row>
    <row r="239" spans="1:6" x14ac:dyDescent="0.25">
      <c r="A239" s="11" t="str">
        <f>"2745"</f>
        <v>2745</v>
      </c>
      <c r="B239" s="1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39" s="11" t="str">
        <f t="shared" ref="C239:C246" si="42">"1"</f>
        <v>1</v>
      </c>
      <c r="D239" s="11" t="str">
        <f>"7"</f>
        <v>7</v>
      </c>
      <c r="E239" s="11" t="str">
        <f t="shared" si="41"/>
        <v>1</v>
      </c>
      <c r="F239" s="12">
        <v>23224321.469999999</v>
      </c>
    </row>
    <row r="240" spans="1:6" x14ac:dyDescent="0.25">
      <c r="A240" s="11" t="str">
        <f>"2745"</f>
        <v>2745</v>
      </c>
      <c r="B240" s="1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40" s="11" t="str">
        <f t="shared" si="42"/>
        <v>1</v>
      </c>
      <c r="D240" s="11" t="str">
        <f>"9"</f>
        <v>9</v>
      </c>
      <c r="E240" s="11" t="str">
        <f t="shared" si="41"/>
        <v>1</v>
      </c>
      <c r="F240" s="12">
        <v>12880411.859999999</v>
      </c>
    </row>
    <row r="241" spans="1:6" x14ac:dyDescent="0.25">
      <c r="A241" s="11" t="str">
        <f t="shared" ref="A241:A248" si="43">"2770"</f>
        <v>2770</v>
      </c>
      <c r="B241" s="11" t="str">
        <f t="shared" ref="B241:B248" si="4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41" s="11" t="str">
        <f t="shared" si="42"/>
        <v>1</v>
      </c>
      <c r="D241" s="11" t="str">
        <f>"4"</f>
        <v>4</v>
      </c>
      <c r="E241" s="11" t="str">
        <f t="shared" si="41"/>
        <v>1</v>
      </c>
      <c r="F241" s="12">
        <v>55638360.479999997</v>
      </c>
    </row>
    <row r="242" spans="1:6" x14ac:dyDescent="0.25">
      <c r="A242" s="11" t="str">
        <f t="shared" si="43"/>
        <v>2770</v>
      </c>
      <c r="B242" s="11" t="str">
        <f t="shared" si="44"/>
        <v>Начисленные расходы по административно-хозяйственной деятельности</v>
      </c>
      <c r="C242" s="11" t="str">
        <f t="shared" si="42"/>
        <v>1</v>
      </c>
      <c r="D242" s="11" t="str">
        <f>"5"</f>
        <v>5</v>
      </c>
      <c r="E242" s="11" t="str">
        <f t="shared" si="41"/>
        <v>1</v>
      </c>
      <c r="F242" s="12">
        <v>9837013.4399999995</v>
      </c>
    </row>
    <row r="243" spans="1:6" x14ac:dyDescent="0.25">
      <c r="A243" s="11" t="str">
        <f t="shared" si="43"/>
        <v>2770</v>
      </c>
      <c r="B243" s="11" t="str">
        <f t="shared" si="44"/>
        <v>Начисленные расходы по административно-хозяйственной деятельности</v>
      </c>
      <c r="C243" s="11" t="str">
        <f t="shared" si="42"/>
        <v>1</v>
      </c>
      <c r="D243" s="11" t="str">
        <f>"6"</f>
        <v>6</v>
      </c>
      <c r="E243" s="11" t="str">
        <f t="shared" si="41"/>
        <v>1</v>
      </c>
      <c r="F243" s="12">
        <v>4249686.8</v>
      </c>
    </row>
    <row r="244" spans="1:6" x14ac:dyDescent="0.25">
      <c r="A244" s="11" t="str">
        <f t="shared" si="43"/>
        <v>2770</v>
      </c>
      <c r="B244" s="11" t="str">
        <f t="shared" si="44"/>
        <v>Начисленные расходы по административно-хозяйственной деятельности</v>
      </c>
      <c r="C244" s="11" t="str">
        <f t="shared" si="42"/>
        <v>1</v>
      </c>
      <c r="D244" s="11" t="str">
        <f>"7"</f>
        <v>7</v>
      </c>
      <c r="E244" s="11" t="str">
        <f t="shared" si="41"/>
        <v>1</v>
      </c>
      <c r="F244" s="12">
        <v>159681913.41</v>
      </c>
    </row>
    <row r="245" spans="1:6" x14ac:dyDescent="0.25">
      <c r="A245" s="11" t="str">
        <f t="shared" si="43"/>
        <v>2770</v>
      </c>
      <c r="B245" s="11" t="str">
        <f t="shared" si="44"/>
        <v>Начисленные расходы по административно-хозяйственной деятельности</v>
      </c>
      <c r="C245" s="11" t="str">
        <f t="shared" si="42"/>
        <v>1</v>
      </c>
      <c r="D245" s="11" t="str">
        <f>"8"</f>
        <v>8</v>
      </c>
      <c r="E245" s="11" t="str">
        <f t="shared" si="41"/>
        <v>1</v>
      </c>
      <c r="F245" s="12">
        <v>169252</v>
      </c>
    </row>
    <row r="246" spans="1:6" x14ac:dyDescent="0.25">
      <c r="A246" s="11" t="str">
        <f t="shared" si="43"/>
        <v>2770</v>
      </c>
      <c r="B246" s="11" t="str">
        <f t="shared" si="44"/>
        <v>Начисленные расходы по административно-хозяйственной деятельности</v>
      </c>
      <c r="C246" s="11" t="str">
        <f t="shared" si="42"/>
        <v>1</v>
      </c>
      <c r="D246" s="11" t="str">
        <f>"9"</f>
        <v>9</v>
      </c>
      <c r="E246" s="11" t="str">
        <f t="shared" si="41"/>
        <v>1</v>
      </c>
      <c r="F246" s="12">
        <v>75383869.260000005</v>
      </c>
    </row>
    <row r="247" spans="1:6" x14ac:dyDescent="0.25">
      <c r="A247" s="11" t="str">
        <f t="shared" si="43"/>
        <v>2770</v>
      </c>
      <c r="B247" s="11" t="str">
        <f t="shared" si="44"/>
        <v>Начисленные расходы по административно-хозяйственной деятельности</v>
      </c>
      <c r="C247" s="11" t="str">
        <f>"2"</f>
        <v>2</v>
      </c>
      <c r="D247" s="11" t="str">
        <f>"4"</f>
        <v>4</v>
      </c>
      <c r="E247" s="11" t="str">
        <f t="shared" si="41"/>
        <v>1</v>
      </c>
      <c r="F247" s="12">
        <v>663557.36</v>
      </c>
    </row>
    <row r="248" spans="1:6" x14ac:dyDescent="0.25">
      <c r="A248" s="11" t="str">
        <f t="shared" si="43"/>
        <v>2770</v>
      </c>
      <c r="B248" s="11" t="str">
        <f t="shared" si="44"/>
        <v>Начисленные расходы по административно-хозяйственной деятельности</v>
      </c>
      <c r="C248" s="11" t="str">
        <f>"2"</f>
        <v>2</v>
      </c>
      <c r="D248" s="11" t="str">
        <f>"7"</f>
        <v>7</v>
      </c>
      <c r="E248" s="11" t="str">
        <f t="shared" si="41"/>
        <v>1</v>
      </c>
      <c r="F248" s="12">
        <v>37847383.560000002</v>
      </c>
    </row>
    <row r="249" spans="1:6" x14ac:dyDescent="0.25">
      <c r="A249" s="11" t="str">
        <f>"2792"</f>
        <v>2792</v>
      </c>
      <c r="B249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49" s="11" t="str">
        <f>"1"</f>
        <v>1</v>
      </c>
      <c r="D249" s="11" t="str">
        <f>"7"</f>
        <v>7</v>
      </c>
      <c r="E249" s="11" t="str">
        <f t="shared" si="41"/>
        <v>1</v>
      </c>
      <c r="F249" s="12">
        <v>27.72</v>
      </c>
    </row>
    <row r="250" spans="1:6" x14ac:dyDescent="0.25">
      <c r="A250" s="11" t="str">
        <f>"2792"</f>
        <v>2792</v>
      </c>
      <c r="B250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50" s="11" t="str">
        <f>"1"</f>
        <v>1</v>
      </c>
      <c r="D250" s="11" t="str">
        <f>"9"</f>
        <v>9</v>
      </c>
      <c r="E250" s="11" t="str">
        <f t="shared" si="41"/>
        <v>1</v>
      </c>
      <c r="F250" s="12">
        <v>474676046.36000001</v>
      </c>
    </row>
    <row r="251" spans="1:6" x14ac:dyDescent="0.25">
      <c r="A251" s="11" t="str">
        <f>"2792"</f>
        <v>2792</v>
      </c>
      <c r="B251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51" s="11" t="str">
        <f>"2"</f>
        <v>2</v>
      </c>
      <c r="D251" s="11" t="str">
        <f>"9"</f>
        <v>9</v>
      </c>
      <c r="E251" s="11" t="str">
        <f t="shared" si="41"/>
        <v>1</v>
      </c>
      <c r="F251" s="12">
        <v>1360.21</v>
      </c>
    </row>
    <row r="252" spans="1:6" x14ac:dyDescent="0.25">
      <c r="A252" s="11" t="str">
        <f>"2799"</f>
        <v>2799</v>
      </c>
      <c r="B252" s="11" t="str">
        <f>"Прочие предоплаты"</f>
        <v>Прочие предоплаты</v>
      </c>
      <c r="C252" s="11" t="str">
        <f>"1"</f>
        <v>1</v>
      </c>
      <c r="D252" s="11" t="str">
        <f>"7"</f>
        <v>7</v>
      </c>
      <c r="E252" s="11" t="str">
        <f t="shared" si="41"/>
        <v>1</v>
      </c>
      <c r="F252" s="12">
        <v>1215178.67</v>
      </c>
    </row>
    <row r="253" spans="1:6" x14ac:dyDescent="0.25">
      <c r="A253" s="11" t="str">
        <f>"2799"</f>
        <v>2799</v>
      </c>
      <c r="B253" s="11" t="str">
        <f>"Прочие предоплаты"</f>
        <v>Прочие предоплаты</v>
      </c>
      <c r="C253" s="11" t="str">
        <f>"1"</f>
        <v>1</v>
      </c>
      <c r="D253" s="11" t="str">
        <f>"9"</f>
        <v>9</v>
      </c>
      <c r="E253" s="11" t="str">
        <f t="shared" si="41"/>
        <v>1</v>
      </c>
      <c r="F253" s="12">
        <v>135319.71</v>
      </c>
    </row>
    <row r="254" spans="1:6" x14ac:dyDescent="0.25">
      <c r="A254" s="11" t="str">
        <f>"2811"</f>
        <v>2811</v>
      </c>
      <c r="B254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4" s="11" t="str">
        <f>"1"</f>
        <v>1</v>
      </c>
      <c r="D254" s="11" t="str">
        <f>""</f>
        <v/>
      </c>
      <c r="E254" s="11" t="str">
        <f t="shared" si="41"/>
        <v>1</v>
      </c>
      <c r="F254" s="12">
        <v>9355295.4499999993</v>
      </c>
    </row>
    <row r="255" spans="1:6" x14ac:dyDescent="0.25">
      <c r="A255" s="11" t="str">
        <f>"2811"</f>
        <v>2811</v>
      </c>
      <c r="B255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5" s="11" t="str">
        <f>"2"</f>
        <v>2</v>
      </c>
      <c r="D255" s="11" t="str">
        <f>""</f>
        <v/>
      </c>
      <c r="E255" s="11" t="str">
        <f t="shared" si="41"/>
        <v>1</v>
      </c>
      <c r="F255" s="12">
        <v>8375720.5800000001</v>
      </c>
    </row>
    <row r="256" spans="1:6" x14ac:dyDescent="0.25">
      <c r="A256" s="11" t="str">
        <f>"2811"</f>
        <v>2811</v>
      </c>
      <c r="B256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6" s="11" t="str">
        <f>"2"</f>
        <v>2</v>
      </c>
      <c r="D256" s="11" t="str">
        <f>""</f>
        <v/>
      </c>
      <c r="E256" s="11" t="str">
        <f>"2"</f>
        <v>2</v>
      </c>
      <c r="F256" s="12">
        <v>1638130.2</v>
      </c>
    </row>
    <row r="257" spans="1:6" x14ac:dyDescent="0.25">
      <c r="A257" s="11" t="str">
        <f>"2812"</f>
        <v>2812</v>
      </c>
      <c r="B257" s="11" t="str">
        <f>"Начисленные комиссионные расходы по агентским услугам"</f>
        <v>Начисленные комиссионные расходы по агентским услугам</v>
      </c>
      <c r="C257" s="11" t="str">
        <f>"1"</f>
        <v>1</v>
      </c>
      <c r="D257" s="11" t="str">
        <f>""</f>
        <v/>
      </c>
      <c r="E257" s="11" t="str">
        <f>"1"</f>
        <v>1</v>
      </c>
      <c r="F257" s="12">
        <v>2648703.27</v>
      </c>
    </row>
    <row r="258" spans="1:6" x14ac:dyDescent="0.25">
      <c r="A258" s="11" t="str">
        <f>"2819"</f>
        <v>2819</v>
      </c>
      <c r="B258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58" s="11" t="str">
        <f>"1"</f>
        <v>1</v>
      </c>
      <c r="D258" s="11" t="str">
        <f>""</f>
        <v/>
      </c>
      <c r="E258" s="11" t="str">
        <f>"1"</f>
        <v>1</v>
      </c>
      <c r="F258" s="12">
        <v>5044485.84</v>
      </c>
    </row>
    <row r="259" spans="1:6" x14ac:dyDescent="0.25">
      <c r="A259" s="11" t="str">
        <f>"2820"</f>
        <v>2820</v>
      </c>
      <c r="B259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59" s="11" t="str">
        <f>"1"</f>
        <v>1</v>
      </c>
      <c r="D259" s="11" t="str">
        <f>""</f>
        <v/>
      </c>
      <c r="E259" s="11" t="str">
        <f>"1"</f>
        <v>1</v>
      </c>
      <c r="F259" s="12">
        <v>19320000</v>
      </c>
    </row>
    <row r="260" spans="1:6" x14ac:dyDescent="0.25">
      <c r="A260" s="11" t="str">
        <f>"2851"</f>
        <v>2851</v>
      </c>
      <c r="B260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60" s="11" t="str">
        <f>"1"</f>
        <v>1</v>
      </c>
      <c r="D260" s="11" t="str">
        <f>"1"</f>
        <v>1</v>
      </c>
      <c r="E260" s="11" t="str">
        <f>"1"</f>
        <v>1</v>
      </c>
      <c r="F260" s="12">
        <v>1620834088.46</v>
      </c>
    </row>
    <row r="261" spans="1:6" x14ac:dyDescent="0.25">
      <c r="A261" s="11" t="str">
        <f>"2854"</f>
        <v>2854</v>
      </c>
      <c r="B261" s="11" t="str">
        <f>"Расчеты с работниками"</f>
        <v>Расчеты с работниками</v>
      </c>
      <c r="C261" s="11" t="str">
        <f>""</f>
        <v/>
      </c>
      <c r="D261" s="11" t="str">
        <f>""</f>
        <v/>
      </c>
      <c r="E261" s="11" t="str">
        <f>""</f>
        <v/>
      </c>
      <c r="F261" s="12">
        <v>987057993.26999998</v>
      </c>
    </row>
    <row r="262" spans="1:6" x14ac:dyDescent="0.25">
      <c r="A262" s="11" t="str">
        <f>"2855"</f>
        <v>2855</v>
      </c>
      <c r="B262" s="11" t="str">
        <f>"Кредиторы по документарным расчетам"</f>
        <v>Кредиторы по документарным расчетам</v>
      </c>
      <c r="C262" s="11" t="str">
        <f>"1"</f>
        <v>1</v>
      </c>
      <c r="D262" s="11" t="str">
        <f>"7"</f>
        <v>7</v>
      </c>
      <c r="E262" s="11" t="str">
        <f>"1"</f>
        <v>1</v>
      </c>
      <c r="F262" s="12">
        <v>556965707.09000003</v>
      </c>
    </row>
    <row r="263" spans="1:6" x14ac:dyDescent="0.25">
      <c r="A263" s="11" t="str">
        <f t="shared" ref="A263:A270" si="45">"2860"</f>
        <v>2860</v>
      </c>
      <c r="B263" s="11" t="str">
        <f t="shared" ref="B263:B270" si="46">"Прочие кредиторы по банковской деятельности"</f>
        <v>Прочие кредиторы по банковской деятельности</v>
      </c>
      <c r="C263" s="11" t="str">
        <f>"1"</f>
        <v>1</v>
      </c>
      <c r="D263" s="11" t="str">
        <f>"1"</f>
        <v>1</v>
      </c>
      <c r="E263" s="11" t="str">
        <f>"1"</f>
        <v>1</v>
      </c>
      <c r="F263" s="12">
        <v>169250.5</v>
      </c>
    </row>
    <row r="264" spans="1:6" x14ac:dyDescent="0.25">
      <c r="A264" s="11" t="str">
        <f t="shared" si="45"/>
        <v>2860</v>
      </c>
      <c r="B264" s="11" t="str">
        <f t="shared" si="46"/>
        <v>Прочие кредиторы по банковской деятельности</v>
      </c>
      <c r="C264" s="11" t="str">
        <f>"1"</f>
        <v>1</v>
      </c>
      <c r="D264" s="11" t="str">
        <f>"5"</f>
        <v>5</v>
      </c>
      <c r="E264" s="11" t="str">
        <f>"1"</f>
        <v>1</v>
      </c>
      <c r="F264" s="12">
        <v>549791.74</v>
      </c>
    </row>
    <row r="265" spans="1:6" x14ac:dyDescent="0.25">
      <c r="A265" s="11" t="str">
        <f t="shared" si="45"/>
        <v>2860</v>
      </c>
      <c r="B265" s="11" t="str">
        <f t="shared" si="46"/>
        <v>Прочие кредиторы по банковской деятельности</v>
      </c>
      <c r="C265" s="11" t="str">
        <f>"1"</f>
        <v>1</v>
      </c>
      <c r="D265" s="11" t="str">
        <f>"7"</f>
        <v>7</v>
      </c>
      <c r="E265" s="11" t="str">
        <f>"1"</f>
        <v>1</v>
      </c>
      <c r="F265" s="12">
        <v>572689</v>
      </c>
    </row>
    <row r="266" spans="1:6" x14ac:dyDescent="0.25">
      <c r="A266" s="11" t="str">
        <f t="shared" si="45"/>
        <v>2860</v>
      </c>
      <c r="B266" s="11" t="str">
        <f t="shared" si="46"/>
        <v>Прочие кредиторы по банковской деятельности</v>
      </c>
      <c r="C266" s="11" t="str">
        <f>"1"</f>
        <v>1</v>
      </c>
      <c r="D266" s="11" t="str">
        <f>"9"</f>
        <v>9</v>
      </c>
      <c r="E266" s="11" t="str">
        <f>"1"</f>
        <v>1</v>
      </c>
      <c r="F266" s="12">
        <v>710167</v>
      </c>
    </row>
    <row r="267" spans="1:6" x14ac:dyDescent="0.25">
      <c r="A267" s="11" t="str">
        <f t="shared" si="45"/>
        <v>2860</v>
      </c>
      <c r="B267" s="11" t="str">
        <f t="shared" si="46"/>
        <v>Прочие кредиторы по банковской деятельности</v>
      </c>
      <c r="C267" s="11" t="str">
        <f>"2"</f>
        <v>2</v>
      </c>
      <c r="D267" s="11" t="str">
        <f>"4"</f>
        <v>4</v>
      </c>
      <c r="E267" s="11" t="str">
        <f>"2"</f>
        <v>2</v>
      </c>
      <c r="F267" s="12">
        <v>378592.5</v>
      </c>
    </row>
    <row r="268" spans="1:6" x14ac:dyDescent="0.25">
      <c r="A268" s="11" t="str">
        <f t="shared" si="45"/>
        <v>2860</v>
      </c>
      <c r="B268" s="11" t="str">
        <f t="shared" si="46"/>
        <v>Прочие кредиторы по банковской деятельности</v>
      </c>
      <c r="C268" s="11" t="str">
        <f>"2"</f>
        <v>2</v>
      </c>
      <c r="D268" s="11" t="str">
        <f>"5"</f>
        <v>5</v>
      </c>
      <c r="E268" s="11" t="str">
        <f>"1"</f>
        <v>1</v>
      </c>
      <c r="F268" s="12">
        <v>110364618.67</v>
      </c>
    </row>
    <row r="269" spans="1:6" x14ac:dyDescent="0.25">
      <c r="A269" s="11" t="str">
        <f t="shared" si="45"/>
        <v>2860</v>
      </c>
      <c r="B269" s="11" t="str">
        <f t="shared" si="46"/>
        <v>Прочие кредиторы по банковской деятельности</v>
      </c>
      <c r="C269" s="11" t="str">
        <f>"2"</f>
        <v>2</v>
      </c>
      <c r="D269" s="11" t="str">
        <f>"5"</f>
        <v>5</v>
      </c>
      <c r="E269" s="11" t="str">
        <f>"2"</f>
        <v>2</v>
      </c>
      <c r="F269" s="12">
        <v>2659199.41</v>
      </c>
    </row>
    <row r="270" spans="1:6" x14ac:dyDescent="0.25">
      <c r="A270" s="11" t="str">
        <f t="shared" si="45"/>
        <v>2860</v>
      </c>
      <c r="B270" s="11" t="str">
        <f t="shared" si="46"/>
        <v>Прочие кредиторы по банковской деятельности</v>
      </c>
      <c r="C270" s="11" t="str">
        <f>"2"</f>
        <v>2</v>
      </c>
      <c r="D270" s="11" t="str">
        <f>"5"</f>
        <v>5</v>
      </c>
      <c r="E270" s="11" t="str">
        <f>"3"</f>
        <v>3</v>
      </c>
      <c r="F270" s="12">
        <v>26525225.43</v>
      </c>
    </row>
    <row r="271" spans="1:6" x14ac:dyDescent="0.25">
      <c r="A271" s="11" t="str">
        <f>"2861"</f>
        <v>2861</v>
      </c>
      <c r="B271" s="11" t="str">
        <f>"Резерв на отпускные выплаты"</f>
        <v>Резерв на отпускные выплаты</v>
      </c>
      <c r="C271" s="11" t="str">
        <f>""</f>
        <v/>
      </c>
      <c r="D271" s="11" t="str">
        <f>""</f>
        <v/>
      </c>
      <c r="E271" s="11" t="str">
        <f>""</f>
        <v/>
      </c>
      <c r="F271" s="12">
        <v>173561628.84</v>
      </c>
    </row>
    <row r="272" spans="1:6" x14ac:dyDescent="0.25">
      <c r="A272" s="11" t="str">
        <f>"2867"</f>
        <v>2867</v>
      </c>
      <c r="B272" s="11" t="str">
        <f>"Прочие кредиторы по неосновной деятельности"</f>
        <v>Прочие кредиторы по неосновной деятельности</v>
      </c>
      <c r="C272" s="11" t="str">
        <f t="shared" ref="C272:C283" si="47">"1"</f>
        <v>1</v>
      </c>
      <c r="D272" s="11" t="str">
        <f>"7"</f>
        <v>7</v>
      </c>
      <c r="E272" s="11" t="str">
        <f>"1"</f>
        <v>1</v>
      </c>
      <c r="F272" s="12">
        <v>17490000</v>
      </c>
    </row>
    <row r="273" spans="1:6" x14ac:dyDescent="0.25">
      <c r="A273" s="11" t="str">
        <f>"2867"</f>
        <v>2867</v>
      </c>
      <c r="B273" s="11" t="str">
        <f>"Прочие кредиторы по неосновной деятельности"</f>
        <v>Прочие кредиторы по неосновной деятельности</v>
      </c>
      <c r="C273" s="11" t="str">
        <f t="shared" si="47"/>
        <v>1</v>
      </c>
      <c r="D273" s="11" t="str">
        <f>"9"</f>
        <v>9</v>
      </c>
      <c r="E273" s="11" t="str">
        <f>"1"</f>
        <v>1</v>
      </c>
      <c r="F273" s="12">
        <v>279104.86</v>
      </c>
    </row>
    <row r="274" spans="1:6" x14ac:dyDescent="0.25">
      <c r="A274" s="11" t="str">
        <f>"2869"</f>
        <v>2869</v>
      </c>
      <c r="B274" s="11" t="str">
        <f>"Выданные гарантии"</f>
        <v>Выданные гарантии</v>
      </c>
      <c r="C274" s="11" t="str">
        <f t="shared" si="47"/>
        <v>1</v>
      </c>
      <c r="D274" s="11" t="str">
        <f>"7"</f>
        <v>7</v>
      </c>
      <c r="E274" s="11" t="str">
        <f>"1"</f>
        <v>1</v>
      </c>
      <c r="F274" s="12">
        <v>307216350.85000002</v>
      </c>
    </row>
    <row r="275" spans="1:6" x14ac:dyDescent="0.25">
      <c r="A275" s="11" t="str">
        <f>"2870"</f>
        <v>2870</v>
      </c>
      <c r="B275" s="11" t="str">
        <f>"Прочие транзитные счета"</f>
        <v>Прочие транзитные счета</v>
      </c>
      <c r="C275" s="11" t="str">
        <f t="shared" si="47"/>
        <v>1</v>
      </c>
      <c r="D275" s="11" t="str">
        <f>"4"</f>
        <v>4</v>
      </c>
      <c r="E275" s="11" t="str">
        <f>"3"</f>
        <v>3</v>
      </c>
      <c r="F275" s="12">
        <v>32976267.609999999</v>
      </c>
    </row>
    <row r="276" spans="1:6" x14ac:dyDescent="0.25">
      <c r="A276" s="11" t="str">
        <f>"2870"</f>
        <v>2870</v>
      </c>
      <c r="B276" s="11" t="str">
        <f>"Прочие транзитные счета"</f>
        <v>Прочие транзитные счета</v>
      </c>
      <c r="C276" s="11" t="str">
        <f t="shared" si="47"/>
        <v>1</v>
      </c>
      <c r="D276" s="11" t="str">
        <f>"5"</f>
        <v>5</v>
      </c>
      <c r="E276" s="11" t="str">
        <f>"1"</f>
        <v>1</v>
      </c>
      <c r="F276" s="12">
        <v>28670167.399999999</v>
      </c>
    </row>
    <row r="277" spans="1:6" x14ac:dyDescent="0.25">
      <c r="A277" s="11" t="str">
        <f>"2870"</f>
        <v>2870</v>
      </c>
      <c r="B277" s="11" t="str">
        <f>"Прочие транзитные счета"</f>
        <v>Прочие транзитные счета</v>
      </c>
      <c r="C277" s="11" t="str">
        <f t="shared" si="47"/>
        <v>1</v>
      </c>
      <c r="D277" s="11" t="str">
        <f>"7"</f>
        <v>7</v>
      </c>
      <c r="E277" s="11" t="str">
        <f>"1"</f>
        <v>1</v>
      </c>
      <c r="F277" s="12">
        <v>105520763.18000001</v>
      </c>
    </row>
    <row r="278" spans="1:6" x14ac:dyDescent="0.25">
      <c r="A278" s="11" t="str">
        <f>"2870"</f>
        <v>2870</v>
      </c>
      <c r="B278" s="11" t="str">
        <f>"Прочие транзитные счета"</f>
        <v>Прочие транзитные счета</v>
      </c>
      <c r="C278" s="11" t="str">
        <f t="shared" si="47"/>
        <v>1</v>
      </c>
      <c r="D278" s="11" t="str">
        <f>"7"</f>
        <v>7</v>
      </c>
      <c r="E278" s="11" t="str">
        <f>"3"</f>
        <v>3</v>
      </c>
      <c r="F278" s="12">
        <v>69197670.280000001</v>
      </c>
    </row>
    <row r="279" spans="1:6" x14ac:dyDescent="0.25">
      <c r="A279" s="11" t="str">
        <f>"2870"</f>
        <v>2870</v>
      </c>
      <c r="B279" s="11" t="str">
        <f>"Прочие транзитные счета"</f>
        <v>Прочие транзитные счета</v>
      </c>
      <c r="C279" s="11" t="str">
        <f t="shared" si="47"/>
        <v>1</v>
      </c>
      <c r="D279" s="11" t="str">
        <f>"9"</f>
        <v>9</v>
      </c>
      <c r="E279" s="11" t="str">
        <f>"1"</f>
        <v>1</v>
      </c>
      <c r="F279" s="12">
        <v>1140931.1000000001</v>
      </c>
    </row>
    <row r="280" spans="1:6" x14ac:dyDescent="0.25">
      <c r="A280" s="11" t="str">
        <f>"2875"</f>
        <v>2875</v>
      </c>
      <c r="B280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0" s="11" t="str">
        <f t="shared" si="47"/>
        <v>1</v>
      </c>
      <c r="D280" s="11" t="str">
        <f>"7"</f>
        <v>7</v>
      </c>
      <c r="E280" s="11" t="str">
        <f>"1"</f>
        <v>1</v>
      </c>
      <c r="F280" s="12">
        <v>17258968.41</v>
      </c>
    </row>
    <row r="281" spans="1:6" x14ac:dyDescent="0.25">
      <c r="A281" s="11" t="str">
        <f>"2875"</f>
        <v>2875</v>
      </c>
      <c r="B281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1" s="11" t="str">
        <f t="shared" si="47"/>
        <v>1</v>
      </c>
      <c r="D281" s="11" t="str">
        <f>"7"</f>
        <v>7</v>
      </c>
      <c r="E281" s="11" t="str">
        <f>"3"</f>
        <v>3</v>
      </c>
      <c r="F281" s="12">
        <v>593889.59</v>
      </c>
    </row>
    <row r="282" spans="1:6" x14ac:dyDescent="0.25">
      <c r="A282" s="11" t="str">
        <f>"2875"</f>
        <v>2875</v>
      </c>
      <c r="B282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2" s="11" t="str">
        <f t="shared" si="47"/>
        <v>1</v>
      </c>
      <c r="D282" s="11" t="str">
        <f>"9"</f>
        <v>9</v>
      </c>
      <c r="E282" s="11" t="str">
        <f>"1"</f>
        <v>1</v>
      </c>
      <c r="F282" s="12">
        <v>47898.34</v>
      </c>
    </row>
    <row r="283" spans="1:6" x14ac:dyDescent="0.25">
      <c r="A283" s="11" t="str">
        <f>"2894"</f>
        <v>2894</v>
      </c>
      <c r="B283" s="11" t="str">
        <f>"Обязательства по операциям спот"</f>
        <v>Обязательства по операциям спот</v>
      </c>
      <c r="C283" s="11" t="str">
        <f t="shared" si="47"/>
        <v>1</v>
      </c>
      <c r="D283" s="11" t="str">
        <f>"5"</f>
        <v>5</v>
      </c>
      <c r="E283" s="11" t="str">
        <f>"1"</f>
        <v>1</v>
      </c>
      <c r="F283" s="12">
        <v>41833513.979999997</v>
      </c>
    </row>
    <row r="284" spans="1:6" x14ac:dyDescent="0.25">
      <c r="A284" s="11" t="str">
        <f>"3001"</f>
        <v>3001</v>
      </c>
      <c r="B284" s="11" t="str">
        <f>"Уставный капитал – простые акции"</f>
        <v>Уставный капитал – простые акции</v>
      </c>
      <c r="C284" s="11" t="str">
        <f>""</f>
        <v/>
      </c>
      <c r="D284" s="11" t="str">
        <f>""</f>
        <v/>
      </c>
      <c r="E284" s="11" t="str">
        <f>""</f>
        <v/>
      </c>
      <c r="F284" s="12">
        <v>73757000000</v>
      </c>
    </row>
    <row r="285" spans="1:6" x14ac:dyDescent="0.25">
      <c r="A285" s="11" t="str">
        <f>"3580"</f>
        <v>3580</v>
      </c>
      <c r="B285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85" s="11" t="str">
        <f>""</f>
        <v/>
      </c>
      <c r="D285" s="11" t="str">
        <f>""</f>
        <v/>
      </c>
      <c r="E285" s="11" t="str">
        <f>""</f>
        <v/>
      </c>
      <c r="F285" s="12">
        <v>-8406030126.1899996</v>
      </c>
    </row>
    <row r="286" spans="1:6" x14ac:dyDescent="0.25">
      <c r="A286" s="11" t="str">
        <f>"3599"</f>
        <v>3599</v>
      </c>
      <c r="B286" s="11" t="str">
        <f>"Нераспределенная чистая прибыль (непокрытый убыток)"</f>
        <v>Нераспределенная чистая прибыль (непокрытый убыток)</v>
      </c>
      <c r="C286" s="11" t="str">
        <f>""</f>
        <v/>
      </c>
      <c r="D286" s="11" t="str">
        <f>""</f>
        <v/>
      </c>
      <c r="E286" s="11" t="str">
        <f>""</f>
        <v/>
      </c>
      <c r="F286" s="12">
        <v>21737664400.200001</v>
      </c>
    </row>
    <row r="287" spans="1:6" x14ac:dyDescent="0.25">
      <c r="A287" s="11" t="str">
        <f>"4052"</f>
        <v>4052</v>
      </c>
      <c r="B287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287" s="11" t="str">
        <f>""</f>
        <v/>
      </c>
      <c r="D287" s="11" t="str">
        <f>""</f>
        <v/>
      </c>
      <c r="E287" s="11" t="str">
        <f>""</f>
        <v/>
      </c>
      <c r="F287" s="12">
        <v>16545180.65</v>
      </c>
    </row>
    <row r="288" spans="1:6" x14ac:dyDescent="0.25">
      <c r="A288" s="11" t="str">
        <f>"4101"</f>
        <v>4101</v>
      </c>
      <c r="B288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288" s="11" t="str">
        <f>""</f>
        <v/>
      </c>
      <c r="D288" s="11" t="str">
        <f>""</f>
        <v/>
      </c>
      <c r="E288" s="11" t="str">
        <f>""</f>
        <v/>
      </c>
      <c r="F288" s="12">
        <v>4795347222.2700005</v>
      </c>
    </row>
    <row r="289" spans="1:6" x14ac:dyDescent="0.25">
      <c r="A289" s="11" t="str">
        <f>"4202"</f>
        <v>4202</v>
      </c>
      <c r="B289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289" s="11" t="str">
        <f>""</f>
        <v/>
      </c>
      <c r="D289" s="11" t="str">
        <f>""</f>
        <v/>
      </c>
      <c r="E289" s="11" t="str">
        <f>""</f>
        <v/>
      </c>
      <c r="F289" s="12">
        <v>104144293.79000001</v>
      </c>
    </row>
    <row r="290" spans="1:6" x14ac:dyDescent="0.25">
      <c r="A290" s="11" t="str">
        <f>"4251"</f>
        <v>4251</v>
      </c>
      <c r="B290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290" s="11" t="str">
        <f>""</f>
        <v/>
      </c>
      <c r="D290" s="11" t="str">
        <f>""</f>
        <v/>
      </c>
      <c r="E290" s="11" t="str">
        <f>""</f>
        <v/>
      </c>
      <c r="F290" s="12">
        <v>1036026342.2</v>
      </c>
    </row>
    <row r="291" spans="1:6" x14ac:dyDescent="0.25">
      <c r="A291" s="11" t="str">
        <f>"4253"</f>
        <v>4253</v>
      </c>
      <c r="B291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291" s="11" t="str">
        <f>""</f>
        <v/>
      </c>
      <c r="D291" s="11" t="str">
        <f>""</f>
        <v/>
      </c>
      <c r="E291" s="11" t="str">
        <f>""</f>
        <v/>
      </c>
      <c r="F291" s="12">
        <v>1127935648.9400001</v>
      </c>
    </row>
    <row r="292" spans="1:6" x14ac:dyDescent="0.25">
      <c r="A292" s="11" t="str">
        <f>"4401"</f>
        <v>4401</v>
      </c>
      <c r="B292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292" s="11" t="str">
        <f>""</f>
        <v/>
      </c>
      <c r="D292" s="11" t="str">
        <f>""</f>
        <v/>
      </c>
      <c r="E292" s="11" t="str">
        <f>""</f>
        <v/>
      </c>
      <c r="F292" s="12">
        <v>17029487.210000001</v>
      </c>
    </row>
    <row r="293" spans="1:6" x14ac:dyDescent="0.25">
      <c r="A293" s="11" t="str">
        <f>"4403"</f>
        <v>4403</v>
      </c>
      <c r="B293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293" s="11" t="str">
        <f>""</f>
        <v/>
      </c>
      <c r="D293" s="11" t="str">
        <f>""</f>
        <v/>
      </c>
      <c r="E293" s="11" t="str">
        <f>""</f>
        <v/>
      </c>
      <c r="F293" s="12">
        <v>73170.009999999995</v>
      </c>
    </row>
    <row r="294" spans="1:6" x14ac:dyDescent="0.25">
      <c r="A294" s="11" t="str">
        <f>"4411"</f>
        <v>4411</v>
      </c>
      <c r="B294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294" s="11" t="str">
        <f>""</f>
        <v/>
      </c>
      <c r="D294" s="11" t="str">
        <f>""</f>
        <v/>
      </c>
      <c r="E294" s="11" t="str">
        <f>""</f>
        <v/>
      </c>
      <c r="F294" s="12">
        <v>83135472.569999993</v>
      </c>
    </row>
    <row r="295" spans="1:6" x14ac:dyDescent="0.25">
      <c r="A295" s="11" t="str">
        <f>"4417"</f>
        <v>4417</v>
      </c>
      <c r="B295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295" s="11" t="str">
        <f>""</f>
        <v/>
      </c>
      <c r="D295" s="11" t="str">
        <f>""</f>
        <v/>
      </c>
      <c r="E295" s="11" t="str">
        <f>""</f>
        <v/>
      </c>
      <c r="F295" s="12">
        <v>8910205905.2399998</v>
      </c>
    </row>
    <row r="296" spans="1:6" x14ac:dyDescent="0.25">
      <c r="A296" s="11" t="str">
        <f>"4424"</f>
        <v>4424</v>
      </c>
      <c r="B296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296" s="11" t="str">
        <f>""</f>
        <v/>
      </c>
      <c r="D296" s="11" t="str">
        <f>""</f>
        <v/>
      </c>
      <c r="E296" s="11" t="str">
        <f>""</f>
        <v/>
      </c>
      <c r="F296" s="12">
        <v>529432633.01999998</v>
      </c>
    </row>
    <row r="297" spans="1:6" x14ac:dyDescent="0.25">
      <c r="A297" s="11" t="str">
        <f>"4429"</f>
        <v>4429</v>
      </c>
      <c r="B297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297" s="11" t="str">
        <f>""</f>
        <v/>
      </c>
      <c r="D297" s="11" t="str">
        <f>""</f>
        <v/>
      </c>
      <c r="E297" s="11" t="str">
        <f>""</f>
        <v/>
      </c>
      <c r="F297" s="12">
        <v>2925733.35</v>
      </c>
    </row>
    <row r="298" spans="1:6" x14ac:dyDescent="0.25">
      <c r="A298" s="11" t="str">
        <f>"4434"</f>
        <v>4434</v>
      </c>
      <c r="B298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298" s="11" t="str">
        <f>""</f>
        <v/>
      </c>
      <c r="D298" s="11" t="str">
        <f>""</f>
        <v/>
      </c>
      <c r="E298" s="11" t="str">
        <f>""</f>
        <v/>
      </c>
      <c r="F298" s="12">
        <v>34388476.030000001</v>
      </c>
    </row>
    <row r="299" spans="1:6" x14ac:dyDescent="0.25">
      <c r="A299" s="11" t="str">
        <f>"4436"</f>
        <v>4436</v>
      </c>
      <c r="B299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C299" s="11" t="str">
        <f>""</f>
        <v/>
      </c>
      <c r="D299" s="11" t="str">
        <f>""</f>
        <v/>
      </c>
      <c r="E299" s="11" t="str">
        <f>""</f>
        <v/>
      </c>
      <c r="F299" s="12">
        <v>394597785.54000002</v>
      </c>
    </row>
    <row r="300" spans="1:6" x14ac:dyDescent="0.25">
      <c r="A300" s="11" t="str">
        <f>"4492"</f>
        <v>4492</v>
      </c>
      <c r="B300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00" s="11" t="str">
        <f>""</f>
        <v/>
      </c>
      <c r="D300" s="11" t="str">
        <f>""</f>
        <v/>
      </c>
      <c r="E300" s="11" t="str">
        <f>""</f>
        <v/>
      </c>
      <c r="F300" s="12">
        <v>60746173.350000001</v>
      </c>
    </row>
    <row r="301" spans="1:6" x14ac:dyDescent="0.25">
      <c r="A301" s="11" t="str">
        <f>"4530"</f>
        <v>4530</v>
      </c>
      <c r="B301" s="11" t="str">
        <f>"Доходы по купле-продаже иностранной валюты"</f>
        <v>Доходы по купле-продаже иностранной валюты</v>
      </c>
      <c r="C301" s="11" t="str">
        <f>""</f>
        <v/>
      </c>
      <c r="D301" s="11" t="str">
        <f>""</f>
        <v/>
      </c>
      <c r="E301" s="11" t="str">
        <f>""</f>
        <v/>
      </c>
      <c r="F301" s="12">
        <v>23103490646.330002</v>
      </c>
    </row>
    <row r="302" spans="1:6" x14ac:dyDescent="0.25">
      <c r="A302" s="11" t="str">
        <f>"4570"</f>
        <v>4570</v>
      </c>
      <c r="B302" s="1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302" s="11" t="str">
        <f>""</f>
        <v/>
      </c>
      <c r="D302" s="11" t="str">
        <f>""</f>
        <v/>
      </c>
      <c r="E302" s="11" t="str">
        <f>""</f>
        <v/>
      </c>
      <c r="F302" s="12">
        <v>139992799.93000001</v>
      </c>
    </row>
    <row r="303" spans="1:6" x14ac:dyDescent="0.25">
      <c r="A303" s="11" t="str">
        <f>"4601"</f>
        <v>4601</v>
      </c>
      <c r="B303" s="11" t="str">
        <f>"Комиссионные доходы за услуги по переводным операциям"</f>
        <v>Комиссионные доходы за услуги по переводным операциям</v>
      </c>
      <c r="C303" s="11" t="str">
        <f>""</f>
        <v/>
      </c>
      <c r="D303" s="11" t="str">
        <f>""</f>
        <v/>
      </c>
      <c r="E303" s="11" t="str">
        <f>""</f>
        <v/>
      </c>
      <c r="F303" s="12">
        <v>464777551.23000002</v>
      </c>
    </row>
    <row r="304" spans="1:6" x14ac:dyDescent="0.25">
      <c r="A304" s="11" t="str">
        <f>"4602"</f>
        <v>4602</v>
      </c>
      <c r="B304" s="11" t="str">
        <f>"Комиссионные доходы за агентские услуги"</f>
        <v>Комиссионные доходы за агентские услуги</v>
      </c>
      <c r="C304" s="11" t="str">
        <f>""</f>
        <v/>
      </c>
      <c r="D304" s="11" t="str">
        <f>""</f>
        <v/>
      </c>
      <c r="E304" s="11" t="str">
        <f>""</f>
        <v/>
      </c>
      <c r="F304" s="12">
        <v>1126844847.4100001</v>
      </c>
    </row>
    <row r="305" spans="1:6" x14ac:dyDescent="0.25">
      <c r="A305" s="11" t="str">
        <f>"4604"</f>
        <v>4604</v>
      </c>
      <c r="B305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05" s="11" t="str">
        <f>""</f>
        <v/>
      </c>
      <c r="D305" s="11" t="str">
        <f>""</f>
        <v/>
      </c>
      <c r="E305" s="11" t="str">
        <f>""</f>
        <v/>
      </c>
      <c r="F305" s="12">
        <v>188953857.91999999</v>
      </c>
    </row>
    <row r="306" spans="1:6" x14ac:dyDescent="0.25">
      <c r="A306" s="11" t="str">
        <f>"4606"</f>
        <v>4606</v>
      </c>
      <c r="B306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C306" s="11" t="str">
        <f>""</f>
        <v/>
      </c>
      <c r="D306" s="11" t="str">
        <f>""</f>
        <v/>
      </c>
      <c r="E306" s="11" t="str">
        <f>""</f>
        <v/>
      </c>
      <c r="F306" s="12">
        <v>18956027.309999999</v>
      </c>
    </row>
    <row r="307" spans="1:6" x14ac:dyDescent="0.25">
      <c r="A307" s="11" t="str">
        <f>"4607"</f>
        <v>4607</v>
      </c>
      <c r="B307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07" s="11" t="str">
        <f>""</f>
        <v/>
      </c>
      <c r="D307" s="11" t="str">
        <f>""</f>
        <v/>
      </c>
      <c r="E307" s="11" t="str">
        <f>""</f>
        <v/>
      </c>
      <c r="F307" s="12">
        <v>85704784.810000002</v>
      </c>
    </row>
    <row r="308" spans="1:6" x14ac:dyDescent="0.25">
      <c r="A308" s="11" t="str">
        <f>"4608"</f>
        <v>4608</v>
      </c>
      <c r="B308" s="11" t="str">
        <f>"Прочие комиссионные доходы"</f>
        <v>Прочие комиссионные доходы</v>
      </c>
      <c r="C308" s="11" t="str">
        <f>""</f>
        <v/>
      </c>
      <c r="D308" s="11" t="str">
        <f>""</f>
        <v/>
      </c>
      <c r="E308" s="11" t="str">
        <f>""</f>
        <v/>
      </c>
      <c r="F308" s="12">
        <v>554989672.92999995</v>
      </c>
    </row>
    <row r="309" spans="1:6" x14ac:dyDescent="0.25">
      <c r="A309" s="11" t="str">
        <f>"4611"</f>
        <v>4611</v>
      </c>
      <c r="B309" s="11" t="str">
        <f>"Комиссионные доходы за услуги по кассовым операциям"</f>
        <v>Комиссионные доходы за услуги по кассовым операциям</v>
      </c>
      <c r="C309" s="11" t="str">
        <f>""</f>
        <v/>
      </c>
      <c r="D309" s="11" t="str">
        <f>""</f>
        <v/>
      </c>
      <c r="E309" s="11" t="str">
        <f>""</f>
        <v/>
      </c>
      <c r="F309" s="12">
        <v>231059434.72999999</v>
      </c>
    </row>
    <row r="310" spans="1:6" x14ac:dyDescent="0.25">
      <c r="A310" s="11" t="str">
        <f>"4612"</f>
        <v>4612</v>
      </c>
      <c r="B310" s="11" t="str">
        <f>"Комиссионные доходы по документарным расчетам"</f>
        <v>Комиссионные доходы по документарным расчетам</v>
      </c>
      <c r="C310" s="11" t="str">
        <f>""</f>
        <v/>
      </c>
      <c r="D310" s="11" t="str">
        <f>""</f>
        <v/>
      </c>
      <c r="E310" s="11" t="str">
        <f>""</f>
        <v/>
      </c>
      <c r="F310" s="12">
        <v>3731037.54</v>
      </c>
    </row>
    <row r="311" spans="1:6" x14ac:dyDescent="0.25">
      <c r="A311" s="11" t="str">
        <f>"4617"</f>
        <v>4617</v>
      </c>
      <c r="B311" s="11" t="str">
        <f>"Комиссионные доходы за услуги по сейфовым операциям"</f>
        <v>Комиссионные доходы за услуги по сейфовым операциям</v>
      </c>
      <c r="C311" s="11" t="str">
        <f>""</f>
        <v/>
      </c>
      <c r="D311" s="11" t="str">
        <f>""</f>
        <v/>
      </c>
      <c r="E311" s="11" t="str">
        <f>""</f>
        <v/>
      </c>
      <c r="F311" s="12">
        <v>1281339.27</v>
      </c>
    </row>
    <row r="312" spans="1:6" x14ac:dyDescent="0.25">
      <c r="A312" s="11" t="str">
        <f>"4619"</f>
        <v>4619</v>
      </c>
      <c r="B312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C312" s="11" t="str">
        <f>""</f>
        <v/>
      </c>
      <c r="D312" s="11" t="str">
        <f>""</f>
        <v/>
      </c>
      <c r="E312" s="11" t="str">
        <f>""</f>
        <v/>
      </c>
      <c r="F312" s="12">
        <v>166707992.33000001</v>
      </c>
    </row>
    <row r="313" spans="1:6" x14ac:dyDescent="0.25">
      <c r="A313" s="11" t="str">
        <f>"4703"</f>
        <v>4703</v>
      </c>
      <c r="B313" s="11" t="str">
        <f>"Доход от переоценки иностранной валюты"</f>
        <v>Доход от переоценки иностранной валюты</v>
      </c>
      <c r="C313" s="11" t="str">
        <f>""</f>
        <v/>
      </c>
      <c r="D313" s="11" t="str">
        <f>""</f>
        <v/>
      </c>
      <c r="E313" s="11" t="str">
        <f>""</f>
        <v/>
      </c>
      <c r="F313" s="12">
        <v>404336694373.59998</v>
      </c>
    </row>
    <row r="314" spans="1:6" x14ac:dyDescent="0.25">
      <c r="A314" s="11" t="str">
        <f>"4709"</f>
        <v>4709</v>
      </c>
      <c r="B314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14" s="11" t="str">
        <f>""</f>
        <v/>
      </c>
      <c r="D314" s="11" t="str">
        <f>""</f>
        <v/>
      </c>
      <c r="E314" s="11" t="str">
        <f>""</f>
        <v/>
      </c>
      <c r="F314" s="12">
        <v>11040637.029999999</v>
      </c>
    </row>
    <row r="315" spans="1:6" x14ac:dyDescent="0.25">
      <c r="A315" s="11" t="str">
        <f>"4852"</f>
        <v>4852</v>
      </c>
      <c r="B315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15" s="11" t="str">
        <f>""</f>
        <v/>
      </c>
      <c r="D315" s="11" t="str">
        <f>""</f>
        <v/>
      </c>
      <c r="E315" s="11" t="str">
        <f>""</f>
        <v/>
      </c>
      <c r="F315" s="12">
        <v>2254463.0699999998</v>
      </c>
    </row>
    <row r="316" spans="1:6" x14ac:dyDescent="0.25">
      <c r="A316" s="11" t="str">
        <f>"4895"</f>
        <v>4895</v>
      </c>
      <c r="B316" s="11" t="str">
        <f>"Доходы по операциям своп"</f>
        <v>Доходы по операциям своп</v>
      </c>
      <c r="C316" s="11" t="str">
        <f>""</f>
        <v/>
      </c>
      <c r="D316" s="11" t="str">
        <f>""</f>
        <v/>
      </c>
      <c r="E316" s="11" t="str">
        <f>""</f>
        <v/>
      </c>
      <c r="F316" s="12">
        <v>833377287.70000005</v>
      </c>
    </row>
    <row r="317" spans="1:6" x14ac:dyDescent="0.25">
      <c r="A317" s="11" t="str">
        <f>"4900"</f>
        <v>4900</v>
      </c>
      <c r="B317" s="11" t="str">
        <f>"Неустойка (штраф, пеня)"</f>
        <v>Неустойка (штраф, пеня)</v>
      </c>
      <c r="C317" s="11" t="str">
        <f>""</f>
        <v/>
      </c>
      <c r="D317" s="11" t="str">
        <f>""</f>
        <v/>
      </c>
      <c r="E317" s="11" t="str">
        <f>""</f>
        <v/>
      </c>
      <c r="F317" s="12">
        <v>66734424.270000003</v>
      </c>
    </row>
    <row r="318" spans="1:6" x14ac:dyDescent="0.25">
      <c r="A318" s="11" t="str">
        <f>"4921"</f>
        <v>4921</v>
      </c>
      <c r="B318" s="11" t="str">
        <f>"Прочие доходы от банковской деятельности"</f>
        <v>Прочие доходы от банковской деятельности</v>
      </c>
      <c r="C318" s="11" t="str">
        <f>""</f>
        <v/>
      </c>
      <c r="D318" s="11" t="str">
        <f>""</f>
        <v/>
      </c>
      <c r="E318" s="11" t="str">
        <f>""</f>
        <v/>
      </c>
      <c r="F318" s="12">
        <v>544985.04</v>
      </c>
    </row>
    <row r="319" spans="1:6" x14ac:dyDescent="0.25">
      <c r="A319" s="11" t="str">
        <f>"4922"</f>
        <v>4922</v>
      </c>
      <c r="B319" s="11" t="str">
        <f>"Прочие доходы от неосновной деятельности"</f>
        <v>Прочие доходы от неосновной деятельности</v>
      </c>
      <c r="C319" s="11" t="str">
        <f>""</f>
        <v/>
      </c>
      <c r="D319" s="11" t="str">
        <f>""</f>
        <v/>
      </c>
      <c r="E319" s="11" t="str">
        <f>""</f>
        <v/>
      </c>
      <c r="F319" s="12">
        <v>2070734798.6500001</v>
      </c>
    </row>
    <row r="320" spans="1:6" x14ac:dyDescent="0.25">
      <c r="A320" s="11" t="str">
        <f>"4951"</f>
        <v>4951</v>
      </c>
      <c r="B320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20" s="11" t="str">
        <f>""</f>
        <v/>
      </c>
      <c r="D320" s="11" t="str">
        <f>""</f>
        <v/>
      </c>
      <c r="E320" s="11" t="str">
        <f>""</f>
        <v/>
      </c>
      <c r="F320" s="12">
        <v>173836128.72</v>
      </c>
    </row>
    <row r="321" spans="1:6" x14ac:dyDescent="0.25">
      <c r="A321" s="11" t="str">
        <f>"4953"</f>
        <v>4953</v>
      </c>
      <c r="B321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21" s="11" t="str">
        <f>""</f>
        <v/>
      </c>
      <c r="D321" s="11" t="str">
        <f>""</f>
        <v/>
      </c>
      <c r="E321" s="11" t="str">
        <f>""</f>
        <v/>
      </c>
      <c r="F321" s="12">
        <v>45014151.990000002</v>
      </c>
    </row>
    <row r="322" spans="1:6" x14ac:dyDescent="0.25">
      <c r="A322" s="11" t="str">
        <f>"4955"</f>
        <v>4955</v>
      </c>
      <c r="B322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22" s="11" t="str">
        <f>""</f>
        <v/>
      </c>
      <c r="D322" s="11" t="str">
        <f>""</f>
        <v/>
      </c>
      <c r="E322" s="11" t="str">
        <f>""</f>
        <v/>
      </c>
      <c r="F322" s="12">
        <v>2363737295.8200002</v>
      </c>
    </row>
    <row r="323" spans="1:6" x14ac:dyDescent="0.25">
      <c r="A323" s="11" t="str">
        <f>"4956"</f>
        <v>4956</v>
      </c>
      <c r="B323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23" s="11" t="str">
        <f>""</f>
        <v/>
      </c>
      <c r="D323" s="11" t="str">
        <f>""</f>
        <v/>
      </c>
      <c r="E323" s="11" t="str">
        <f>""</f>
        <v/>
      </c>
      <c r="F323" s="12">
        <v>242838.47</v>
      </c>
    </row>
    <row r="324" spans="1:6" x14ac:dyDescent="0.25">
      <c r="A324" s="11" t="str">
        <f>"4957"</f>
        <v>4957</v>
      </c>
      <c r="B324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24" s="11" t="str">
        <f>""</f>
        <v/>
      </c>
      <c r="D324" s="11" t="str">
        <f>""</f>
        <v/>
      </c>
      <c r="E324" s="11" t="str">
        <f>""</f>
        <v/>
      </c>
      <c r="F324" s="12">
        <v>48581094.509999998</v>
      </c>
    </row>
    <row r="325" spans="1:6" x14ac:dyDescent="0.25">
      <c r="A325" s="11" t="str">
        <f>"4958"</f>
        <v>4958</v>
      </c>
      <c r="B325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25" s="11" t="str">
        <f>""</f>
        <v/>
      </c>
      <c r="D325" s="11" t="str">
        <f>""</f>
        <v/>
      </c>
      <c r="E325" s="11" t="str">
        <f>""</f>
        <v/>
      </c>
      <c r="F325" s="12">
        <v>110869803.73999999</v>
      </c>
    </row>
    <row r="326" spans="1:6" x14ac:dyDescent="0.25">
      <c r="A326" s="11" t="str">
        <f>"4963"</f>
        <v>4963</v>
      </c>
      <c r="B326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26" s="11" t="str">
        <f>""</f>
        <v/>
      </c>
      <c r="D326" s="11" t="str">
        <f>""</f>
        <v/>
      </c>
      <c r="E326" s="11" t="str">
        <f>""</f>
        <v/>
      </c>
      <c r="F326" s="12">
        <v>6082103.2199999997</v>
      </c>
    </row>
    <row r="327" spans="1:6" x14ac:dyDescent="0.25">
      <c r="A327" s="11" t="str">
        <f>"5056"</f>
        <v>5056</v>
      </c>
      <c r="B327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27" s="11" t="str">
        <f>""</f>
        <v/>
      </c>
      <c r="D327" s="11" t="str">
        <f>""</f>
        <v/>
      </c>
      <c r="E327" s="11" t="str">
        <f>""</f>
        <v/>
      </c>
      <c r="F327" s="12">
        <v>1541593032.74</v>
      </c>
    </row>
    <row r="328" spans="1:6" x14ac:dyDescent="0.25">
      <c r="A328" s="11" t="str">
        <f>"5215"</f>
        <v>5215</v>
      </c>
      <c r="B328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28" s="11" t="str">
        <f>""</f>
        <v/>
      </c>
      <c r="D328" s="11" t="str">
        <f>""</f>
        <v/>
      </c>
      <c r="E328" s="11" t="str">
        <f>""</f>
        <v/>
      </c>
      <c r="F328" s="12">
        <v>1967545053.46</v>
      </c>
    </row>
    <row r="329" spans="1:6" x14ac:dyDescent="0.25">
      <c r="A329" s="11" t="str">
        <f>"5217"</f>
        <v>5217</v>
      </c>
      <c r="B329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29" s="11" t="str">
        <f>""</f>
        <v/>
      </c>
      <c r="D329" s="11" t="str">
        <f>""</f>
        <v/>
      </c>
      <c r="E329" s="11" t="str">
        <f>""</f>
        <v/>
      </c>
      <c r="F329" s="12">
        <v>507053152.69999999</v>
      </c>
    </row>
    <row r="330" spans="1:6" x14ac:dyDescent="0.25">
      <c r="A330" s="11" t="str">
        <f>"5218"</f>
        <v>5218</v>
      </c>
      <c r="B330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30" s="11" t="str">
        <f>""</f>
        <v/>
      </c>
      <c r="D330" s="11" t="str">
        <f>""</f>
        <v/>
      </c>
      <c r="E330" s="11" t="str">
        <f>""</f>
        <v/>
      </c>
      <c r="F330" s="12">
        <v>2114103051.3299999</v>
      </c>
    </row>
    <row r="331" spans="1:6" x14ac:dyDescent="0.25">
      <c r="A331" s="11" t="str">
        <f>"5219"</f>
        <v>5219</v>
      </c>
      <c r="B331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31" s="11" t="str">
        <f>""</f>
        <v/>
      </c>
      <c r="D331" s="11" t="str">
        <f>""</f>
        <v/>
      </c>
      <c r="E331" s="11" t="str">
        <f>""</f>
        <v/>
      </c>
      <c r="F331" s="12">
        <v>351425.98</v>
      </c>
    </row>
    <row r="332" spans="1:6" x14ac:dyDescent="0.25">
      <c r="A332" s="11" t="str">
        <f>"5220"</f>
        <v>5220</v>
      </c>
      <c r="B332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32" s="11" t="str">
        <f>""</f>
        <v/>
      </c>
      <c r="D332" s="11" t="str">
        <f>""</f>
        <v/>
      </c>
      <c r="E332" s="11" t="str">
        <f>""</f>
        <v/>
      </c>
      <c r="F332" s="12">
        <v>12230275.34</v>
      </c>
    </row>
    <row r="333" spans="1:6" x14ac:dyDescent="0.25">
      <c r="A333" s="11" t="str">
        <f>"5223"</f>
        <v>5223</v>
      </c>
      <c r="B333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33" s="11" t="str">
        <f>""</f>
        <v/>
      </c>
      <c r="D333" s="11" t="str">
        <f>""</f>
        <v/>
      </c>
      <c r="E333" s="11" t="str">
        <f>""</f>
        <v/>
      </c>
      <c r="F333" s="12">
        <v>5496020.3899999997</v>
      </c>
    </row>
    <row r="334" spans="1:6" x14ac:dyDescent="0.25">
      <c r="A334" s="11" t="str">
        <f>"5227"</f>
        <v>5227</v>
      </c>
      <c r="B334" s="11" t="str">
        <f>"Процентные расходы по обязательствам по аренде"</f>
        <v>Процентные расходы по обязательствам по аренде</v>
      </c>
      <c r="C334" s="11" t="str">
        <f>""</f>
        <v/>
      </c>
      <c r="D334" s="11" t="str">
        <f>""</f>
        <v/>
      </c>
      <c r="E334" s="11" t="str">
        <f>""</f>
        <v/>
      </c>
      <c r="F334" s="12">
        <v>174886570.74000001</v>
      </c>
    </row>
    <row r="335" spans="1:6" x14ac:dyDescent="0.25">
      <c r="A335" s="11" t="str">
        <f>"5232"</f>
        <v>5232</v>
      </c>
      <c r="B335" s="1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C335" s="11" t="str">
        <f>""</f>
        <v/>
      </c>
      <c r="D335" s="11" t="str">
        <f>""</f>
        <v/>
      </c>
      <c r="E335" s="11" t="str">
        <f>""</f>
        <v/>
      </c>
      <c r="F335" s="12">
        <v>4982899.17</v>
      </c>
    </row>
    <row r="336" spans="1:6" x14ac:dyDescent="0.25">
      <c r="A336" s="11" t="str">
        <f>"5240"</f>
        <v>5240</v>
      </c>
      <c r="B336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36" s="11" t="str">
        <f>""</f>
        <v/>
      </c>
      <c r="D336" s="11" t="str">
        <f>""</f>
        <v/>
      </c>
      <c r="E336" s="11" t="str">
        <f>""</f>
        <v/>
      </c>
      <c r="F336" s="12">
        <v>20663843.260000002</v>
      </c>
    </row>
    <row r="337" spans="1:6" x14ac:dyDescent="0.25">
      <c r="A337" s="11" t="str">
        <f>"5241"</f>
        <v>5241</v>
      </c>
      <c r="B337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C337" s="11" t="str">
        <f>""</f>
        <v/>
      </c>
      <c r="D337" s="11" t="str">
        <f>""</f>
        <v/>
      </c>
      <c r="E337" s="11" t="str">
        <f>""</f>
        <v/>
      </c>
      <c r="F337" s="12">
        <v>515803582.05000001</v>
      </c>
    </row>
    <row r="338" spans="1:6" x14ac:dyDescent="0.25">
      <c r="A338" s="11" t="str">
        <f>"5301"</f>
        <v>5301</v>
      </c>
      <c r="B338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38" s="11" t="str">
        <f>""</f>
        <v/>
      </c>
      <c r="D338" s="11" t="str">
        <f>""</f>
        <v/>
      </c>
      <c r="E338" s="11" t="str">
        <f>""</f>
        <v/>
      </c>
      <c r="F338" s="12">
        <v>771526670</v>
      </c>
    </row>
    <row r="339" spans="1:6" x14ac:dyDescent="0.25">
      <c r="A339" s="11" t="str">
        <f>"5303"</f>
        <v>5303</v>
      </c>
      <c r="B339" s="11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39" s="11" t="str">
        <f>""</f>
        <v/>
      </c>
      <c r="D339" s="11" t="str">
        <f>""</f>
        <v/>
      </c>
      <c r="E339" s="11" t="str">
        <f>""</f>
        <v/>
      </c>
      <c r="F339" s="12">
        <v>58332807.740000002</v>
      </c>
    </row>
    <row r="340" spans="1:6" x14ac:dyDescent="0.25">
      <c r="A340" s="11" t="str">
        <f>"5307"</f>
        <v>5307</v>
      </c>
      <c r="B340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40" s="11" t="str">
        <f>""</f>
        <v/>
      </c>
      <c r="D340" s="11" t="str">
        <f>""</f>
        <v/>
      </c>
      <c r="E340" s="11" t="str">
        <f>""</f>
        <v/>
      </c>
      <c r="F340" s="12">
        <v>170197099.50999999</v>
      </c>
    </row>
    <row r="341" spans="1:6" x14ac:dyDescent="0.25">
      <c r="A341" s="11" t="str">
        <f>"5451"</f>
        <v>5451</v>
      </c>
      <c r="B341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41" s="11" t="str">
        <f>""</f>
        <v/>
      </c>
      <c r="D341" s="11" t="str">
        <f>""</f>
        <v/>
      </c>
      <c r="E341" s="11" t="str">
        <f>""</f>
        <v/>
      </c>
      <c r="F341" s="12">
        <v>202685141.43000001</v>
      </c>
    </row>
    <row r="342" spans="1:6" x14ac:dyDescent="0.25">
      <c r="A342" s="11" t="str">
        <f>"5453"</f>
        <v>5453</v>
      </c>
      <c r="B342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42" s="11" t="str">
        <f>""</f>
        <v/>
      </c>
      <c r="D342" s="11" t="str">
        <f>""</f>
        <v/>
      </c>
      <c r="E342" s="11" t="str">
        <f>""</f>
        <v/>
      </c>
      <c r="F342" s="12">
        <v>108351993.13</v>
      </c>
    </row>
    <row r="343" spans="1:6" x14ac:dyDescent="0.25">
      <c r="A343" s="11" t="str">
        <f>"5455"</f>
        <v>5455</v>
      </c>
      <c r="B343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43" s="11" t="str">
        <f>""</f>
        <v/>
      </c>
      <c r="D343" s="11" t="str">
        <f>""</f>
        <v/>
      </c>
      <c r="E343" s="11" t="str">
        <f>""</f>
        <v/>
      </c>
      <c r="F343" s="12">
        <v>5047317490.8599997</v>
      </c>
    </row>
    <row r="344" spans="1:6" x14ac:dyDescent="0.25">
      <c r="A344" s="11" t="str">
        <f>"5456"</f>
        <v>5456</v>
      </c>
      <c r="B344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44" s="11" t="str">
        <f>""</f>
        <v/>
      </c>
      <c r="D344" s="11" t="str">
        <f>""</f>
        <v/>
      </c>
      <c r="E344" s="11" t="str">
        <f>""</f>
        <v/>
      </c>
      <c r="F344" s="12">
        <v>288139.96000000002</v>
      </c>
    </row>
    <row r="345" spans="1:6" x14ac:dyDescent="0.25">
      <c r="A345" s="11" t="str">
        <f>"5457"</f>
        <v>5457</v>
      </c>
      <c r="B345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45" s="11" t="str">
        <f>""</f>
        <v/>
      </c>
      <c r="D345" s="11" t="str">
        <f>""</f>
        <v/>
      </c>
      <c r="E345" s="11" t="str">
        <f>""</f>
        <v/>
      </c>
      <c r="F345" s="12">
        <v>56036550.950000003</v>
      </c>
    </row>
    <row r="346" spans="1:6" x14ac:dyDescent="0.25">
      <c r="A346" s="11" t="str">
        <f>"5459"</f>
        <v>5459</v>
      </c>
      <c r="B346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46" s="11" t="str">
        <f>""</f>
        <v/>
      </c>
      <c r="D346" s="11" t="str">
        <f>""</f>
        <v/>
      </c>
      <c r="E346" s="11" t="str">
        <f>""</f>
        <v/>
      </c>
      <c r="F346" s="12">
        <v>31430490.75</v>
      </c>
    </row>
    <row r="347" spans="1:6" x14ac:dyDescent="0.25">
      <c r="A347" s="11" t="str">
        <f>"5461"</f>
        <v>5461</v>
      </c>
      <c r="B347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47" s="11" t="str">
        <f>""</f>
        <v/>
      </c>
      <c r="D347" s="11" t="str">
        <f>""</f>
        <v/>
      </c>
      <c r="E347" s="11" t="str">
        <f>""</f>
        <v/>
      </c>
      <c r="F347" s="12">
        <v>303399.12</v>
      </c>
    </row>
    <row r="348" spans="1:6" x14ac:dyDescent="0.25">
      <c r="A348" s="11" t="str">
        <f>"5465"</f>
        <v>5465</v>
      </c>
      <c r="B348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48" s="11" t="str">
        <f>""</f>
        <v/>
      </c>
      <c r="D348" s="11" t="str">
        <f>""</f>
        <v/>
      </c>
      <c r="E348" s="11" t="str">
        <f>""</f>
        <v/>
      </c>
      <c r="F348" s="12">
        <v>39535115.799999997</v>
      </c>
    </row>
    <row r="349" spans="1:6" x14ac:dyDescent="0.25">
      <c r="A349" s="11" t="str">
        <f>"5530"</f>
        <v>5530</v>
      </c>
      <c r="B349" s="11" t="str">
        <f>"Расходы по купле-продаже иностранной валюты"</f>
        <v>Расходы по купле-продаже иностранной валюты</v>
      </c>
      <c r="C349" s="11" t="str">
        <f>""</f>
        <v/>
      </c>
      <c r="D349" s="11" t="str">
        <f>""</f>
        <v/>
      </c>
      <c r="E349" s="11" t="str">
        <f>""</f>
        <v/>
      </c>
      <c r="F349" s="12">
        <v>1658961828.25</v>
      </c>
    </row>
    <row r="350" spans="1:6" x14ac:dyDescent="0.25">
      <c r="A350" s="11" t="str">
        <f>"5570"</f>
        <v>5570</v>
      </c>
      <c r="B350" s="1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350" s="11" t="str">
        <f>""</f>
        <v/>
      </c>
      <c r="D350" s="11" t="str">
        <f>""</f>
        <v/>
      </c>
      <c r="E350" s="11" t="str">
        <f>""</f>
        <v/>
      </c>
      <c r="F350" s="12">
        <v>211991035.5</v>
      </c>
    </row>
    <row r="351" spans="1:6" x14ac:dyDescent="0.25">
      <c r="A351" s="11" t="str">
        <f>"5601"</f>
        <v>5601</v>
      </c>
      <c r="B351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51" s="11" t="str">
        <f>""</f>
        <v/>
      </c>
      <c r="D351" s="11" t="str">
        <f>""</f>
        <v/>
      </c>
      <c r="E351" s="11" t="str">
        <f>""</f>
        <v/>
      </c>
      <c r="F351" s="12">
        <v>40698662.270000003</v>
      </c>
    </row>
    <row r="352" spans="1:6" x14ac:dyDescent="0.25">
      <c r="A352" s="11" t="str">
        <f>"5602"</f>
        <v>5602</v>
      </c>
      <c r="B352" s="11" t="str">
        <f>"Комиссионные расходы по полученным агентским услугам"</f>
        <v>Комиссионные расходы по полученным агентским услугам</v>
      </c>
      <c r="C352" s="11" t="str">
        <f>""</f>
        <v/>
      </c>
      <c r="D352" s="11" t="str">
        <f>""</f>
        <v/>
      </c>
      <c r="E352" s="11" t="str">
        <f>""</f>
        <v/>
      </c>
      <c r="F352" s="12">
        <v>129989674.51000001</v>
      </c>
    </row>
    <row r="353" spans="1:6" x14ac:dyDescent="0.25">
      <c r="A353" s="11" t="str">
        <f>"5608"</f>
        <v>5608</v>
      </c>
      <c r="B353" s="11" t="str">
        <f>"Прочие комиссионные расходы"</f>
        <v>Прочие комиссионные расходы</v>
      </c>
      <c r="C353" s="11" t="str">
        <f>""</f>
        <v/>
      </c>
      <c r="D353" s="11" t="str">
        <f>""</f>
        <v/>
      </c>
      <c r="E353" s="11" t="str">
        <f>""</f>
        <v/>
      </c>
      <c r="F353" s="12">
        <v>64163713.990000002</v>
      </c>
    </row>
    <row r="354" spans="1:6" x14ac:dyDescent="0.25">
      <c r="A354" s="11" t="str">
        <f>"5609"</f>
        <v>5609</v>
      </c>
      <c r="B354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54" s="11" t="str">
        <f>""</f>
        <v/>
      </c>
      <c r="D354" s="11" t="str">
        <f>""</f>
        <v/>
      </c>
      <c r="E354" s="11" t="str">
        <f>""</f>
        <v/>
      </c>
      <c r="F354" s="12">
        <v>15398251.35</v>
      </c>
    </row>
    <row r="355" spans="1:6" x14ac:dyDescent="0.25">
      <c r="A355" s="11" t="str">
        <f>"5703"</f>
        <v>5703</v>
      </c>
      <c r="B355" s="11" t="str">
        <f>"Расходы от переоценки иностранной валюты"</f>
        <v>Расходы от переоценки иностранной валюты</v>
      </c>
      <c r="C355" s="11" t="str">
        <f>""</f>
        <v/>
      </c>
      <c r="D355" s="11" t="str">
        <f>""</f>
        <v/>
      </c>
      <c r="E355" s="11" t="str">
        <f>""</f>
        <v/>
      </c>
      <c r="F355" s="12">
        <v>403833348076.14001</v>
      </c>
    </row>
    <row r="356" spans="1:6" x14ac:dyDescent="0.25">
      <c r="A356" s="11" t="str">
        <f>"5709"</f>
        <v>5709</v>
      </c>
      <c r="B356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56" s="11" t="str">
        <f>""</f>
        <v/>
      </c>
      <c r="D356" s="11" t="str">
        <f>""</f>
        <v/>
      </c>
      <c r="E356" s="11" t="str">
        <f>""</f>
        <v/>
      </c>
      <c r="F356" s="12">
        <v>10523382.01</v>
      </c>
    </row>
    <row r="357" spans="1:6" x14ac:dyDescent="0.25">
      <c r="A357" s="11" t="str">
        <f>"5721"</f>
        <v>5721</v>
      </c>
      <c r="B357" s="11" t="str">
        <f>"Расходы по оплате труда"</f>
        <v>Расходы по оплате труда</v>
      </c>
      <c r="C357" s="11" t="str">
        <f>""</f>
        <v/>
      </c>
      <c r="D357" s="11" t="str">
        <f>""</f>
        <v/>
      </c>
      <c r="E357" s="11" t="str">
        <f>""</f>
        <v/>
      </c>
      <c r="F357" s="12">
        <v>4814260923.5299997</v>
      </c>
    </row>
    <row r="358" spans="1:6" x14ac:dyDescent="0.25">
      <c r="A358" s="11" t="str">
        <f>"5722"</f>
        <v>5722</v>
      </c>
      <c r="B358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58" s="11" t="str">
        <f>""</f>
        <v/>
      </c>
      <c r="D358" s="11" t="str">
        <f>""</f>
        <v/>
      </c>
      <c r="E358" s="11" t="str">
        <f>""</f>
        <v/>
      </c>
      <c r="F358" s="12">
        <v>187410942.99000001</v>
      </c>
    </row>
    <row r="359" spans="1:6" x14ac:dyDescent="0.25">
      <c r="A359" s="11" t="str">
        <f>"5729"</f>
        <v>5729</v>
      </c>
      <c r="B359" s="11" t="str">
        <f>"Прочие выплаты"</f>
        <v>Прочие выплаты</v>
      </c>
      <c r="C359" s="11" t="str">
        <f>""</f>
        <v/>
      </c>
      <c r="D359" s="11" t="str">
        <f>""</f>
        <v/>
      </c>
      <c r="E359" s="11" t="str">
        <f>""</f>
        <v/>
      </c>
      <c r="F359" s="12">
        <v>134187916.31999999</v>
      </c>
    </row>
    <row r="360" spans="1:6" x14ac:dyDescent="0.25">
      <c r="A360" s="11" t="str">
        <f>"5741"</f>
        <v>5741</v>
      </c>
      <c r="B360" s="11" t="str">
        <f>"Транспортные расходы"</f>
        <v>Транспортные расходы</v>
      </c>
      <c r="C360" s="11" t="str">
        <f>""</f>
        <v/>
      </c>
      <c r="D360" s="11" t="str">
        <f>""</f>
        <v/>
      </c>
      <c r="E360" s="11" t="str">
        <f>""</f>
        <v/>
      </c>
      <c r="F360" s="12">
        <v>36037276.82</v>
      </c>
    </row>
    <row r="361" spans="1:6" x14ac:dyDescent="0.25">
      <c r="A361" s="11" t="str">
        <f>"5742"</f>
        <v>5742</v>
      </c>
      <c r="B361" s="11" t="str">
        <f>"Административные расходы"</f>
        <v>Административные расходы</v>
      </c>
      <c r="C361" s="11" t="str">
        <f>""</f>
        <v/>
      </c>
      <c r="D361" s="11" t="str">
        <f>""</f>
        <v/>
      </c>
      <c r="E361" s="11" t="str">
        <f>""</f>
        <v/>
      </c>
      <c r="F361" s="12">
        <v>634919476.23000002</v>
      </c>
    </row>
    <row r="362" spans="1:6" x14ac:dyDescent="0.25">
      <c r="A362" s="11" t="str">
        <f>"5743"</f>
        <v>5743</v>
      </c>
      <c r="B362" s="11" t="str">
        <f>"Расходы на инкассацию"</f>
        <v>Расходы на инкассацию</v>
      </c>
      <c r="C362" s="11" t="str">
        <f>""</f>
        <v/>
      </c>
      <c r="D362" s="11" t="str">
        <f>""</f>
        <v/>
      </c>
      <c r="E362" s="11" t="str">
        <f>""</f>
        <v/>
      </c>
      <c r="F362" s="12">
        <v>39426286.5</v>
      </c>
    </row>
    <row r="363" spans="1:6" x14ac:dyDescent="0.25">
      <c r="A363" s="11" t="str">
        <f>"5744"</f>
        <v>5744</v>
      </c>
      <c r="B363" s="11" t="str">
        <f>"Расходы на ремонт"</f>
        <v>Расходы на ремонт</v>
      </c>
      <c r="C363" s="11" t="str">
        <f>""</f>
        <v/>
      </c>
      <c r="D363" s="11" t="str">
        <f>""</f>
        <v/>
      </c>
      <c r="E363" s="11" t="str">
        <f>""</f>
        <v/>
      </c>
      <c r="F363" s="12">
        <v>10317197.140000001</v>
      </c>
    </row>
    <row r="364" spans="1:6" x14ac:dyDescent="0.25">
      <c r="A364" s="11" t="str">
        <f>"5745"</f>
        <v>5745</v>
      </c>
      <c r="B364" s="11" t="str">
        <f>"Расходы на рекламу"</f>
        <v>Расходы на рекламу</v>
      </c>
      <c r="C364" s="11" t="str">
        <f>""</f>
        <v/>
      </c>
      <c r="D364" s="11" t="str">
        <f>""</f>
        <v/>
      </c>
      <c r="E364" s="11" t="str">
        <f>""</f>
        <v/>
      </c>
      <c r="F364" s="12">
        <v>107104833.19</v>
      </c>
    </row>
    <row r="365" spans="1:6" x14ac:dyDescent="0.25">
      <c r="A365" s="11" t="str">
        <f>"5746"</f>
        <v>5746</v>
      </c>
      <c r="B365" s="11" t="str">
        <f>"Расходы на охрану и сигнализацию"</f>
        <v>Расходы на охрану и сигнализацию</v>
      </c>
      <c r="C365" s="11" t="str">
        <f>""</f>
        <v/>
      </c>
      <c r="D365" s="11" t="str">
        <f>""</f>
        <v/>
      </c>
      <c r="E365" s="11" t="str">
        <f>""</f>
        <v/>
      </c>
      <c r="F365" s="12">
        <v>122518580.70999999</v>
      </c>
    </row>
    <row r="366" spans="1:6" x14ac:dyDescent="0.25">
      <c r="A366" s="11" t="str">
        <f>"5747"</f>
        <v>5747</v>
      </c>
      <c r="B366" s="11" t="str">
        <f>"Представительские расходы"</f>
        <v>Представительские расходы</v>
      </c>
      <c r="C366" s="11" t="str">
        <f>""</f>
        <v/>
      </c>
      <c r="D366" s="11" t="str">
        <f>""</f>
        <v/>
      </c>
      <c r="E366" s="11" t="str">
        <f>""</f>
        <v/>
      </c>
      <c r="F366" s="12">
        <v>14235669.800000001</v>
      </c>
    </row>
    <row r="367" spans="1:6" x14ac:dyDescent="0.25">
      <c r="A367" s="11" t="str">
        <f>"5748"</f>
        <v>5748</v>
      </c>
      <c r="B367" s="11" t="str">
        <f>"Прочие общехозяйственные расходы"</f>
        <v>Прочие общехозяйственные расходы</v>
      </c>
      <c r="C367" s="11" t="str">
        <f>""</f>
        <v/>
      </c>
      <c r="D367" s="11" t="str">
        <f>""</f>
        <v/>
      </c>
      <c r="E367" s="11" t="str">
        <f>""</f>
        <v/>
      </c>
      <c r="F367" s="12">
        <v>98495325.700000003</v>
      </c>
    </row>
    <row r="368" spans="1:6" x14ac:dyDescent="0.25">
      <c r="A368" s="11" t="str">
        <f>"5749"</f>
        <v>5749</v>
      </c>
      <c r="B368" s="11" t="str">
        <f>"Расходы на служебные командировки"</f>
        <v>Расходы на служебные командировки</v>
      </c>
      <c r="C368" s="11" t="str">
        <f>""</f>
        <v/>
      </c>
      <c r="D368" s="11" t="str">
        <f>""</f>
        <v/>
      </c>
      <c r="E368" s="11" t="str">
        <f>""</f>
        <v/>
      </c>
      <c r="F368" s="12">
        <v>49770166.829999998</v>
      </c>
    </row>
    <row r="369" spans="1:6" x14ac:dyDescent="0.25">
      <c r="A369" s="11" t="str">
        <f>"5750"</f>
        <v>5750</v>
      </c>
      <c r="B369" s="11" t="str">
        <f>"Расходы по аудиту и консультационным услугам"</f>
        <v>Расходы по аудиту и консультационным услугам</v>
      </c>
      <c r="C369" s="11" t="str">
        <f>""</f>
        <v/>
      </c>
      <c r="D369" s="11" t="str">
        <f>""</f>
        <v/>
      </c>
      <c r="E369" s="11" t="str">
        <f>""</f>
        <v/>
      </c>
      <c r="F369" s="12">
        <v>63836110.740000002</v>
      </c>
    </row>
    <row r="370" spans="1:6" x14ac:dyDescent="0.25">
      <c r="A370" s="11" t="str">
        <f>"5752"</f>
        <v>5752</v>
      </c>
      <c r="B370" s="11" t="str">
        <f>"Расходы по страхованию"</f>
        <v>Расходы по страхованию</v>
      </c>
      <c r="C370" s="11" t="str">
        <f>""</f>
        <v/>
      </c>
      <c r="D370" s="11" t="str">
        <f>""</f>
        <v/>
      </c>
      <c r="E370" s="11" t="str">
        <f>""</f>
        <v/>
      </c>
      <c r="F370" s="12">
        <v>35304352.100000001</v>
      </c>
    </row>
    <row r="371" spans="1:6" x14ac:dyDescent="0.25">
      <c r="A371" s="11" t="str">
        <f>"5753"</f>
        <v>5753</v>
      </c>
      <c r="B371" s="11" t="str">
        <f>"Расходы по услугам связи"</f>
        <v>Расходы по услугам связи</v>
      </c>
      <c r="C371" s="11" t="str">
        <f>""</f>
        <v/>
      </c>
      <c r="D371" s="11" t="str">
        <f>""</f>
        <v/>
      </c>
      <c r="E371" s="11" t="str">
        <f>""</f>
        <v/>
      </c>
      <c r="F371" s="12">
        <v>202977247.63</v>
      </c>
    </row>
    <row r="372" spans="1:6" x14ac:dyDescent="0.25">
      <c r="A372" s="11" t="str">
        <f>"5754"</f>
        <v>5754</v>
      </c>
      <c r="B372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72" s="11" t="str">
        <f>""</f>
        <v/>
      </c>
      <c r="D372" s="11" t="str">
        <f>""</f>
        <v/>
      </c>
      <c r="E372" s="11" t="str">
        <f>""</f>
        <v/>
      </c>
      <c r="F372" s="12">
        <v>97722309.579999998</v>
      </c>
    </row>
    <row r="373" spans="1:6" x14ac:dyDescent="0.25">
      <c r="A373" s="11" t="str">
        <f>"5761"</f>
        <v>5761</v>
      </c>
      <c r="B373" s="11" t="str">
        <f>"Налог на добавленную стоимость"</f>
        <v>Налог на добавленную стоимость</v>
      </c>
      <c r="C373" s="11" t="str">
        <f>""</f>
        <v/>
      </c>
      <c r="D373" s="11" t="str">
        <f>""</f>
        <v/>
      </c>
      <c r="E373" s="11" t="str">
        <f>""</f>
        <v/>
      </c>
      <c r="F373" s="12">
        <v>36785718.270000003</v>
      </c>
    </row>
    <row r="374" spans="1:6" x14ac:dyDescent="0.25">
      <c r="A374" s="11" t="str">
        <f>"5763"</f>
        <v>5763</v>
      </c>
      <c r="B374" s="11" t="str">
        <f>"Социальный налог"</f>
        <v>Социальный налог</v>
      </c>
      <c r="C374" s="11" t="str">
        <f>""</f>
        <v/>
      </c>
      <c r="D374" s="11" t="str">
        <f>""</f>
        <v/>
      </c>
      <c r="E374" s="11" t="str">
        <f>""</f>
        <v/>
      </c>
      <c r="F374" s="12">
        <v>290736418.95999998</v>
      </c>
    </row>
    <row r="375" spans="1:6" x14ac:dyDescent="0.25">
      <c r="A375" s="11" t="str">
        <f>"5764"</f>
        <v>5764</v>
      </c>
      <c r="B375" s="11" t="str">
        <f>"Земельный налог"</f>
        <v>Земельный налог</v>
      </c>
      <c r="C375" s="11" t="str">
        <f>""</f>
        <v/>
      </c>
      <c r="D375" s="11" t="str">
        <f>""</f>
        <v/>
      </c>
      <c r="E375" s="11" t="str">
        <f>""</f>
        <v/>
      </c>
      <c r="F375" s="12">
        <v>82046</v>
      </c>
    </row>
    <row r="376" spans="1:6" x14ac:dyDescent="0.25">
      <c r="A376" s="11" t="str">
        <f>"5765"</f>
        <v>5765</v>
      </c>
      <c r="B376" s="11" t="str">
        <f>"Налог на имущество юридических лиц"</f>
        <v>Налог на имущество юридических лиц</v>
      </c>
      <c r="C376" s="11" t="str">
        <f>""</f>
        <v/>
      </c>
      <c r="D376" s="11" t="str">
        <f>""</f>
        <v/>
      </c>
      <c r="E376" s="11" t="str">
        <f>""</f>
        <v/>
      </c>
      <c r="F376" s="12">
        <v>9343825</v>
      </c>
    </row>
    <row r="377" spans="1:6" x14ac:dyDescent="0.25">
      <c r="A377" s="11" t="str">
        <f>"5768"</f>
        <v>5768</v>
      </c>
      <c r="B377" s="11" t="str">
        <f>"Прочие налоги и обязательные платежи в бюджет"</f>
        <v>Прочие налоги и обязательные платежи в бюджет</v>
      </c>
      <c r="C377" s="11" t="str">
        <f>""</f>
        <v/>
      </c>
      <c r="D377" s="11" t="str">
        <f>""</f>
        <v/>
      </c>
      <c r="E377" s="11" t="str">
        <f>""</f>
        <v/>
      </c>
      <c r="F377" s="12">
        <v>1344449.48</v>
      </c>
    </row>
    <row r="378" spans="1:6" x14ac:dyDescent="0.25">
      <c r="A378" s="11" t="str">
        <f>"5781"</f>
        <v>5781</v>
      </c>
      <c r="B378" s="11" t="str">
        <f>"Расходы по амортизации зданий и сооружений"</f>
        <v>Расходы по амортизации зданий и сооружений</v>
      </c>
      <c r="C378" s="11" t="str">
        <f>""</f>
        <v/>
      </c>
      <c r="D378" s="11" t="str">
        <f>""</f>
        <v/>
      </c>
      <c r="E378" s="11" t="str">
        <f>""</f>
        <v/>
      </c>
      <c r="F378" s="12">
        <v>7366815.75</v>
      </c>
    </row>
    <row r="379" spans="1:6" x14ac:dyDescent="0.25">
      <c r="A379" s="11" t="str">
        <f>"5782"</f>
        <v>5782</v>
      </c>
      <c r="B379" s="11" t="str">
        <f>"Расходы по амортизации компьютерного оборудования"</f>
        <v>Расходы по амортизации компьютерного оборудования</v>
      </c>
      <c r="C379" s="11" t="str">
        <f>""</f>
        <v/>
      </c>
      <c r="D379" s="11" t="str">
        <f>""</f>
        <v/>
      </c>
      <c r="E379" s="11" t="str">
        <f>""</f>
        <v/>
      </c>
      <c r="F379" s="12">
        <v>91472977.25</v>
      </c>
    </row>
    <row r="380" spans="1:6" x14ac:dyDescent="0.25">
      <c r="A380" s="11" t="str">
        <f>"5783"</f>
        <v>5783</v>
      </c>
      <c r="B380" s="11" t="str">
        <f>"Расходы по амортизации прочих основных средств"</f>
        <v>Расходы по амортизации прочих основных средств</v>
      </c>
      <c r="C380" s="11" t="str">
        <f>""</f>
        <v/>
      </c>
      <c r="D380" s="11" t="str">
        <f>""</f>
        <v/>
      </c>
      <c r="E380" s="11" t="str">
        <f>""</f>
        <v/>
      </c>
      <c r="F380" s="12">
        <v>120152687.12</v>
      </c>
    </row>
    <row r="381" spans="1:6" x14ac:dyDescent="0.25">
      <c r="A381" s="11" t="str">
        <f>"5784"</f>
        <v>5784</v>
      </c>
      <c r="B381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81" s="11" t="str">
        <f>""</f>
        <v/>
      </c>
      <c r="D381" s="11" t="str">
        <f>""</f>
        <v/>
      </c>
      <c r="E381" s="11" t="str">
        <f>""</f>
        <v/>
      </c>
      <c r="F381" s="12">
        <v>138580884.00999999</v>
      </c>
    </row>
    <row r="382" spans="1:6" x14ac:dyDescent="0.25">
      <c r="A382" s="11" t="str">
        <f>"5786"</f>
        <v>5786</v>
      </c>
      <c r="B382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82" s="11" t="str">
        <f>""</f>
        <v/>
      </c>
      <c r="D382" s="11" t="str">
        <f>""</f>
        <v/>
      </c>
      <c r="E382" s="11" t="str">
        <f>""</f>
        <v/>
      </c>
      <c r="F382" s="12">
        <v>27050767.420000002</v>
      </c>
    </row>
    <row r="383" spans="1:6" x14ac:dyDescent="0.25">
      <c r="A383" s="11" t="str">
        <f>"5787"</f>
        <v>5787</v>
      </c>
      <c r="B383" s="11" t="str">
        <f>"Расходы по амортизации транспортных средств"</f>
        <v>Расходы по амортизации транспортных средств</v>
      </c>
      <c r="C383" s="11" t="str">
        <f>""</f>
        <v/>
      </c>
      <c r="D383" s="11" t="str">
        <f>""</f>
        <v/>
      </c>
      <c r="E383" s="11" t="str">
        <f>""</f>
        <v/>
      </c>
      <c r="F383" s="12">
        <v>2463978.21</v>
      </c>
    </row>
    <row r="384" spans="1:6" x14ac:dyDescent="0.25">
      <c r="A384" s="11" t="str">
        <f>"5788"</f>
        <v>5788</v>
      </c>
      <c r="B384" s="11" t="str">
        <f>"Расходы по амортизации нематериальных активов"</f>
        <v>Расходы по амортизации нематериальных активов</v>
      </c>
      <c r="C384" s="11" t="str">
        <f>""</f>
        <v/>
      </c>
      <c r="D384" s="11" t="str">
        <f>""</f>
        <v/>
      </c>
      <c r="E384" s="11" t="str">
        <f>""</f>
        <v/>
      </c>
      <c r="F384" s="12">
        <v>117835089.48999999</v>
      </c>
    </row>
    <row r="385" spans="1:6" x14ac:dyDescent="0.25">
      <c r="A385" s="11" t="str">
        <f>"5895"</f>
        <v>5895</v>
      </c>
      <c r="B385" s="11" t="str">
        <f>"Расходы по операциям своп"</f>
        <v>Расходы по операциям своп</v>
      </c>
      <c r="C385" s="11" t="str">
        <f>""</f>
        <v/>
      </c>
      <c r="D385" s="11" t="str">
        <f>""</f>
        <v/>
      </c>
      <c r="E385" s="11" t="str">
        <f>""</f>
        <v/>
      </c>
      <c r="F385" s="12">
        <v>840170245.96000004</v>
      </c>
    </row>
    <row r="386" spans="1:6" x14ac:dyDescent="0.25">
      <c r="A386" s="11" t="str">
        <f>"5900"</f>
        <v>5900</v>
      </c>
      <c r="B386" s="11" t="str">
        <f>"Неустойка (штраф, пеня)"</f>
        <v>Неустойка (штраф, пеня)</v>
      </c>
      <c r="C386" s="11" t="str">
        <f>""</f>
        <v/>
      </c>
      <c r="D386" s="11" t="str">
        <f>""</f>
        <v/>
      </c>
      <c r="E386" s="11" t="str">
        <f>""</f>
        <v/>
      </c>
      <c r="F386" s="12">
        <v>231516.86</v>
      </c>
    </row>
    <row r="387" spans="1:6" x14ac:dyDescent="0.25">
      <c r="A387" s="11" t="str">
        <f>"5921"</f>
        <v>5921</v>
      </c>
      <c r="B387" s="11" t="str">
        <f>"Прочие расходы от банковской деятельности"</f>
        <v>Прочие расходы от банковской деятельности</v>
      </c>
      <c r="C387" s="11" t="str">
        <f>""</f>
        <v/>
      </c>
      <c r="D387" s="11" t="str">
        <f>""</f>
        <v/>
      </c>
      <c r="E387" s="11" t="str">
        <f>""</f>
        <v/>
      </c>
      <c r="F387" s="12">
        <v>98835319.390000001</v>
      </c>
    </row>
    <row r="388" spans="1:6" x14ac:dyDescent="0.25">
      <c r="A388" s="11" t="str">
        <f>"5922"</f>
        <v>5922</v>
      </c>
      <c r="B388" s="11" t="str">
        <f>"Прочие расходы от неосновной деятельности"</f>
        <v>Прочие расходы от неосновной деятельности</v>
      </c>
      <c r="C388" s="11" t="str">
        <f>""</f>
        <v/>
      </c>
      <c r="D388" s="11" t="str">
        <f>""</f>
        <v/>
      </c>
      <c r="E388" s="11" t="str">
        <f>""</f>
        <v/>
      </c>
      <c r="F388" s="12">
        <v>112393065.41</v>
      </c>
    </row>
    <row r="389" spans="1:6" x14ac:dyDescent="0.25">
      <c r="A389" s="11" t="str">
        <f>"5923"</f>
        <v>5923</v>
      </c>
      <c r="B389" s="11" t="str">
        <f>"Расходы по аренде"</f>
        <v>Расходы по аренде</v>
      </c>
      <c r="C389" s="11" t="str">
        <f>""</f>
        <v/>
      </c>
      <c r="D389" s="11" t="str">
        <f>""</f>
        <v/>
      </c>
      <c r="E389" s="11" t="str">
        <f>""</f>
        <v/>
      </c>
      <c r="F389" s="12">
        <v>269129650.72000003</v>
      </c>
    </row>
    <row r="390" spans="1:6" x14ac:dyDescent="0.25">
      <c r="A390" s="11" t="str">
        <f>"5999"</f>
        <v>5999</v>
      </c>
      <c r="B390" s="11" t="str">
        <f>"Корпоративный подоходный налог"</f>
        <v>Корпоративный подоходный налог</v>
      </c>
      <c r="C390" s="11" t="str">
        <f>""</f>
        <v/>
      </c>
      <c r="D390" s="11" t="str">
        <f>""</f>
        <v/>
      </c>
      <c r="E390" s="11" t="str">
        <f>""</f>
        <v/>
      </c>
      <c r="F390" s="12">
        <v>3402815000</v>
      </c>
    </row>
    <row r="391" spans="1:6" x14ac:dyDescent="0.25">
      <c r="A391" s="11" t="str">
        <f>"6020"</f>
        <v>6020</v>
      </c>
      <c r="B391" s="1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391" s="11" t="str">
        <f>""</f>
        <v/>
      </c>
      <c r="D391" s="11" t="str">
        <f>""</f>
        <v/>
      </c>
      <c r="E391" s="11" t="str">
        <f>""</f>
        <v/>
      </c>
      <c r="F391" s="12">
        <v>471220775.11000001</v>
      </c>
    </row>
    <row r="392" spans="1:6" x14ac:dyDescent="0.25">
      <c r="A392" s="11" t="str">
        <f>"6055"</f>
        <v>6055</v>
      </c>
      <c r="B392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392" s="11" t="str">
        <f>""</f>
        <v/>
      </c>
      <c r="D392" s="11" t="str">
        <f>""</f>
        <v/>
      </c>
      <c r="E392" s="11" t="str">
        <f>""</f>
        <v/>
      </c>
      <c r="F392" s="12">
        <v>2375274436.5300002</v>
      </c>
    </row>
    <row r="393" spans="1:6" x14ac:dyDescent="0.25">
      <c r="A393" s="11" t="str">
        <f>"6075"</f>
        <v>6075</v>
      </c>
      <c r="B393" s="11" t="str">
        <f>"Возможные требования по принятым гарантиям"</f>
        <v>Возможные требования по принятым гарантиям</v>
      </c>
      <c r="C393" s="11" t="str">
        <f>""</f>
        <v/>
      </c>
      <c r="D393" s="11" t="str">
        <f>""</f>
        <v/>
      </c>
      <c r="E393" s="11" t="str">
        <f>""</f>
        <v/>
      </c>
      <c r="F393" s="12">
        <v>135510428079.22</v>
      </c>
    </row>
    <row r="394" spans="1:6" x14ac:dyDescent="0.25">
      <c r="A394" s="11" t="str">
        <f>"6126"</f>
        <v>6126</v>
      </c>
      <c r="B394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394" s="11" t="str">
        <f>""</f>
        <v/>
      </c>
      <c r="D394" s="11" t="str">
        <f>""</f>
        <v/>
      </c>
      <c r="E394" s="11" t="str">
        <f>""</f>
        <v/>
      </c>
      <c r="F394" s="12">
        <v>10280720650.540001</v>
      </c>
    </row>
    <row r="395" spans="1:6" x14ac:dyDescent="0.25">
      <c r="A395" s="11" t="str">
        <f>"6405"</f>
        <v>6405</v>
      </c>
      <c r="B395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C395" s="11" t="str">
        <f>""</f>
        <v/>
      </c>
      <c r="D395" s="11" t="str">
        <f>""</f>
        <v/>
      </c>
      <c r="E395" s="11" t="str">
        <f>""</f>
        <v/>
      </c>
      <c r="F395" s="12">
        <v>19799235486.02</v>
      </c>
    </row>
    <row r="396" spans="1:6" x14ac:dyDescent="0.25">
      <c r="A396" s="11" t="str">
        <f>"6520"</f>
        <v>6520</v>
      </c>
      <c r="B396" s="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396" s="11" t="str">
        <f>""</f>
        <v/>
      </c>
      <c r="D396" s="11" t="str">
        <f>""</f>
        <v/>
      </c>
      <c r="E396" s="11" t="str">
        <f>""</f>
        <v/>
      </c>
      <c r="F396" s="12">
        <v>471220775.11000001</v>
      </c>
    </row>
    <row r="397" spans="1:6" x14ac:dyDescent="0.25">
      <c r="A397" s="11" t="str">
        <f>"6555"</f>
        <v>6555</v>
      </c>
      <c r="B397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397" s="11" t="str">
        <f>""</f>
        <v/>
      </c>
      <c r="D397" s="11" t="str">
        <f>""</f>
        <v/>
      </c>
      <c r="E397" s="11" t="str">
        <f>""</f>
        <v/>
      </c>
      <c r="F397" s="12">
        <v>2375274436.5300002</v>
      </c>
    </row>
    <row r="398" spans="1:6" x14ac:dyDescent="0.25">
      <c r="A398" s="11" t="str">
        <f>"6575"</f>
        <v>6575</v>
      </c>
      <c r="B398" s="11" t="str">
        <f>"Возможное уменьшение требований по принятым гарантиям"</f>
        <v>Возможное уменьшение требований по принятым гарантиям</v>
      </c>
      <c r="C398" s="11" t="str">
        <f>""</f>
        <v/>
      </c>
      <c r="D398" s="11" t="str">
        <f>""</f>
        <v/>
      </c>
      <c r="E398" s="11" t="str">
        <f>""</f>
        <v/>
      </c>
      <c r="F398" s="12">
        <v>135510428079.22</v>
      </c>
    </row>
    <row r="399" spans="1:6" x14ac:dyDescent="0.25">
      <c r="A399" s="11" t="str">
        <f>"6626"</f>
        <v>6626</v>
      </c>
      <c r="B399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399" s="11" t="str">
        <f>""</f>
        <v/>
      </c>
      <c r="D399" s="11" t="str">
        <f>""</f>
        <v/>
      </c>
      <c r="E399" s="11" t="str">
        <f>""</f>
        <v/>
      </c>
      <c r="F399" s="12">
        <v>10280720650.540001</v>
      </c>
    </row>
    <row r="400" spans="1:6" x14ac:dyDescent="0.25">
      <c r="A400" s="11" t="str">
        <f>"6905"</f>
        <v>6905</v>
      </c>
      <c r="B400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00" s="11" t="str">
        <f>""</f>
        <v/>
      </c>
      <c r="D400" s="11" t="str">
        <f>""</f>
        <v/>
      </c>
      <c r="E400" s="11" t="str">
        <f>""</f>
        <v/>
      </c>
      <c r="F400" s="12">
        <v>19672900000</v>
      </c>
    </row>
    <row r="401" spans="1:6" x14ac:dyDescent="0.25">
      <c r="A401" s="11" t="str">
        <f>"6999"</f>
        <v>6999</v>
      </c>
      <c r="B401" s="11" t="str">
        <f>"Позиция по сделкам с иностранной валютой"</f>
        <v>Позиция по сделкам с иностранной валютой</v>
      </c>
      <c r="C401" s="11" t="str">
        <f>""</f>
        <v/>
      </c>
      <c r="D401" s="11" t="str">
        <f>""</f>
        <v/>
      </c>
      <c r="E401" s="11" t="str">
        <f>""</f>
        <v/>
      </c>
      <c r="F401" s="12">
        <v>126335486.02</v>
      </c>
    </row>
    <row r="402" spans="1:6" x14ac:dyDescent="0.25">
      <c r="A402" s="11" t="str">
        <f>"7115"</f>
        <v>7115</v>
      </c>
      <c r="B402" s="11" t="str">
        <f>"Основные средства, реализуемые с рассрочкой платежа"</f>
        <v>Основные средства, реализуемые с рассрочкой платежа</v>
      </c>
      <c r="C402" s="11" t="str">
        <f>""</f>
        <v/>
      </c>
      <c r="D402" s="11" t="str">
        <f>""</f>
        <v/>
      </c>
      <c r="E402" s="11" t="str">
        <f>""</f>
        <v/>
      </c>
      <c r="F402" s="12">
        <v>18073000</v>
      </c>
    </row>
    <row r="403" spans="1:6" x14ac:dyDescent="0.25">
      <c r="A403" s="11" t="str">
        <f>"7220"</f>
        <v>7220</v>
      </c>
      <c r="B403" s="11" t="str">
        <f>"Арендованные активы"</f>
        <v>Арендованные активы</v>
      </c>
      <c r="C403" s="11" t="str">
        <f>""</f>
        <v/>
      </c>
      <c r="D403" s="11" t="str">
        <f>""</f>
        <v/>
      </c>
      <c r="E403" s="11" t="str">
        <f>""</f>
        <v/>
      </c>
      <c r="F403" s="12">
        <v>103924263.47</v>
      </c>
    </row>
    <row r="404" spans="1:6" x14ac:dyDescent="0.25">
      <c r="A404" s="11" t="str">
        <f>"7250"</f>
        <v>7250</v>
      </c>
      <c r="B404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04" s="11" t="str">
        <f>""</f>
        <v/>
      </c>
      <c r="D404" s="11" t="str">
        <f>""</f>
        <v/>
      </c>
      <c r="E404" s="11" t="str">
        <f>""</f>
        <v/>
      </c>
      <c r="F404" s="12">
        <v>91637843399.199997</v>
      </c>
    </row>
    <row r="405" spans="1:6" x14ac:dyDescent="0.25">
      <c r="A405" s="11" t="str">
        <f>"7303"</f>
        <v>7303</v>
      </c>
      <c r="B405" s="11" t="str">
        <f>"Платежные документы, не оплаченные в срок"</f>
        <v>Платежные документы, не оплаченные в срок</v>
      </c>
      <c r="C405" s="11" t="str">
        <f>""</f>
        <v/>
      </c>
      <c r="D405" s="11" t="str">
        <f>""</f>
        <v/>
      </c>
      <c r="E405" s="11" t="str">
        <f>""</f>
        <v/>
      </c>
      <c r="F405" s="12">
        <v>726638613106.46997</v>
      </c>
    </row>
    <row r="406" spans="1:6" x14ac:dyDescent="0.25">
      <c r="A406" s="11" t="str">
        <f>"7339"</f>
        <v>7339</v>
      </c>
      <c r="B406" s="11" t="str">
        <f>"Разные ценности и документы"</f>
        <v>Разные ценности и документы</v>
      </c>
      <c r="C406" s="11" t="str">
        <f>""</f>
        <v/>
      </c>
      <c r="D406" s="11" t="str">
        <f>""</f>
        <v/>
      </c>
      <c r="E406" s="11" t="str">
        <f>""</f>
        <v/>
      </c>
      <c r="F406" s="12">
        <v>199321</v>
      </c>
    </row>
    <row r="407" spans="1:6" x14ac:dyDescent="0.25">
      <c r="A407" s="11" t="str">
        <f>"7342"</f>
        <v>7342</v>
      </c>
      <c r="B407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07" s="11" t="str">
        <f>""</f>
        <v/>
      </c>
      <c r="D407" s="11" t="str">
        <f>""</f>
        <v/>
      </c>
      <c r="E407" s="11" t="str">
        <f>""</f>
        <v/>
      </c>
      <c r="F407" s="12">
        <v>15402</v>
      </c>
    </row>
  </sheetData>
  <sortState ref="A2:I403">
    <sortCondition ref="A2:A403"/>
    <sortCondition ref="C2:C403"/>
    <sortCondition ref="D2:D403"/>
    <sortCondition ref="E2:E403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2024-07-03T07:12:46Z</dcterms:created>
  <dcterms:modified xsi:type="dcterms:W3CDTF">2024-07-10T10:43:07Z</dcterms:modified>
</cp:coreProperties>
</file>