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Block\Финансовая отчетность Банка\!Форма 700Н, ПрудНормативы на отчетные даты\2022\01 07 2022\"/>
    </mc:Choice>
  </mc:AlternateContent>
  <bookViews>
    <workbookView xWindow="0" yWindow="0" windowWidth="20490" windowHeight="7620"/>
  </bookViews>
  <sheets>
    <sheet name="VREP_700_ND_RESPONDENTundefined" sheetId="1" r:id="rId1"/>
  </sheets>
  <calcPr calcId="162913"/>
</workbook>
</file>

<file path=xl/calcChain.xml><?xml version="1.0" encoding="utf-8"?>
<calcChain xmlns="http://schemas.openxmlformats.org/spreadsheetml/2006/main">
  <c r="A30" i="1" l="1"/>
  <c r="B30" i="1"/>
  <c r="C30" i="1"/>
  <c r="D30" i="1"/>
  <c r="E30" i="1"/>
  <c r="A69" i="1"/>
  <c r="B69" i="1"/>
  <c r="C69" i="1"/>
  <c r="D69" i="1"/>
  <c r="E69" i="1"/>
  <c r="A87" i="1"/>
  <c r="B87" i="1"/>
  <c r="C87" i="1"/>
  <c r="D87" i="1"/>
  <c r="E87" i="1"/>
  <c r="A126" i="1"/>
  <c r="B126" i="1"/>
  <c r="C126" i="1"/>
  <c r="D126" i="1"/>
  <c r="E126" i="1"/>
  <c r="A141" i="1"/>
  <c r="B141" i="1"/>
  <c r="C141" i="1"/>
  <c r="D141" i="1"/>
  <c r="E141" i="1"/>
  <c r="A163" i="1"/>
  <c r="B163" i="1"/>
  <c r="C163" i="1"/>
  <c r="D163" i="1"/>
  <c r="E163" i="1"/>
  <c r="A188" i="1"/>
  <c r="B188" i="1"/>
  <c r="C188" i="1"/>
  <c r="D188" i="1"/>
  <c r="E188" i="1"/>
  <c r="A225" i="1"/>
  <c r="B225" i="1"/>
  <c r="C225" i="1"/>
  <c r="D225" i="1"/>
  <c r="E225" i="1"/>
  <c r="A240" i="1"/>
  <c r="B240" i="1"/>
  <c r="C240" i="1"/>
  <c r="D240" i="1"/>
  <c r="E240" i="1"/>
  <c r="A267" i="1"/>
  <c r="B267" i="1"/>
  <c r="C267" i="1"/>
  <c r="D267" i="1"/>
  <c r="E267" i="1"/>
  <c r="A287" i="1"/>
  <c r="B287" i="1"/>
  <c r="C287" i="1"/>
  <c r="D287" i="1"/>
  <c r="E287" i="1"/>
  <c r="A306" i="1"/>
  <c r="B306" i="1"/>
  <c r="C306" i="1"/>
  <c r="D306" i="1"/>
  <c r="E306" i="1"/>
  <c r="A332" i="1"/>
  <c r="B332" i="1"/>
  <c r="C332" i="1"/>
  <c r="D332" i="1"/>
  <c r="E332" i="1"/>
  <c r="A366" i="1"/>
  <c r="B366" i="1"/>
  <c r="C366" i="1"/>
  <c r="D366" i="1"/>
  <c r="E366" i="1"/>
  <c r="A390" i="1"/>
  <c r="B390" i="1"/>
  <c r="C390" i="1"/>
  <c r="D390" i="1"/>
  <c r="E390" i="1"/>
  <c r="A406" i="1"/>
  <c r="B406" i="1"/>
  <c r="C406" i="1"/>
  <c r="D406" i="1"/>
  <c r="E406" i="1"/>
  <c r="A424" i="1"/>
  <c r="B424" i="1"/>
  <c r="C424" i="1"/>
  <c r="D424" i="1"/>
  <c r="E424" i="1"/>
  <c r="A14" i="1"/>
  <c r="B14" i="1"/>
  <c r="C14" i="1"/>
  <c r="D14" i="1"/>
  <c r="E14" i="1"/>
  <c r="A20" i="1"/>
  <c r="B20" i="1"/>
  <c r="C20" i="1"/>
  <c r="D20" i="1"/>
  <c r="E20" i="1"/>
  <c r="A24" i="1"/>
  <c r="B24" i="1"/>
  <c r="C24" i="1"/>
  <c r="D24" i="1"/>
  <c r="E24" i="1"/>
  <c r="A50" i="1"/>
  <c r="B50" i="1"/>
  <c r="C50" i="1"/>
  <c r="D50" i="1"/>
  <c r="E50" i="1"/>
  <c r="A59" i="1"/>
  <c r="B59" i="1"/>
  <c r="C59" i="1"/>
  <c r="D59" i="1"/>
  <c r="E59" i="1"/>
  <c r="A71" i="1"/>
  <c r="B71" i="1"/>
  <c r="C71" i="1"/>
  <c r="D71" i="1"/>
  <c r="E71" i="1"/>
  <c r="A80" i="1"/>
  <c r="B80" i="1"/>
  <c r="C80" i="1"/>
  <c r="D80" i="1"/>
  <c r="E80" i="1"/>
  <c r="A89" i="1"/>
  <c r="B89" i="1"/>
  <c r="C89" i="1"/>
  <c r="D89" i="1"/>
  <c r="E89" i="1"/>
  <c r="A99" i="1"/>
  <c r="B99" i="1"/>
  <c r="C99" i="1"/>
  <c r="D99" i="1"/>
  <c r="E99" i="1"/>
  <c r="A117" i="1"/>
  <c r="B117" i="1"/>
  <c r="C117" i="1"/>
  <c r="D117" i="1"/>
  <c r="E117" i="1"/>
  <c r="A118" i="1"/>
  <c r="B118" i="1"/>
  <c r="C118" i="1"/>
  <c r="D118" i="1"/>
  <c r="E118" i="1"/>
  <c r="A125" i="1"/>
  <c r="B125" i="1"/>
  <c r="C125" i="1"/>
  <c r="D125" i="1"/>
  <c r="E125" i="1"/>
  <c r="A129" i="1"/>
  <c r="B129" i="1"/>
  <c r="C129" i="1"/>
  <c r="D129" i="1"/>
  <c r="E129" i="1"/>
  <c r="A149" i="1"/>
  <c r="B149" i="1"/>
  <c r="C149" i="1"/>
  <c r="D149" i="1"/>
  <c r="E149" i="1"/>
  <c r="A150" i="1"/>
  <c r="B150" i="1"/>
  <c r="C150" i="1"/>
  <c r="D150" i="1"/>
  <c r="E150" i="1"/>
  <c r="A157" i="1"/>
  <c r="B157" i="1"/>
  <c r="C157" i="1"/>
  <c r="D157" i="1"/>
  <c r="E157" i="1"/>
  <c r="A164" i="1"/>
  <c r="B164" i="1"/>
  <c r="C164" i="1"/>
  <c r="D164" i="1"/>
  <c r="E164" i="1"/>
  <c r="A165" i="1"/>
  <c r="B165" i="1"/>
  <c r="C165" i="1"/>
  <c r="D165" i="1"/>
  <c r="E165" i="1"/>
  <c r="A170" i="1"/>
  <c r="B170" i="1"/>
  <c r="C170" i="1"/>
  <c r="D170" i="1"/>
  <c r="E170" i="1"/>
  <c r="A176" i="1"/>
  <c r="B176" i="1"/>
  <c r="C176" i="1"/>
  <c r="D176" i="1"/>
  <c r="E176" i="1"/>
  <c r="A184" i="1"/>
  <c r="B184" i="1"/>
  <c r="C184" i="1"/>
  <c r="D184" i="1"/>
  <c r="E184" i="1"/>
  <c r="A201" i="1"/>
  <c r="B201" i="1"/>
  <c r="C201" i="1"/>
  <c r="D201" i="1"/>
  <c r="E201" i="1"/>
  <c r="A203" i="1"/>
  <c r="B203" i="1"/>
  <c r="C203" i="1"/>
  <c r="D203" i="1"/>
  <c r="E203" i="1"/>
  <c r="A217" i="1"/>
  <c r="B217" i="1"/>
  <c r="C217" i="1"/>
  <c r="D217" i="1"/>
  <c r="E217" i="1"/>
  <c r="A235" i="1"/>
  <c r="B235" i="1"/>
  <c r="C235" i="1"/>
  <c r="D235" i="1"/>
  <c r="E235" i="1"/>
  <c r="A261" i="1"/>
  <c r="B261" i="1"/>
  <c r="C261" i="1"/>
  <c r="D261" i="1"/>
  <c r="E261" i="1"/>
  <c r="A288" i="1"/>
  <c r="B288" i="1"/>
  <c r="C288" i="1"/>
  <c r="D288" i="1"/>
  <c r="E288" i="1"/>
  <c r="A307" i="1"/>
  <c r="B307" i="1"/>
  <c r="C307" i="1"/>
  <c r="D307" i="1"/>
  <c r="E307" i="1"/>
  <c r="A384" i="1"/>
  <c r="B384" i="1"/>
  <c r="C384" i="1"/>
  <c r="D384" i="1"/>
  <c r="E384" i="1"/>
  <c r="A394" i="1"/>
  <c r="B394" i="1"/>
  <c r="C394" i="1"/>
  <c r="D394" i="1"/>
  <c r="E394" i="1"/>
  <c r="A402" i="1"/>
  <c r="B402" i="1"/>
  <c r="C402" i="1"/>
  <c r="D402" i="1"/>
  <c r="E402" i="1"/>
  <c r="A428" i="1"/>
  <c r="B428" i="1"/>
  <c r="C428" i="1"/>
  <c r="D428" i="1"/>
  <c r="E428" i="1"/>
  <c r="A19" i="1"/>
  <c r="B19" i="1"/>
  <c r="C19" i="1"/>
  <c r="D19" i="1"/>
  <c r="E19" i="1"/>
  <c r="A13" i="1"/>
  <c r="B13" i="1"/>
  <c r="C13" i="1"/>
  <c r="D13" i="1"/>
  <c r="E13" i="1"/>
  <c r="A34" i="1"/>
  <c r="B34" i="1"/>
  <c r="C34" i="1"/>
  <c r="D34" i="1"/>
  <c r="E34" i="1"/>
  <c r="A37" i="1"/>
  <c r="B37" i="1"/>
  <c r="C37" i="1"/>
  <c r="D37" i="1"/>
  <c r="E37" i="1"/>
  <c r="A49" i="1"/>
  <c r="B49" i="1"/>
  <c r="C49" i="1"/>
  <c r="D49" i="1"/>
  <c r="E49" i="1"/>
  <c r="A47" i="1"/>
  <c r="B47" i="1"/>
  <c r="C47" i="1"/>
  <c r="D47" i="1"/>
  <c r="E47" i="1"/>
  <c r="A55" i="1"/>
  <c r="B55" i="1"/>
  <c r="C55" i="1"/>
  <c r="D55" i="1"/>
  <c r="E55" i="1"/>
  <c r="A58" i="1"/>
  <c r="B58" i="1"/>
  <c r="C58" i="1"/>
  <c r="D58" i="1"/>
  <c r="E58" i="1"/>
  <c r="A73" i="1"/>
  <c r="B73" i="1"/>
  <c r="C73" i="1"/>
  <c r="D73" i="1"/>
  <c r="E73" i="1"/>
  <c r="A76" i="1"/>
  <c r="B76" i="1"/>
  <c r="C76" i="1"/>
  <c r="D76" i="1"/>
  <c r="E76" i="1"/>
  <c r="A81" i="1"/>
  <c r="B81" i="1"/>
  <c r="C81" i="1"/>
  <c r="D81" i="1"/>
  <c r="E81" i="1"/>
  <c r="A95" i="1"/>
  <c r="B95" i="1"/>
  <c r="C95" i="1"/>
  <c r="D95" i="1"/>
  <c r="E95" i="1"/>
  <c r="A94" i="1"/>
  <c r="B94" i="1"/>
  <c r="C94" i="1"/>
  <c r="D94" i="1"/>
  <c r="E94" i="1"/>
  <c r="A98" i="1"/>
  <c r="B98" i="1"/>
  <c r="C98" i="1"/>
  <c r="D98" i="1"/>
  <c r="E98" i="1"/>
  <c r="A103" i="1"/>
  <c r="B103" i="1"/>
  <c r="C103" i="1"/>
  <c r="D103" i="1"/>
  <c r="E103" i="1"/>
  <c r="A124" i="1"/>
  <c r="B124" i="1"/>
  <c r="C124" i="1"/>
  <c r="D124" i="1"/>
  <c r="E124" i="1"/>
  <c r="A122" i="1"/>
  <c r="B122" i="1"/>
  <c r="C122" i="1"/>
  <c r="D122" i="1"/>
  <c r="E122" i="1"/>
  <c r="A123" i="1"/>
  <c r="B123" i="1"/>
  <c r="C123" i="1"/>
  <c r="D123" i="1"/>
  <c r="E123" i="1"/>
  <c r="A138" i="1"/>
  <c r="B138" i="1"/>
  <c r="C138" i="1"/>
  <c r="D138" i="1"/>
  <c r="E138" i="1"/>
  <c r="A140" i="1"/>
  <c r="B140" i="1"/>
  <c r="C140" i="1"/>
  <c r="D140" i="1"/>
  <c r="E140" i="1"/>
  <c r="A143" i="1"/>
  <c r="B143" i="1"/>
  <c r="C143" i="1"/>
  <c r="D143" i="1"/>
  <c r="E143" i="1"/>
  <c r="A155" i="1"/>
  <c r="B155" i="1"/>
  <c r="C155" i="1"/>
  <c r="D155" i="1"/>
  <c r="E155" i="1"/>
  <c r="A160" i="1"/>
  <c r="B160" i="1"/>
  <c r="C160" i="1"/>
  <c r="D160" i="1"/>
  <c r="E160" i="1"/>
  <c r="A169" i="1"/>
  <c r="B169" i="1"/>
  <c r="C169" i="1"/>
  <c r="D169" i="1"/>
  <c r="E169" i="1"/>
  <c r="A174" i="1"/>
  <c r="B174" i="1"/>
  <c r="C174" i="1"/>
  <c r="D174" i="1"/>
  <c r="E174" i="1"/>
  <c r="A179" i="1"/>
  <c r="B179" i="1"/>
  <c r="C179" i="1"/>
  <c r="D179" i="1"/>
  <c r="E179" i="1"/>
  <c r="A172" i="1"/>
  <c r="B172" i="1"/>
  <c r="C172" i="1"/>
  <c r="D172" i="1"/>
  <c r="E172" i="1"/>
  <c r="A194" i="1"/>
  <c r="B194" i="1"/>
  <c r="C194" i="1"/>
  <c r="D194" i="1"/>
  <c r="E194" i="1"/>
  <c r="A190" i="1"/>
  <c r="B190" i="1"/>
  <c r="C190" i="1"/>
  <c r="D190" i="1"/>
  <c r="E190" i="1"/>
  <c r="A196" i="1"/>
  <c r="B196" i="1"/>
  <c r="C196" i="1"/>
  <c r="D196" i="1"/>
  <c r="E196" i="1"/>
  <c r="A214" i="1"/>
  <c r="B214" i="1"/>
  <c r="C214" i="1"/>
  <c r="D214" i="1"/>
  <c r="E214" i="1"/>
  <c r="A221" i="1"/>
  <c r="B221" i="1"/>
  <c r="C221" i="1"/>
  <c r="D221" i="1"/>
  <c r="E221" i="1"/>
  <c r="A233" i="1"/>
  <c r="B233" i="1"/>
  <c r="C233" i="1"/>
  <c r="D233" i="1"/>
  <c r="E233" i="1"/>
  <c r="A237" i="1"/>
  <c r="B237" i="1"/>
  <c r="C237" i="1"/>
  <c r="D237" i="1"/>
  <c r="E237" i="1"/>
  <c r="A248" i="1"/>
  <c r="B248" i="1"/>
  <c r="C248" i="1"/>
  <c r="D248" i="1"/>
  <c r="E248" i="1"/>
  <c r="A253" i="1"/>
  <c r="B253" i="1"/>
  <c r="C253" i="1"/>
  <c r="D253" i="1"/>
  <c r="E253" i="1"/>
  <c r="A260" i="1"/>
  <c r="B260" i="1"/>
  <c r="C260" i="1"/>
  <c r="D260" i="1"/>
  <c r="E260" i="1"/>
  <c r="A272" i="1"/>
  <c r="B272" i="1"/>
  <c r="C272" i="1"/>
  <c r="D272" i="1"/>
  <c r="E272" i="1"/>
  <c r="A282" i="1"/>
  <c r="B282" i="1"/>
  <c r="C282" i="1"/>
  <c r="D282" i="1"/>
  <c r="E282" i="1"/>
  <c r="A280" i="1"/>
  <c r="B280" i="1"/>
  <c r="C280" i="1"/>
  <c r="D280" i="1"/>
  <c r="E280" i="1"/>
  <c r="A296" i="1"/>
  <c r="B296" i="1"/>
  <c r="C296" i="1"/>
  <c r="D296" i="1"/>
  <c r="E296" i="1"/>
  <c r="A295" i="1"/>
  <c r="B295" i="1"/>
  <c r="C295" i="1"/>
  <c r="D295" i="1"/>
  <c r="E295" i="1"/>
  <c r="A294" i="1"/>
  <c r="B294" i="1"/>
  <c r="C294" i="1"/>
  <c r="D294" i="1"/>
  <c r="E294" i="1"/>
  <c r="A309" i="1"/>
  <c r="B309" i="1"/>
  <c r="C309" i="1"/>
  <c r="D309" i="1"/>
  <c r="E309" i="1"/>
  <c r="A318" i="1"/>
  <c r="B318" i="1"/>
  <c r="C318" i="1"/>
  <c r="D318" i="1"/>
  <c r="E318" i="1"/>
  <c r="A325" i="1"/>
  <c r="B325" i="1"/>
  <c r="C325" i="1"/>
  <c r="D325" i="1"/>
  <c r="E325" i="1"/>
  <c r="A376" i="1"/>
  <c r="B376" i="1"/>
  <c r="C376" i="1"/>
  <c r="D376" i="1"/>
  <c r="E376" i="1"/>
  <c r="A378" i="1"/>
  <c r="B378" i="1"/>
  <c r="C378" i="1"/>
  <c r="D378" i="1"/>
  <c r="E378" i="1"/>
  <c r="A383" i="1"/>
  <c r="B383" i="1"/>
  <c r="C383" i="1"/>
  <c r="D383" i="1"/>
  <c r="E383" i="1"/>
  <c r="A392" i="1"/>
  <c r="B392" i="1"/>
  <c r="C392" i="1"/>
  <c r="D392" i="1"/>
  <c r="E392" i="1"/>
  <c r="A399" i="1"/>
  <c r="B399" i="1"/>
  <c r="C399" i="1"/>
  <c r="D399" i="1"/>
  <c r="E399" i="1"/>
  <c r="A396" i="1"/>
  <c r="B396" i="1"/>
  <c r="C396" i="1"/>
  <c r="D396" i="1"/>
  <c r="E396" i="1"/>
  <c r="A400" i="1"/>
  <c r="B400" i="1"/>
  <c r="C400" i="1"/>
  <c r="D400" i="1"/>
  <c r="E400" i="1"/>
  <c r="A409" i="1"/>
  <c r="B409" i="1"/>
  <c r="C409" i="1"/>
  <c r="D409" i="1"/>
  <c r="E409" i="1"/>
  <c r="A411" i="1"/>
  <c r="B411" i="1"/>
  <c r="C411" i="1"/>
  <c r="D411" i="1"/>
  <c r="E411" i="1"/>
  <c r="A423" i="1"/>
  <c r="B423" i="1"/>
  <c r="C423" i="1"/>
  <c r="D423" i="1"/>
  <c r="E423" i="1"/>
  <c r="A427" i="1"/>
  <c r="B427" i="1"/>
  <c r="C427" i="1"/>
  <c r="D427" i="1"/>
  <c r="E427" i="1"/>
  <c r="A425" i="1"/>
  <c r="B425" i="1"/>
  <c r="C425" i="1"/>
  <c r="D425" i="1"/>
  <c r="E425" i="1"/>
  <c r="A443" i="1"/>
  <c r="B443" i="1"/>
  <c r="C443" i="1"/>
  <c r="D443" i="1"/>
  <c r="E443" i="1"/>
  <c r="A16" i="1"/>
  <c r="B16" i="1"/>
  <c r="C16" i="1"/>
  <c r="D16" i="1"/>
  <c r="E16" i="1"/>
  <c r="A40" i="1"/>
  <c r="B40" i="1"/>
  <c r="C40" i="1"/>
  <c r="D40" i="1"/>
  <c r="E40" i="1"/>
  <c r="A111" i="1"/>
  <c r="B111" i="1"/>
  <c r="C111" i="1"/>
  <c r="D111" i="1"/>
  <c r="E111" i="1"/>
  <c r="A134" i="1"/>
  <c r="B134" i="1"/>
  <c r="C134" i="1"/>
  <c r="D134" i="1"/>
  <c r="E134" i="1"/>
  <c r="A154" i="1"/>
  <c r="B154" i="1"/>
  <c r="C154" i="1"/>
  <c r="D154" i="1"/>
  <c r="E154" i="1"/>
  <c r="A192" i="1"/>
  <c r="B192" i="1"/>
  <c r="C192" i="1"/>
  <c r="D192" i="1"/>
  <c r="E192" i="1"/>
  <c r="A219" i="1"/>
  <c r="B219" i="1"/>
  <c r="C219" i="1"/>
  <c r="D219" i="1"/>
  <c r="E219" i="1"/>
  <c r="A224" i="1"/>
  <c r="B224" i="1"/>
  <c r="C224" i="1"/>
  <c r="D224" i="1"/>
  <c r="E224" i="1"/>
  <c r="A234" i="1"/>
  <c r="B234" i="1"/>
  <c r="C234" i="1"/>
  <c r="D234" i="1"/>
  <c r="E234" i="1"/>
  <c r="A241" i="1"/>
  <c r="B241" i="1"/>
  <c r="C241" i="1"/>
  <c r="D241" i="1"/>
  <c r="E241" i="1"/>
  <c r="A263" i="1"/>
  <c r="B263" i="1"/>
  <c r="C263" i="1"/>
  <c r="D263" i="1"/>
  <c r="E263" i="1"/>
  <c r="A278" i="1"/>
  <c r="B278" i="1"/>
  <c r="C278" i="1"/>
  <c r="D278" i="1"/>
  <c r="E278" i="1"/>
  <c r="A276" i="1"/>
  <c r="B276" i="1"/>
  <c r="C276" i="1"/>
  <c r="D276" i="1"/>
  <c r="E276" i="1"/>
  <c r="A292" i="1"/>
  <c r="B292" i="1"/>
  <c r="C292" i="1"/>
  <c r="D292" i="1"/>
  <c r="E292" i="1"/>
  <c r="A300" i="1"/>
  <c r="B300" i="1"/>
  <c r="C300" i="1"/>
  <c r="D300" i="1"/>
  <c r="E300" i="1"/>
  <c r="A319" i="1"/>
  <c r="B319" i="1"/>
  <c r="C319" i="1"/>
  <c r="D319" i="1"/>
  <c r="E319" i="1"/>
  <c r="A334" i="1"/>
  <c r="B334" i="1"/>
  <c r="C334" i="1"/>
  <c r="D334" i="1"/>
  <c r="E334" i="1"/>
  <c r="A343" i="1"/>
  <c r="B343" i="1"/>
  <c r="C343" i="1"/>
  <c r="D343" i="1"/>
  <c r="E343" i="1"/>
  <c r="A350" i="1"/>
  <c r="B350" i="1"/>
  <c r="C350" i="1"/>
  <c r="D350" i="1"/>
  <c r="E350" i="1"/>
  <c r="A355" i="1"/>
  <c r="B355" i="1"/>
  <c r="C355" i="1"/>
  <c r="D355" i="1"/>
  <c r="E355" i="1"/>
  <c r="A362" i="1"/>
  <c r="B362" i="1"/>
  <c r="C362" i="1"/>
  <c r="D362" i="1"/>
  <c r="E362" i="1"/>
  <c r="A373" i="1"/>
  <c r="B373" i="1"/>
  <c r="C373" i="1"/>
  <c r="D373" i="1"/>
  <c r="E373" i="1"/>
  <c r="A436" i="1"/>
  <c r="B436" i="1"/>
  <c r="C436" i="1"/>
  <c r="D436" i="1"/>
  <c r="E436" i="1"/>
  <c r="A8" i="1"/>
  <c r="B8" i="1"/>
  <c r="C8" i="1"/>
  <c r="D8" i="1"/>
  <c r="E8" i="1"/>
  <c r="A36" i="1"/>
  <c r="B36" i="1"/>
  <c r="C36" i="1"/>
  <c r="D36" i="1"/>
  <c r="E36" i="1"/>
  <c r="A44" i="1"/>
  <c r="B44" i="1"/>
  <c r="C44" i="1"/>
  <c r="D44" i="1"/>
  <c r="E44" i="1"/>
  <c r="A64" i="1"/>
  <c r="B64" i="1"/>
  <c r="C64" i="1"/>
  <c r="D64" i="1"/>
  <c r="E64" i="1"/>
  <c r="A105" i="1"/>
  <c r="B105" i="1"/>
  <c r="C105" i="1"/>
  <c r="D105" i="1"/>
  <c r="E105" i="1"/>
  <c r="A114" i="1"/>
  <c r="B114" i="1"/>
  <c r="C114" i="1"/>
  <c r="D114" i="1"/>
  <c r="E114" i="1"/>
  <c r="A133" i="1"/>
  <c r="B133" i="1"/>
  <c r="C133" i="1"/>
  <c r="D133" i="1"/>
  <c r="E133" i="1"/>
  <c r="A142" i="1"/>
  <c r="B142" i="1"/>
  <c r="C142" i="1"/>
  <c r="D142" i="1"/>
  <c r="E142" i="1"/>
  <c r="A158" i="1"/>
  <c r="B158" i="1"/>
  <c r="C158" i="1"/>
  <c r="D158" i="1"/>
  <c r="E158" i="1"/>
  <c r="A166" i="1"/>
  <c r="B166" i="1"/>
  <c r="C166" i="1"/>
  <c r="D166" i="1"/>
  <c r="E166" i="1"/>
  <c r="A186" i="1"/>
  <c r="B186" i="1"/>
  <c r="C186" i="1"/>
  <c r="D186" i="1"/>
  <c r="E186" i="1"/>
  <c r="A218" i="1"/>
  <c r="B218" i="1"/>
  <c r="C218" i="1"/>
  <c r="D218" i="1"/>
  <c r="E218" i="1"/>
  <c r="A220" i="1"/>
  <c r="B220" i="1"/>
  <c r="C220" i="1"/>
  <c r="D220" i="1"/>
  <c r="E220" i="1"/>
  <c r="A223" i="1"/>
  <c r="B223" i="1"/>
  <c r="C223" i="1"/>
  <c r="D223" i="1"/>
  <c r="E223" i="1"/>
  <c r="A243" i="1"/>
  <c r="B243" i="1"/>
  <c r="C243" i="1"/>
  <c r="D243" i="1"/>
  <c r="E243" i="1"/>
  <c r="A246" i="1"/>
  <c r="B246" i="1"/>
  <c r="C246" i="1"/>
  <c r="D246" i="1"/>
  <c r="E246" i="1"/>
  <c r="A251" i="1"/>
  <c r="B251" i="1"/>
  <c r="C251" i="1"/>
  <c r="D251" i="1"/>
  <c r="E251" i="1"/>
  <c r="A268" i="1"/>
  <c r="B268" i="1"/>
  <c r="C268" i="1"/>
  <c r="D268" i="1"/>
  <c r="E268" i="1"/>
  <c r="A275" i="1"/>
  <c r="B275" i="1"/>
  <c r="C275" i="1"/>
  <c r="D275" i="1"/>
  <c r="E275" i="1"/>
  <c r="A271" i="1"/>
  <c r="B271" i="1"/>
  <c r="C271" i="1"/>
  <c r="D271" i="1"/>
  <c r="E271" i="1"/>
  <c r="A297" i="1"/>
  <c r="B297" i="1"/>
  <c r="C297" i="1"/>
  <c r="D297" i="1"/>
  <c r="E297" i="1"/>
  <c r="A316" i="1"/>
  <c r="B316" i="1"/>
  <c r="C316" i="1"/>
  <c r="D316" i="1"/>
  <c r="E316" i="1"/>
  <c r="A315" i="1"/>
  <c r="B315" i="1"/>
  <c r="C315" i="1"/>
  <c r="D315" i="1"/>
  <c r="E315" i="1"/>
  <c r="A320" i="1"/>
  <c r="B320" i="1"/>
  <c r="C320" i="1"/>
  <c r="D320" i="1"/>
  <c r="E320" i="1"/>
  <c r="A337" i="1"/>
  <c r="B337" i="1"/>
  <c r="C337" i="1"/>
  <c r="D337" i="1"/>
  <c r="E337" i="1"/>
  <c r="A348" i="1"/>
  <c r="B348" i="1"/>
  <c r="C348" i="1"/>
  <c r="D348" i="1"/>
  <c r="E348" i="1"/>
  <c r="A360" i="1"/>
  <c r="B360" i="1"/>
  <c r="C360" i="1"/>
  <c r="D360" i="1"/>
  <c r="E360" i="1"/>
  <c r="A372" i="1"/>
  <c r="B372" i="1"/>
  <c r="C372" i="1"/>
  <c r="D372" i="1"/>
  <c r="E372" i="1"/>
  <c r="A382" i="1"/>
  <c r="B382" i="1"/>
  <c r="C382" i="1"/>
  <c r="D382" i="1"/>
  <c r="E382" i="1"/>
  <c r="A412" i="1"/>
  <c r="B412" i="1"/>
  <c r="C412" i="1"/>
  <c r="D412" i="1"/>
  <c r="E412" i="1"/>
  <c r="A421" i="1"/>
  <c r="B421" i="1"/>
  <c r="C421" i="1"/>
  <c r="D421" i="1"/>
  <c r="E421" i="1"/>
  <c r="A433" i="1"/>
  <c r="B433" i="1"/>
  <c r="C433" i="1"/>
  <c r="D433" i="1"/>
  <c r="E433" i="1"/>
  <c r="A11" i="1"/>
  <c r="B11" i="1"/>
  <c r="C11" i="1"/>
  <c r="D11" i="1"/>
  <c r="E11" i="1"/>
  <c r="A68" i="1"/>
  <c r="B68" i="1"/>
  <c r="C68" i="1"/>
  <c r="D68" i="1"/>
  <c r="E68" i="1"/>
  <c r="A83" i="1"/>
  <c r="B83" i="1"/>
  <c r="C83" i="1"/>
  <c r="D83" i="1"/>
  <c r="E83" i="1"/>
  <c r="A110" i="1"/>
  <c r="B110" i="1"/>
  <c r="C110" i="1"/>
  <c r="D110" i="1"/>
  <c r="E110" i="1"/>
  <c r="A210" i="1"/>
  <c r="B210" i="1"/>
  <c r="C210" i="1"/>
  <c r="D210" i="1"/>
  <c r="E210" i="1"/>
  <c r="A259" i="1"/>
  <c r="B259" i="1"/>
  <c r="C259" i="1"/>
  <c r="D259" i="1"/>
  <c r="E259" i="1"/>
  <c r="A290" i="1"/>
  <c r="B290" i="1"/>
  <c r="C290" i="1"/>
  <c r="D290" i="1"/>
  <c r="E290" i="1"/>
  <c r="A302" i="1"/>
  <c r="B302" i="1"/>
  <c r="C302" i="1"/>
  <c r="D302" i="1"/>
  <c r="E302" i="1"/>
  <c r="A335" i="1"/>
  <c r="B335" i="1"/>
  <c r="C335" i="1"/>
  <c r="D335" i="1"/>
  <c r="E335" i="1"/>
  <c r="A368" i="1"/>
  <c r="B368" i="1"/>
  <c r="C368" i="1"/>
  <c r="D368" i="1"/>
  <c r="E368" i="1"/>
  <c r="A389" i="1"/>
  <c r="B389" i="1"/>
  <c r="C389" i="1"/>
  <c r="D389" i="1"/>
  <c r="E389" i="1"/>
  <c r="A408" i="1"/>
  <c r="B408" i="1"/>
  <c r="C408" i="1"/>
  <c r="D408" i="1"/>
  <c r="E408" i="1"/>
  <c r="A430" i="1"/>
  <c r="B430" i="1"/>
  <c r="C430" i="1"/>
  <c r="D430" i="1"/>
  <c r="E430" i="1"/>
  <c r="A7" i="1"/>
  <c r="B7" i="1"/>
  <c r="C7" i="1"/>
  <c r="D7" i="1"/>
  <c r="E7" i="1"/>
  <c r="A32" i="1"/>
  <c r="B32" i="1"/>
  <c r="C32" i="1"/>
  <c r="D32" i="1"/>
  <c r="E32" i="1"/>
  <c r="A33" i="1"/>
  <c r="B33" i="1"/>
  <c r="C33" i="1"/>
  <c r="D33" i="1"/>
  <c r="E33" i="1"/>
  <c r="A54" i="1"/>
  <c r="B54" i="1"/>
  <c r="C54" i="1"/>
  <c r="D54" i="1"/>
  <c r="E54" i="1"/>
  <c r="A67" i="1"/>
  <c r="B67" i="1"/>
  <c r="C67" i="1"/>
  <c r="D67" i="1"/>
  <c r="E67" i="1"/>
  <c r="A108" i="1"/>
  <c r="B108" i="1"/>
  <c r="C108" i="1"/>
  <c r="D108" i="1"/>
  <c r="E108" i="1"/>
  <c r="A109" i="1"/>
  <c r="B109" i="1"/>
  <c r="C109" i="1"/>
  <c r="D109" i="1"/>
  <c r="E109" i="1"/>
  <c r="A183" i="1"/>
  <c r="B183" i="1"/>
  <c r="C183" i="1"/>
  <c r="D183" i="1"/>
  <c r="E183" i="1"/>
  <c r="A200" i="1"/>
  <c r="B200" i="1"/>
  <c r="C200" i="1"/>
  <c r="D200" i="1"/>
  <c r="E200" i="1"/>
  <c r="A205" i="1"/>
  <c r="B205" i="1"/>
  <c r="C205" i="1"/>
  <c r="D205" i="1"/>
  <c r="E205" i="1"/>
  <c r="A232" i="1"/>
  <c r="B232" i="1"/>
  <c r="C232" i="1"/>
  <c r="D232" i="1"/>
  <c r="E232" i="1"/>
  <c r="A244" i="1"/>
  <c r="B244" i="1"/>
  <c r="C244" i="1"/>
  <c r="D244" i="1"/>
  <c r="E244" i="1"/>
  <c r="A258" i="1"/>
  <c r="B258" i="1"/>
  <c r="C258" i="1"/>
  <c r="D258" i="1"/>
  <c r="E258" i="1"/>
  <c r="A273" i="1"/>
  <c r="B273" i="1"/>
  <c r="C273" i="1"/>
  <c r="D273" i="1"/>
  <c r="E273" i="1"/>
  <c r="A314" i="1"/>
  <c r="B314" i="1"/>
  <c r="C314" i="1"/>
  <c r="D314" i="1"/>
  <c r="E314" i="1"/>
  <c r="A323" i="1"/>
  <c r="B323" i="1"/>
  <c r="C323" i="1"/>
  <c r="D323" i="1"/>
  <c r="E323" i="1"/>
  <c r="A327" i="1"/>
  <c r="B327" i="1"/>
  <c r="C327" i="1"/>
  <c r="D327" i="1"/>
  <c r="E327" i="1"/>
  <c r="A340" i="1"/>
  <c r="B340" i="1"/>
  <c r="C340" i="1"/>
  <c r="D340" i="1"/>
  <c r="E340" i="1"/>
  <c r="A351" i="1"/>
  <c r="B351" i="1"/>
  <c r="C351" i="1"/>
  <c r="D351" i="1"/>
  <c r="E351" i="1"/>
  <c r="A359" i="1"/>
  <c r="B359" i="1"/>
  <c r="C359" i="1"/>
  <c r="D359" i="1"/>
  <c r="E359" i="1"/>
  <c r="A371" i="1"/>
  <c r="B371" i="1"/>
  <c r="C371" i="1"/>
  <c r="D371" i="1"/>
  <c r="E371" i="1"/>
  <c r="A380" i="1"/>
  <c r="B380" i="1"/>
  <c r="C380" i="1"/>
  <c r="D380" i="1"/>
  <c r="E380" i="1"/>
  <c r="A385" i="1"/>
  <c r="B385" i="1"/>
  <c r="C385" i="1"/>
  <c r="D385" i="1"/>
  <c r="E385" i="1"/>
  <c r="A388" i="1"/>
  <c r="B388" i="1"/>
  <c r="C388" i="1"/>
  <c r="D388" i="1"/>
  <c r="E388" i="1"/>
  <c r="A391" i="1"/>
  <c r="B391" i="1"/>
  <c r="C391" i="1"/>
  <c r="D391" i="1"/>
  <c r="E391" i="1"/>
  <c r="A403" i="1"/>
  <c r="B403" i="1"/>
  <c r="C403" i="1"/>
  <c r="D403" i="1"/>
  <c r="E403" i="1"/>
  <c r="A407" i="1"/>
  <c r="B407" i="1"/>
  <c r="C407" i="1"/>
  <c r="D407" i="1"/>
  <c r="E407" i="1"/>
  <c r="A415" i="1"/>
  <c r="B415" i="1"/>
  <c r="C415" i="1"/>
  <c r="D415" i="1"/>
  <c r="E415" i="1"/>
  <c r="A417" i="1"/>
  <c r="B417" i="1"/>
  <c r="C417" i="1"/>
  <c r="D417" i="1"/>
  <c r="E417" i="1"/>
  <c r="A418" i="1"/>
  <c r="B418" i="1"/>
  <c r="C418" i="1"/>
  <c r="D418" i="1"/>
  <c r="E418" i="1"/>
  <c r="A432" i="1"/>
  <c r="B432" i="1"/>
  <c r="C432" i="1"/>
  <c r="D432" i="1"/>
  <c r="E432" i="1"/>
  <c r="A441" i="1"/>
  <c r="B441" i="1"/>
  <c r="C441" i="1"/>
  <c r="D441" i="1"/>
  <c r="E441" i="1"/>
  <c r="A439" i="1"/>
  <c r="B439" i="1"/>
  <c r="C439" i="1"/>
  <c r="D439" i="1"/>
  <c r="E439" i="1"/>
  <c r="A9" i="1"/>
  <c r="B9" i="1"/>
  <c r="C9" i="1"/>
  <c r="D9" i="1"/>
  <c r="E9" i="1"/>
  <c r="A25" i="1"/>
  <c r="B25" i="1"/>
  <c r="C25" i="1"/>
  <c r="D25" i="1"/>
  <c r="E25" i="1"/>
  <c r="A46" i="1"/>
  <c r="B46" i="1"/>
  <c r="C46" i="1"/>
  <c r="D46" i="1"/>
  <c r="E46" i="1"/>
  <c r="A60" i="1"/>
  <c r="B60" i="1"/>
  <c r="C60" i="1"/>
  <c r="D60" i="1"/>
  <c r="E60" i="1"/>
  <c r="A74" i="1"/>
  <c r="B74" i="1"/>
  <c r="C74" i="1"/>
  <c r="D74" i="1"/>
  <c r="E74" i="1"/>
  <c r="A82" i="1"/>
  <c r="B82" i="1"/>
  <c r="C82" i="1"/>
  <c r="D82" i="1"/>
  <c r="E82" i="1"/>
  <c r="A91" i="1"/>
  <c r="B91" i="1"/>
  <c r="C91" i="1"/>
  <c r="D91" i="1"/>
  <c r="E91" i="1"/>
  <c r="A97" i="1"/>
  <c r="B97" i="1"/>
  <c r="C97" i="1"/>
  <c r="D97" i="1"/>
  <c r="E97" i="1"/>
  <c r="A130" i="1"/>
  <c r="B130" i="1"/>
  <c r="C130" i="1"/>
  <c r="D130" i="1"/>
  <c r="E130" i="1"/>
  <c r="A152" i="1"/>
  <c r="B152" i="1"/>
  <c r="C152" i="1"/>
  <c r="D152" i="1"/>
  <c r="E152" i="1"/>
  <c r="A180" i="1"/>
  <c r="B180" i="1"/>
  <c r="C180" i="1"/>
  <c r="D180" i="1"/>
  <c r="E180" i="1"/>
  <c r="A207" i="1"/>
  <c r="B207" i="1"/>
  <c r="C207" i="1"/>
  <c r="D207" i="1"/>
  <c r="E207" i="1"/>
  <c r="A195" i="1"/>
  <c r="B195" i="1"/>
  <c r="C195" i="1"/>
  <c r="D195" i="1"/>
  <c r="E195" i="1"/>
  <c r="A228" i="1"/>
  <c r="B228" i="1"/>
  <c r="C228" i="1"/>
  <c r="D228" i="1"/>
  <c r="E228" i="1"/>
  <c r="A247" i="1"/>
  <c r="B247" i="1"/>
  <c r="C247" i="1"/>
  <c r="D247" i="1"/>
  <c r="E247" i="1"/>
  <c r="A274" i="1"/>
  <c r="B274" i="1"/>
  <c r="C274" i="1"/>
  <c r="D274" i="1"/>
  <c r="E274" i="1"/>
  <c r="A305" i="1"/>
  <c r="B305" i="1"/>
  <c r="C305" i="1"/>
  <c r="D305" i="1"/>
  <c r="E305" i="1"/>
  <c r="A331" i="1"/>
  <c r="B331" i="1"/>
  <c r="C331" i="1"/>
  <c r="D331" i="1"/>
  <c r="E331" i="1"/>
  <c r="A369" i="1"/>
  <c r="B369" i="1"/>
  <c r="C369" i="1"/>
  <c r="D369" i="1"/>
  <c r="E369" i="1"/>
  <c r="A435" i="1"/>
  <c r="B435" i="1"/>
  <c r="C435" i="1"/>
  <c r="D435" i="1"/>
  <c r="E435" i="1"/>
  <c r="A15" i="1"/>
  <c r="B15" i="1"/>
  <c r="C15" i="1"/>
  <c r="D15" i="1"/>
  <c r="E15" i="1"/>
  <c r="A18" i="1"/>
  <c r="B18" i="1"/>
  <c r="C18" i="1"/>
  <c r="D18" i="1"/>
  <c r="E18" i="1"/>
  <c r="A22" i="1"/>
  <c r="B22" i="1"/>
  <c r="C22" i="1"/>
  <c r="D22" i="1"/>
  <c r="E22" i="1"/>
  <c r="A21" i="1"/>
  <c r="B21" i="1"/>
  <c r="C21" i="1"/>
  <c r="D21" i="1"/>
  <c r="E21" i="1"/>
  <c r="A38" i="1"/>
  <c r="B38" i="1"/>
  <c r="C38" i="1"/>
  <c r="D38" i="1"/>
  <c r="E38" i="1"/>
  <c r="A43" i="1"/>
  <c r="B43" i="1"/>
  <c r="C43" i="1"/>
  <c r="D43" i="1"/>
  <c r="E43" i="1"/>
  <c r="A57" i="1"/>
  <c r="B57" i="1"/>
  <c r="C57" i="1"/>
  <c r="D57" i="1"/>
  <c r="E57" i="1"/>
  <c r="A62" i="1"/>
  <c r="B62" i="1"/>
  <c r="C62" i="1"/>
  <c r="D62" i="1"/>
  <c r="E62" i="1"/>
  <c r="A61" i="1"/>
  <c r="B61" i="1"/>
  <c r="C61" i="1"/>
  <c r="D61" i="1"/>
  <c r="E61" i="1"/>
  <c r="A65" i="1"/>
  <c r="B65" i="1"/>
  <c r="C65" i="1"/>
  <c r="D65" i="1"/>
  <c r="E65" i="1"/>
  <c r="A79" i="1"/>
  <c r="B79" i="1"/>
  <c r="C79" i="1"/>
  <c r="D79" i="1"/>
  <c r="E79" i="1"/>
  <c r="A85" i="1"/>
  <c r="B85" i="1"/>
  <c r="C85" i="1"/>
  <c r="D85" i="1"/>
  <c r="E85" i="1"/>
  <c r="A93" i="1"/>
  <c r="B93" i="1"/>
  <c r="C93" i="1"/>
  <c r="D93" i="1"/>
  <c r="E93" i="1"/>
  <c r="A102" i="1"/>
  <c r="B102" i="1"/>
  <c r="C102" i="1"/>
  <c r="D102" i="1"/>
  <c r="E102" i="1"/>
  <c r="A100" i="1"/>
  <c r="B100" i="1"/>
  <c r="C100" i="1"/>
  <c r="D100" i="1"/>
  <c r="E100" i="1"/>
  <c r="A116" i="1"/>
  <c r="B116" i="1"/>
  <c r="C116" i="1"/>
  <c r="D116" i="1"/>
  <c r="E116" i="1"/>
  <c r="A121" i="1"/>
  <c r="B121" i="1"/>
  <c r="C121" i="1"/>
  <c r="D121" i="1"/>
  <c r="E121" i="1"/>
  <c r="A120" i="1"/>
  <c r="B120" i="1"/>
  <c r="C120" i="1"/>
  <c r="D120" i="1"/>
  <c r="E120" i="1"/>
  <c r="A128" i="1"/>
  <c r="B128" i="1"/>
  <c r="C128" i="1"/>
  <c r="D128" i="1"/>
  <c r="E128" i="1"/>
  <c r="A131" i="1"/>
  <c r="B131" i="1"/>
  <c r="C131" i="1"/>
  <c r="D131" i="1"/>
  <c r="E131" i="1"/>
  <c r="A135" i="1"/>
  <c r="B135" i="1"/>
  <c r="C135" i="1"/>
  <c r="D135" i="1"/>
  <c r="E135" i="1"/>
  <c r="A132" i="1"/>
  <c r="B132" i="1"/>
  <c r="C132" i="1"/>
  <c r="D132" i="1"/>
  <c r="E132" i="1"/>
  <c r="A139" i="1"/>
  <c r="B139" i="1"/>
  <c r="C139" i="1"/>
  <c r="D139" i="1"/>
  <c r="E139" i="1"/>
  <c r="A146" i="1"/>
  <c r="B146" i="1"/>
  <c r="C146" i="1"/>
  <c r="D146" i="1"/>
  <c r="E146" i="1"/>
  <c r="A151" i="1"/>
  <c r="B151" i="1"/>
  <c r="C151" i="1"/>
  <c r="D151" i="1"/>
  <c r="E151" i="1"/>
  <c r="A159" i="1"/>
  <c r="B159" i="1"/>
  <c r="C159" i="1"/>
  <c r="D159" i="1"/>
  <c r="E159" i="1"/>
  <c r="A161" i="1"/>
  <c r="B161" i="1"/>
  <c r="C161" i="1"/>
  <c r="D161" i="1"/>
  <c r="E161" i="1"/>
  <c r="A171" i="1"/>
  <c r="B171" i="1"/>
  <c r="C171" i="1"/>
  <c r="D171" i="1"/>
  <c r="E171" i="1"/>
  <c r="A168" i="1"/>
  <c r="B168" i="1"/>
  <c r="C168" i="1"/>
  <c r="D168" i="1"/>
  <c r="E168" i="1"/>
  <c r="A182" i="1"/>
  <c r="B182" i="1"/>
  <c r="C182" i="1"/>
  <c r="D182" i="1"/>
  <c r="E182" i="1"/>
  <c r="A173" i="1"/>
  <c r="B173" i="1"/>
  <c r="C173" i="1"/>
  <c r="D173" i="1"/>
  <c r="E173" i="1"/>
  <c r="A181" i="1"/>
  <c r="B181" i="1"/>
  <c r="C181" i="1"/>
  <c r="D181" i="1"/>
  <c r="E181" i="1"/>
  <c r="A187" i="1"/>
  <c r="B187" i="1"/>
  <c r="C187" i="1"/>
  <c r="D187" i="1"/>
  <c r="E187" i="1"/>
  <c r="A193" i="1"/>
  <c r="B193" i="1"/>
  <c r="C193" i="1"/>
  <c r="D193" i="1"/>
  <c r="E193" i="1"/>
  <c r="A198" i="1"/>
  <c r="B198" i="1"/>
  <c r="C198" i="1"/>
  <c r="D198" i="1"/>
  <c r="E198" i="1"/>
  <c r="A199" i="1"/>
  <c r="B199" i="1"/>
  <c r="C199" i="1"/>
  <c r="D199" i="1"/>
  <c r="E199" i="1"/>
  <c r="A211" i="1"/>
  <c r="B211" i="1"/>
  <c r="C211" i="1"/>
  <c r="D211" i="1"/>
  <c r="E211" i="1"/>
  <c r="A212" i="1"/>
  <c r="B212" i="1"/>
  <c r="C212" i="1"/>
  <c r="D212" i="1"/>
  <c r="E212" i="1"/>
  <c r="A226" i="1"/>
  <c r="B226" i="1"/>
  <c r="C226" i="1"/>
  <c r="D226" i="1"/>
  <c r="E226" i="1"/>
  <c r="A227" i="1"/>
  <c r="B227" i="1"/>
  <c r="C227" i="1"/>
  <c r="D227" i="1"/>
  <c r="E227" i="1"/>
  <c r="A236" i="1"/>
  <c r="B236" i="1"/>
  <c r="C236" i="1"/>
  <c r="D236" i="1"/>
  <c r="E236" i="1"/>
  <c r="A239" i="1"/>
  <c r="B239" i="1"/>
  <c r="C239" i="1"/>
  <c r="D239" i="1"/>
  <c r="E239" i="1"/>
  <c r="A245" i="1"/>
  <c r="B245" i="1"/>
  <c r="C245" i="1"/>
  <c r="D245" i="1"/>
  <c r="E245" i="1"/>
  <c r="A257" i="1"/>
  <c r="B257" i="1"/>
  <c r="C257" i="1"/>
  <c r="D257" i="1"/>
  <c r="E257" i="1"/>
  <c r="A264" i="1"/>
  <c r="B264" i="1"/>
  <c r="C264" i="1"/>
  <c r="D264" i="1"/>
  <c r="E264" i="1"/>
  <c r="A284" i="1"/>
  <c r="B284" i="1"/>
  <c r="C284" i="1"/>
  <c r="D284" i="1"/>
  <c r="E284" i="1"/>
  <c r="A291" i="1"/>
  <c r="B291" i="1"/>
  <c r="C291" i="1"/>
  <c r="D291" i="1"/>
  <c r="E291" i="1"/>
  <c r="A311" i="1"/>
  <c r="B311" i="1"/>
  <c r="C311" i="1"/>
  <c r="D311" i="1"/>
  <c r="E311" i="1"/>
  <c r="A312" i="1"/>
  <c r="B312" i="1"/>
  <c r="C312" i="1"/>
  <c r="D312" i="1"/>
  <c r="E312" i="1"/>
  <c r="A326" i="1"/>
  <c r="B326" i="1"/>
  <c r="C326" i="1"/>
  <c r="D326" i="1"/>
  <c r="E326" i="1"/>
  <c r="A336" i="1"/>
  <c r="B336" i="1"/>
  <c r="C336" i="1"/>
  <c r="D336" i="1"/>
  <c r="E336" i="1"/>
  <c r="A339" i="1"/>
  <c r="B339" i="1"/>
  <c r="C339" i="1"/>
  <c r="D339" i="1"/>
  <c r="E339" i="1"/>
  <c r="A342" i="1"/>
  <c r="B342" i="1"/>
  <c r="C342" i="1"/>
  <c r="D342" i="1"/>
  <c r="E342" i="1"/>
  <c r="A347" i="1"/>
  <c r="B347" i="1"/>
  <c r="C347" i="1"/>
  <c r="D347" i="1"/>
  <c r="E347" i="1"/>
  <c r="A352" i="1"/>
  <c r="B352" i="1"/>
  <c r="C352" i="1"/>
  <c r="D352" i="1"/>
  <c r="E352" i="1"/>
  <c r="A353" i="1"/>
  <c r="B353" i="1"/>
  <c r="C353" i="1"/>
  <c r="D353" i="1"/>
  <c r="E353" i="1"/>
  <c r="A357" i="1"/>
  <c r="B357" i="1"/>
  <c r="C357" i="1"/>
  <c r="D357" i="1"/>
  <c r="E357" i="1"/>
  <c r="A364" i="1"/>
  <c r="B364" i="1"/>
  <c r="C364" i="1"/>
  <c r="D364" i="1"/>
  <c r="E364" i="1"/>
  <c r="A365" i="1"/>
  <c r="B365" i="1"/>
  <c r="C365" i="1"/>
  <c r="D365" i="1"/>
  <c r="E365" i="1"/>
  <c r="A381" i="1"/>
  <c r="B381" i="1"/>
  <c r="C381" i="1"/>
  <c r="D381" i="1"/>
  <c r="E381" i="1"/>
  <c r="A386" i="1"/>
  <c r="B386" i="1"/>
  <c r="C386" i="1"/>
  <c r="D386" i="1"/>
  <c r="E386" i="1"/>
  <c r="A395" i="1"/>
  <c r="B395" i="1"/>
  <c r="C395" i="1"/>
  <c r="D395" i="1"/>
  <c r="E395" i="1"/>
  <c r="A397" i="1"/>
  <c r="B397" i="1"/>
  <c r="C397" i="1"/>
  <c r="D397" i="1"/>
  <c r="E397" i="1"/>
  <c r="A404" i="1"/>
  <c r="B404" i="1"/>
  <c r="C404" i="1"/>
  <c r="D404" i="1"/>
  <c r="E404" i="1"/>
  <c r="A401" i="1"/>
  <c r="B401" i="1"/>
  <c r="C401" i="1"/>
  <c r="D401" i="1"/>
  <c r="E401" i="1"/>
  <c r="A416" i="1"/>
  <c r="B416" i="1"/>
  <c r="C416" i="1"/>
  <c r="D416" i="1"/>
  <c r="E416" i="1"/>
  <c r="A429" i="1"/>
  <c r="B429" i="1"/>
  <c r="C429" i="1"/>
  <c r="D429" i="1"/>
  <c r="E429" i="1"/>
  <c r="A10" i="1"/>
  <c r="B10" i="1"/>
  <c r="C10" i="1"/>
  <c r="D10" i="1"/>
  <c r="E10" i="1"/>
  <c r="A23" i="1"/>
  <c r="B23" i="1"/>
  <c r="C23" i="1"/>
  <c r="D23" i="1"/>
  <c r="E23" i="1"/>
  <c r="A29" i="1"/>
  <c r="B29" i="1"/>
  <c r="C29" i="1"/>
  <c r="D29" i="1"/>
  <c r="E29" i="1"/>
  <c r="A41" i="1"/>
  <c r="B41" i="1"/>
  <c r="C41" i="1"/>
  <c r="D41" i="1"/>
  <c r="E41" i="1"/>
  <c r="A51" i="1"/>
  <c r="B51" i="1"/>
  <c r="C51" i="1"/>
  <c r="D51" i="1"/>
  <c r="E51" i="1"/>
  <c r="A70" i="1"/>
  <c r="B70" i="1"/>
  <c r="C70" i="1"/>
  <c r="D70" i="1"/>
  <c r="E70" i="1"/>
  <c r="A78" i="1"/>
  <c r="B78" i="1"/>
  <c r="C78" i="1"/>
  <c r="D78" i="1"/>
  <c r="E78" i="1"/>
  <c r="A88" i="1"/>
  <c r="B88" i="1"/>
  <c r="C88" i="1"/>
  <c r="D88" i="1"/>
  <c r="E88" i="1"/>
  <c r="A101" i="1"/>
  <c r="B101" i="1"/>
  <c r="C101" i="1"/>
  <c r="D101" i="1"/>
  <c r="E101" i="1"/>
  <c r="A115" i="1"/>
  <c r="B115" i="1"/>
  <c r="C115" i="1"/>
  <c r="D115" i="1"/>
  <c r="E115" i="1"/>
  <c r="A127" i="1"/>
  <c r="B127" i="1"/>
  <c r="C127" i="1"/>
  <c r="D127" i="1"/>
  <c r="E127" i="1"/>
  <c r="A136" i="1"/>
  <c r="B136" i="1"/>
  <c r="C136" i="1"/>
  <c r="D136" i="1"/>
  <c r="E136" i="1"/>
  <c r="A144" i="1"/>
  <c r="B144" i="1"/>
  <c r="C144" i="1"/>
  <c r="D144" i="1"/>
  <c r="E144" i="1"/>
  <c r="A167" i="1"/>
  <c r="B167" i="1"/>
  <c r="C167" i="1"/>
  <c r="D167" i="1"/>
  <c r="E167" i="1"/>
  <c r="A175" i="1"/>
  <c r="B175" i="1"/>
  <c r="C175" i="1"/>
  <c r="D175" i="1"/>
  <c r="E175" i="1"/>
  <c r="A197" i="1"/>
  <c r="B197" i="1"/>
  <c r="C197" i="1"/>
  <c r="D197" i="1"/>
  <c r="E197" i="1"/>
  <c r="A216" i="1"/>
  <c r="B216" i="1"/>
  <c r="C216" i="1"/>
  <c r="D216" i="1"/>
  <c r="E216" i="1"/>
  <c r="A230" i="1"/>
  <c r="B230" i="1"/>
  <c r="C230" i="1"/>
  <c r="D230" i="1"/>
  <c r="E230" i="1"/>
  <c r="A250" i="1"/>
  <c r="B250" i="1"/>
  <c r="C250" i="1"/>
  <c r="D250" i="1"/>
  <c r="E250" i="1"/>
  <c r="A252" i="1"/>
  <c r="B252" i="1"/>
  <c r="C252" i="1"/>
  <c r="D252" i="1"/>
  <c r="E252" i="1"/>
  <c r="A279" i="1"/>
  <c r="B279" i="1"/>
  <c r="C279" i="1"/>
  <c r="D279" i="1"/>
  <c r="E279" i="1"/>
  <c r="A289" i="1"/>
  <c r="B289" i="1"/>
  <c r="C289" i="1"/>
  <c r="D289" i="1"/>
  <c r="E289" i="1"/>
  <c r="A304" i="1"/>
  <c r="B304" i="1"/>
  <c r="C304" i="1"/>
  <c r="D304" i="1"/>
  <c r="E304" i="1"/>
  <c r="A301" i="1"/>
  <c r="B301" i="1"/>
  <c r="C301" i="1"/>
  <c r="D301" i="1"/>
  <c r="E301" i="1"/>
  <c r="A329" i="1"/>
  <c r="B329" i="1"/>
  <c r="C329" i="1"/>
  <c r="D329" i="1"/>
  <c r="E329" i="1"/>
  <c r="A333" i="1"/>
  <c r="B333" i="1"/>
  <c r="C333" i="1"/>
  <c r="D333" i="1"/>
  <c r="E333" i="1"/>
  <c r="A345" i="1"/>
  <c r="B345" i="1"/>
  <c r="C345" i="1"/>
  <c r="D345" i="1"/>
  <c r="E345" i="1"/>
  <c r="A344" i="1"/>
  <c r="B344" i="1"/>
  <c r="C344" i="1"/>
  <c r="D344" i="1"/>
  <c r="E344" i="1"/>
  <c r="A361" i="1"/>
  <c r="B361" i="1"/>
  <c r="C361" i="1"/>
  <c r="D361" i="1"/>
  <c r="E361" i="1"/>
  <c r="A363" i="1"/>
  <c r="B363" i="1"/>
  <c r="C363" i="1"/>
  <c r="D363" i="1"/>
  <c r="E363" i="1"/>
  <c r="A17" i="1"/>
  <c r="B17" i="1"/>
  <c r="C17" i="1"/>
  <c r="D17" i="1"/>
  <c r="E17" i="1"/>
  <c r="A426" i="1"/>
  <c r="B426" i="1"/>
  <c r="C426" i="1"/>
  <c r="D426" i="1"/>
  <c r="E426" i="1"/>
  <c r="A442" i="1"/>
  <c r="B442" i="1"/>
  <c r="C442" i="1"/>
  <c r="D442" i="1"/>
  <c r="E442" i="1"/>
  <c r="A387" i="1"/>
  <c r="B387" i="1"/>
  <c r="C387" i="1"/>
  <c r="D387" i="1"/>
  <c r="E387" i="1"/>
  <c r="A398" i="1"/>
  <c r="B398" i="1"/>
  <c r="C398" i="1"/>
  <c r="D398" i="1"/>
  <c r="E398" i="1"/>
  <c r="A410" i="1"/>
  <c r="B410" i="1"/>
  <c r="C410" i="1"/>
  <c r="D410" i="1"/>
  <c r="E410" i="1"/>
  <c r="A419" i="1"/>
  <c r="B419" i="1"/>
  <c r="C419" i="1"/>
  <c r="D419" i="1"/>
  <c r="E419" i="1"/>
  <c r="A438" i="1"/>
  <c r="B438" i="1"/>
  <c r="C438" i="1"/>
  <c r="D438" i="1"/>
  <c r="E438" i="1"/>
  <c r="A440" i="1"/>
  <c r="B440" i="1"/>
  <c r="C440" i="1"/>
  <c r="D440" i="1"/>
  <c r="E440" i="1"/>
  <c r="A222" i="1"/>
  <c r="B222" i="1"/>
  <c r="C222" i="1"/>
  <c r="D222" i="1"/>
  <c r="E222" i="1"/>
  <c r="A249" i="1"/>
  <c r="B249" i="1"/>
  <c r="C249" i="1"/>
  <c r="D249" i="1"/>
  <c r="E249" i="1"/>
  <c r="A270" i="1"/>
  <c r="B270" i="1"/>
  <c r="C270" i="1"/>
  <c r="D270" i="1"/>
  <c r="E270" i="1"/>
  <c r="A317" i="1"/>
  <c r="B317" i="1"/>
  <c r="C317" i="1"/>
  <c r="D317" i="1"/>
  <c r="E317" i="1"/>
  <c r="A379" i="1"/>
  <c r="B379" i="1"/>
  <c r="C379" i="1"/>
  <c r="D379" i="1"/>
  <c r="E379" i="1"/>
  <c r="A393" i="1"/>
  <c r="B393" i="1"/>
  <c r="C393" i="1"/>
  <c r="D393" i="1"/>
  <c r="E393" i="1"/>
  <c r="A405" i="1"/>
  <c r="B405" i="1"/>
  <c r="C405" i="1"/>
  <c r="D405" i="1"/>
  <c r="E405" i="1"/>
  <c r="A431" i="1"/>
  <c r="B431" i="1"/>
  <c r="C431" i="1"/>
  <c r="D431" i="1"/>
  <c r="E431" i="1"/>
  <c r="A31" i="1"/>
  <c r="B31" i="1"/>
  <c r="C31" i="1"/>
  <c r="D31" i="1"/>
  <c r="E31" i="1"/>
  <c r="A48" i="1"/>
  <c r="B48" i="1"/>
  <c r="C48" i="1"/>
  <c r="D48" i="1"/>
  <c r="E48" i="1"/>
  <c r="A72" i="1"/>
  <c r="B72" i="1"/>
  <c r="C72" i="1"/>
  <c r="D72" i="1"/>
  <c r="E72" i="1"/>
  <c r="A92" i="1"/>
  <c r="B92" i="1"/>
  <c r="C92" i="1"/>
  <c r="D92" i="1"/>
  <c r="E92" i="1"/>
  <c r="A119" i="1"/>
  <c r="B119" i="1"/>
  <c r="C119" i="1"/>
  <c r="D119" i="1"/>
  <c r="E119" i="1"/>
  <c r="A147" i="1"/>
  <c r="B147" i="1"/>
  <c r="C147" i="1"/>
  <c r="D147" i="1"/>
  <c r="E147" i="1"/>
  <c r="A156" i="1"/>
  <c r="B156" i="1"/>
  <c r="C156" i="1"/>
  <c r="D156" i="1"/>
  <c r="E156" i="1"/>
  <c r="A189" i="1"/>
  <c r="B189" i="1"/>
  <c r="C189" i="1"/>
  <c r="D189" i="1"/>
  <c r="E189" i="1"/>
  <c r="A231" i="1"/>
  <c r="B231" i="1"/>
  <c r="C231" i="1"/>
  <c r="D231" i="1"/>
  <c r="E231" i="1"/>
  <c r="A238" i="1"/>
  <c r="B238" i="1"/>
  <c r="C238" i="1"/>
  <c r="D238" i="1"/>
  <c r="E238" i="1"/>
  <c r="A265" i="1"/>
  <c r="B265" i="1"/>
  <c r="C265" i="1"/>
  <c r="D265" i="1"/>
  <c r="E265" i="1"/>
  <c r="A277" i="1"/>
  <c r="B277" i="1"/>
  <c r="C277" i="1"/>
  <c r="D277" i="1"/>
  <c r="E277" i="1"/>
  <c r="A310" i="1"/>
  <c r="B310" i="1"/>
  <c r="C310" i="1"/>
  <c r="D310" i="1"/>
  <c r="E310" i="1"/>
  <c r="A42" i="1"/>
  <c r="B42" i="1"/>
  <c r="C42" i="1"/>
  <c r="D42" i="1"/>
  <c r="E42" i="1"/>
  <c r="A113" i="1"/>
  <c r="B113" i="1"/>
  <c r="C113" i="1"/>
  <c r="D113" i="1"/>
  <c r="E113" i="1"/>
  <c r="A145" i="1"/>
  <c r="B145" i="1"/>
  <c r="C145" i="1"/>
  <c r="D145" i="1"/>
  <c r="E145" i="1"/>
  <c r="A162" i="1"/>
  <c r="B162" i="1"/>
  <c r="C162" i="1"/>
  <c r="D162" i="1"/>
  <c r="E162" i="1"/>
  <c r="A177" i="1"/>
  <c r="B177" i="1"/>
  <c r="C177" i="1"/>
  <c r="D177" i="1"/>
  <c r="E177" i="1"/>
  <c r="A204" i="1"/>
  <c r="B204" i="1"/>
  <c r="C204" i="1"/>
  <c r="D204" i="1"/>
  <c r="E204" i="1"/>
  <c r="A215" i="1"/>
  <c r="B215" i="1"/>
  <c r="C215" i="1"/>
  <c r="D215" i="1"/>
  <c r="E215" i="1"/>
  <c r="A255" i="1"/>
  <c r="B255" i="1"/>
  <c r="C255" i="1"/>
  <c r="D255" i="1"/>
  <c r="E255" i="1"/>
  <c r="A256" i="1"/>
  <c r="B256" i="1"/>
  <c r="C256" i="1"/>
  <c r="D256" i="1"/>
  <c r="E256" i="1"/>
  <c r="A281" i="1"/>
  <c r="B281" i="1"/>
  <c r="C281" i="1"/>
  <c r="D281" i="1"/>
  <c r="E281" i="1"/>
  <c r="A313" i="1"/>
  <c r="B313" i="1"/>
  <c r="C313" i="1"/>
  <c r="D313" i="1"/>
  <c r="E313" i="1"/>
  <c r="A322" i="1"/>
  <c r="B322" i="1"/>
  <c r="C322" i="1"/>
  <c r="D322" i="1"/>
  <c r="E322" i="1"/>
  <c r="A341" i="1"/>
  <c r="B341" i="1"/>
  <c r="C341" i="1"/>
  <c r="D341" i="1"/>
  <c r="E341" i="1"/>
  <c r="A349" i="1"/>
  <c r="B349" i="1"/>
  <c r="C349" i="1"/>
  <c r="D349" i="1"/>
  <c r="E349" i="1"/>
  <c r="A358" i="1"/>
  <c r="B358" i="1"/>
  <c r="C358" i="1"/>
  <c r="D358" i="1"/>
  <c r="E358" i="1"/>
  <c r="A377" i="1"/>
  <c r="B377" i="1"/>
  <c r="C377" i="1"/>
  <c r="D377" i="1"/>
  <c r="E377" i="1"/>
  <c r="A413" i="1"/>
  <c r="B413" i="1"/>
  <c r="C413" i="1"/>
  <c r="D413" i="1"/>
  <c r="E413" i="1"/>
  <c r="A422" i="1"/>
  <c r="B422" i="1"/>
  <c r="C422" i="1"/>
  <c r="D422" i="1"/>
  <c r="E422" i="1"/>
  <c r="A39" i="1"/>
  <c r="B39" i="1"/>
  <c r="C39" i="1"/>
  <c r="D39" i="1"/>
  <c r="E39" i="1"/>
  <c r="A66" i="1"/>
  <c r="B66" i="1"/>
  <c r="C66" i="1"/>
  <c r="D66" i="1"/>
  <c r="E66" i="1"/>
  <c r="A90" i="1"/>
  <c r="B90" i="1"/>
  <c r="C90" i="1"/>
  <c r="D90" i="1"/>
  <c r="E90" i="1"/>
  <c r="A112" i="1"/>
  <c r="B112" i="1"/>
  <c r="C112" i="1"/>
  <c r="D112" i="1"/>
  <c r="E112" i="1"/>
  <c r="A202" i="1"/>
  <c r="B202" i="1"/>
  <c r="C202" i="1"/>
  <c r="D202" i="1"/>
  <c r="E202" i="1"/>
  <c r="A35" i="1"/>
  <c r="B35" i="1"/>
  <c r="C35" i="1"/>
  <c r="D35" i="1"/>
  <c r="E35" i="1"/>
  <c r="A63" i="1"/>
  <c r="B63" i="1"/>
  <c r="C63" i="1"/>
  <c r="D63" i="1"/>
  <c r="E63" i="1"/>
  <c r="A84" i="1"/>
  <c r="B84" i="1"/>
  <c r="C84" i="1"/>
  <c r="D84" i="1"/>
  <c r="E84" i="1"/>
  <c r="A104" i="1"/>
  <c r="B104" i="1"/>
  <c r="C104" i="1"/>
  <c r="D104" i="1"/>
  <c r="E104" i="1"/>
  <c r="A153" i="1"/>
  <c r="B153" i="1"/>
  <c r="C153" i="1"/>
  <c r="D153" i="1"/>
  <c r="E153" i="1"/>
  <c r="A191" i="1"/>
  <c r="B191" i="1"/>
  <c r="C191" i="1"/>
  <c r="D191" i="1"/>
  <c r="E191" i="1"/>
  <c r="A28" i="1"/>
  <c r="B28" i="1"/>
  <c r="C28" i="1"/>
  <c r="D28" i="1"/>
  <c r="E28" i="1"/>
  <c r="A26" i="1"/>
  <c r="B26" i="1"/>
  <c r="C26" i="1"/>
  <c r="D26" i="1"/>
  <c r="E26" i="1"/>
  <c r="A27" i="1"/>
  <c r="B27" i="1"/>
  <c r="C27" i="1"/>
  <c r="D27" i="1"/>
  <c r="E27" i="1"/>
  <c r="A56" i="1"/>
  <c r="B56" i="1"/>
  <c r="C56" i="1"/>
  <c r="D56" i="1"/>
  <c r="E56" i="1"/>
  <c r="A53" i="1"/>
  <c r="B53" i="1"/>
  <c r="C53" i="1"/>
  <c r="D53" i="1"/>
  <c r="E53" i="1"/>
  <c r="A52" i="1"/>
  <c r="B52" i="1"/>
  <c r="C52" i="1"/>
  <c r="D52" i="1"/>
  <c r="E52" i="1"/>
  <c r="A77" i="1"/>
  <c r="B77" i="1"/>
  <c r="C77" i="1"/>
  <c r="D77" i="1"/>
  <c r="E77" i="1"/>
  <c r="A96" i="1"/>
  <c r="B96" i="1"/>
  <c r="C96" i="1"/>
  <c r="D96" i="1"/>
  <c r="E96" i="1"/>
  <c r="A107" i="1"/>
  <c r="B107" i="1"/>
  <c r="C107" i="1"/>
  <c r="D107" i="1"/>
  <c r="E107" i="1"/>
  <c r="A106" i="1"/>
  <c r="B106" i="1"/>
  <c r="C106" i="1"/>
  <c r="D106" i="1"/>
  <c r="E106" i="1"/>
  <c r="A137" i="1"/>
  <c r="B137" i="1"/>
  <c r="C137" i="1"/>
  <c r="D137" i="1"/>
  <c r="E137" i="1"/>
  <c r="A148" i="1"/>
  <c r="B148" i="1"/>
  <c r="C148" i="1"/>
  <c r="D148" i="1"/>
  <c r="E148" i="1"/>
  <c r="A178" i="1"/>
  <c r="B178" i="1"/>
  <c r="C178" i="1"/>
  <c r="D178" i="1"/>
  <c r="E178" i="1"/>
  <c r="A185" i="1"/>
  <c r="B185" i="1"/>
  <c r="C185" i="1"/>
  <c r="D185" i="1"/>
  <c r="E185" i="1"/>
  <c r="A209" i="1"/>
  <c r="B209" i="1"/>
  <c r="C209" i="1"/>
  <c r="D209" i="1"/>
  <c r="E209" i="1"/>
  <c r="A206" i="1"/>
  <c r="B206" i="1"/>
  <c r="C206" i="1"/>
  <c r="D206" i="1"/>
  <c r="E206" i="1"/>
  <c r="A229" i="1"/>
  <c r="B229" i="1"/>
  <c r="C229" i="1"/>
  <c r="D229" i="1"/>
  <c r="E229" i="1"/>
  <c r="A242" i="1"/>
  <c r="B242" i="1"/>
  <c r="C242" i="1"/>
  <c r="D242" i="1"/>
  <c r="E242" i="1"/>
  <c r="A254" i="1"/>
  <c r="B254" i="1"/>
  <c r="C254" i="1"/>
  <c r="D254" i="1"/>
  <c r="E254" i="1"/>
  <c r="A266" i="1"/>
  <c r="B266" i="1"/>
  <c r="C266" i="1"/>
  <c r="D266" i="1"/>
  <c r="E266" i="1"/>
  <c r="A286" i="1"/>
  <c r="B286" i="1"/>
  <c r="C286" i="1"/>
  <c r="D286" i="1"/>
  <c r="E286" i="1"/>
  <c r="A285" i="1"/>
  <c r="B285" i="1"/>
  <c r="C285" i="1"/>
  <c r="D285" i="1"/>
  <c r="E285" i="1"/>
  <c r="A303" i="1"/>
  <c r="B303" i="1"/>
  <c r="C303" i="1"/>
  <c r="D303" i="1"/>
  <c r="E303" i="1"/>
  <c r="A299" i="1"/>
  <c r="B299" i="1"/>
  <c r="C299" i="1"/>
  <c r="D299" i="1"/>
  <c r="E299" i="1"/>
  <c r="A321" i="1"/>
  <c r="B321" i="1"/>
  <c r="C321" i="1"/>
  <c r="D321" i="1"/>
  <c r="E321" i="1"/>
  <c r="A328" i="1"/>
  <c r="B328" i="1"/>
  <c r="C328" i="1"/>
  <c r="D328" i="1"/>
  <c r="E328" i="1"/>
  <c r="A330" i="1"/>
  <c r="B330" i="1"/>
  <c r="C330" i="1"/>
  <c r="D330" i="1"/>
  <c r="E330" i="1"/>
  <c r="A338" i="1"/>
  <c r="B338" i="1"/>
  <c r="C338" i="1"/>
  <c r="D338" i="1"/>
  <c r="E338" i="1"/>
  <c r="A346" i="1"/>
  <c r="B346" i="1"/>
  <c r="C346" i="1"/>
  <c r="D346" i="1"/>
  <c r="E346" i="1"/>
  <c r="A354" i="1"/>
  <c r="B354" i="1"/>
  <c r="C354" i="1"/>
  <c r="D354" i="1"/>
  <c r="E354" i="1"/>
  <c r="A356" i="1"/>
  <c r="B356" i="1"/>
  <c r="C356" i="1"/>
  <c r="D356" i="1"/>
  <c r="E356" i="1"/>
  <c r="A370" i="1"/>
  <c r="B370" i="1"/>
  <c r="C370" i="1"/>
  <c r="D370" i="1"/>
  <c r="E370" i="1"/>
  <c r="A367" i="1"/>
  <c r="B367" i="1"/>
  <c r="C367" i="1"/>
  <c r="D367" i="1"/>
  <c r="E367" i="1"/>
  <c r="A375" i="1"/>
  <c r="B375" i="1"/>
  <c r="C375" i="1"/>
  <c r="D375" i="1"/>
  <c r="E375" i="1"/>
  <c r="A437" i="1"/>
  <c r="B437" i="1"/>
  <c r="C437" i="1"/>
  <c r="D437" i="1"/>
  <c r="E437" i="1"/>
  <c r="A434" i="1"/>
  <c r="B434" i="1"/>
  <c r="C434" i="1"/>
  <c r="D434" i="1"/>
  <c r="E434" i="1"/>
  <c r="A12" i="1"/>
  <c r="B12" i="1"/>
  <c r="C12" i="1"/>
  <c r="D12" i="1"/>
  <c r="E12" i="1"/>
  <c r="A213" i="1"/>
  <c r="B213" i="1"/>
  <c r="C213" i="1"/>
  <c r="D213" i="1"/>
  <c r="E213" i="1"/>
  <c r="A262" i="1"/>
  <c r="B262" i="1"/>
  <c r="C262" i="1"/>
  <c r="D262" i="1"/>
  <c r="E262" i="1"/>
  <c r="A283" i="1"/>
  <c r="B283" i="1"/>
  <c r="C283" i="1"/>
  <c r="D283" i="1"/>
  <c r="E283" i="1"/>
  <c r="A298" i="1"/>
  <c r="B298" i="1"/>
  <c r="C298" i="1"/>
  <c r="D298" i="1"/>
  <c r="E298" i="1"/>
  <c r="A324" i="1"/>
  <c r="B324" i="1"/>
  <c r="C324" i="1"/>
  <c r="D324" i="1"/>
  <c r="E324" i="1"/>
  <c r="A374" i="1"/>
  <c r="B374" i="1"/>
  <c r="C374" i="1"/>
  <c r="D374" i="1"/>
  <c r="E374" i="1"/>
  <c r="A414" i="1"/>
  <c r="B414" i="1"/>
  <c r="C414" i="1"/>
  <c r="D414" i="1"/>
  <c r="E414" i="1"/>
  <c r="A420" i="1"/>
  <c r="B420" i="1"/>
  <c r="C420" i="1"/>
  <c r="D420" i="1"/>
  <c r="E420" i="1"/>
  <c r="A444" i="1"/>
  <c r="B444" i="1"/>
  <c r="C444" i="1"/>
  <c r="D444" i="1"/>
  <c r="E444" i="1"/>
  <c r="A45" i="1"/>
  <c r="B45" i="1"/>
  <c r="C45" i="1"/>
  <c r="D45" i="1"/>
  <c r="E45" i="1"/>
  <c r="A75" i="1"/>
  <c r="B75" i="1"/>
  <c r="C75" i="1"/>
  <c r="D75" i="1"/>
  <c r="E75" i="1"/>
  <c r="A86" i="1"/>
  <c r="B86" i="1"/>
  <c r="C86" i="1"/>
  <c r="D86" i="1"/>
  <c r="E86" i="1"/>
  <c r="A208" i="1"/>
  <c r="B208" i="1"/>
  <c r="C208" i="1"/>
  <c r="D208" i="1"/>
  <c r="E208" i="1"/>
  <c r="A269" i="1"/>
  <c r="B269" i="1"/>
  <c r="C269" i="1"/>
  <c r="D269" i="1"/>
  <c r="E269" i="1"/>
  <c r="A293" i="1"/>
  <c r="B293" i="1"/>
  <c r="C293" i="1"/>
  <c r="D293" i="1"/>
  <c r="E293" i="1"/>
  <c r="A308" i="1"/>
  <c r="B308" i="1"/>
  <c r="C308" i="1"/>
  <c r="D308" i="1"/>
  <c r="E308" i="1"/>
</calcChain>
</file>

<file path=xl/sharedStrings.xml><?xml version="1.0" encoding="utf-8"?>
<sst xmlns="http://schemas.openxmlformats.org/spreadsheetml/2006/main" count="10" uniqueCount="10">
  <si>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</si>
  <si>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</si>
  <si>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</si>
  <si>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</si>
  <si>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</si>
  <si>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</si>
  <si>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Приложение 2 к постановлению Правления Национального Банка Республики Казахстан от 21.04.2020г. №54</t>
  </si>
  <si>
    <t xml:space="preserve"> Отчет об остатках на балансовых  и внебалансовых счетах банков второго уровня</t>
  </si>
  <si>
    <t>ДО АО Банк ВТБ (Казахстан)</t>
  </si>
  <si>
    <t>за 30 июня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</si>
</sst>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43" fontId="0" fillId="0" borderId="10" xfId="1" applyFont="1" applyBorder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4"/>
  <sheetViews>
    <sheetView tabSelected="1" workbookViewId="0">
      <selection activeCell="J15" sqref="J15"/>
    </sheetView>
  </sheetViews>
  <sheetFormatPr defaultRowHeight="15" x14ac:dyDescent="0.25"/>
  <cols>
    <col min="2" max="2" width="34.140625" customWidth="1"/>
    <col min="6" max="6" width="20" bestFit="1" customWidth="1"/>
  </cols>
  <sheetData>
    <row r="1" spans="1:6" ht="73.5" customHeight="1" x14ac:dyDescent="0.25">
      <c r="A1" s="1"/>
      <c r="B1" s="2"/>
      <c r="C1" s="2"/>
      <c r="E1" s="2" t="s">
        <v>6</v>
      </c>
      <c r="F1" s="2"/>
    </row>
    <row r="2" spans="1:6" ht="19.899999999999999" customHeight="1" x14ac:dyDescent="0.25">
      <c r="A2" s="3" t="s">
        <v>7</v>
      </c>
      <c r="B2" s="3"/>
      <c r="C2" s="3"/>
      <c r="D2" s="4"/>
      <c r="E2" s="4"/>
      <c r="F2" s="4"/>
    </row>
    <row r="3" spans="1:6" ht="19.899999999999999" customHeight="1" x14ac:dyDescent="0.25">
      <c r="A3" s="3" t="s">
        <v>8</v>
      </c>
      <c r="B3" s="3"/>
      <c r="C3" s="3"/>
      <c r="D3" s="4"/>
      <c r="E3" s="4"/>
      <c r="F3" s="4"/>
    </row>
    <row r="4" spans="1:6" ht="19.899999999999999" customHeight="1" x14ac:dyDescent="0.25">
      <c r="A4" s="3" t="s">
        <v>9</v>
      </c>
      <c r="B4" s="3"/>
      <c r="C4" s="3"/>
      <c r="D4" s="4"/>
      <c r="E4" s="4"/>
      <c r="F4" s="4"/>
    </row>
    <row r="5" spans="1:6" ht="19.899999999999999" customHeight="1" x14ac:dyDescent="0.25">
      <c r="A5" s="5"/>
      <c r="B5" s="5"/>
      <c r="C5" s="5"/>
      <c r="D5" s="6"/>
      <c r="E5" s="6"/>
      <c r="F5" s="6"/>
    </row>
    <row r="6" spans="1:6" ht="60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</row>
    <row r="7" spans="1:6" x14ac:dyDescent="0.25">
      <c r="A7" s="8" t="str">
        <f>"1001"</f>
        <v>1001</v>
      </c>
      <c r="B7" s="8" t="str">
        <f>"Наличность в кассе"</f>
        <v>Наличность в кассе</v>
      </c>
      <c r="C7" s="8" t="str">
        <f>"1"</f>
        <v>1</v>
      </c>
      <c r="D7" s="8" t="str">
        <f t="shared" ref="D7:D15" si="0">"3"</f>
        <v>3</v>
      </c>
      <c r="E7" s="8" t="str">
        <f>"1"</f>
        <v>1</v>
      </c>
      <c r="F7" s="9">
        <v>1731378871</v>
      </c>
    </row>
    <row r="8" spans="1:6" x14ac:dyDescent="0.25">
      <c r="A8" s="8" t="str">
        <f>"1001"</f>
        <v>1001</v>
      </c>
      <c r="B8" s="8" t="str">
        <f>"Наличность в кассе"</f>
        <v>Наличность в кассе</v>
      </c>
      <c r="C8" s="8" t="str">
        <f>"2"</f>
        <v>2</v>
      </c>
      <c r="D8" s="8" t="str">
        <f t="shared" si="0"/>
        <v>3</v>
      </c>
      <c r="E8" s="8" t="str">
        <f>"2"</f>
        <v>2</v>
      </c>
      <c r="F8" s="9">
        <v>1740659626.6199999</v>
      </c>
    </row>
    <row r="9" spans="1:6" x14ac:dyDescent="0.25">
      <c r="A9" s="8" t="str">
        <f>"1001"</f>
        <v>1001</v>
      </c>
      <c r="B9" s="8" t="str">
        <f>"Наличность в кассе"</f>
        <v>Наличность в кассе</v>
      </c>
      <c r="C9" s="8" t="str">
        <f>"2"</f>
        <v>2</v>
      </c>
      <c r="D9" s="8" t="str">
        <f t="shared" si="0"/>
        <v>3</v>
      </c>
      <c r="E9" s="8" t="str">
        <f>"3"</f>
        <v>3</v>
      </c>
      <c r="F9" s="9">
        <v>8417080797.6000004</v>
      </c>
    </row>
    <row r="10" spans="1:6" x14ac:dyDescent="0.25">
      <c r="A10" s="8" t="str">
        <f>"1002"</f>
        <v>1002</v>
      </c>
      <c r="B10" s="8" t="str">
        <f>"Банкноты и монеты в пути"</f>
        <v>Банкноты и монеты в пути</v>
      </c>
      <c r="C10" s="8" t="str">
        <f>"1"</f>
        <v>1</v>
      </c>
      <c r="D10" s="8" t="str">
        <f t="shared" si="0"/>
        <v>3</v>
      </c>
      <c r="E10" s="8" t="str">
        <f>"1"</f>
        <v>1</v>
      </c>
      <c r="F10" s="9">
        <v>768082082</v>
      </c>
    </row>
    <row r="11" spans="1:6" x14ac:dyDescent="0.25">
      <c r="A11" s="8" t="str">
        <f>"1002"</f>
        <v>1002</v>
      </c>
      <c r="B11" s="8" t="str">
        <f>"Банкноты и монеты в пути"</f>
        <v>Банкноты и монеты в пути</v>
      </c>
      <c r="C11" s="8" t="str">
        <f>"2"</f>
        <v>2</v>
      </c>
      <c r="D11" s="8" t="str">
        <f t="shared" si="0"/>
        <v>3</v>
      </c>
      <c r="E11" s="8" t="str">
        <f>"2"</f>
        <v>2</v>
      </c>
      <c r="F11" s="9">
        <v>719575609.08000004</v>
      </c>
    </row>
    <row r="12" spans="1:6" x14ac:dyDescent="0.25">
      <c r="A12" s="8" t="str">
        <f>"1002"</f>
        <v>1002</v>
      </c>
      <c r="B12" s="8" t="str">
        <f>"Банкноты и монеты в пути"</f>
        <v>Банкноты и монеты в пути</v>
      </c>
      <c r="C12" s="8" t="str">
        <f>"2"</f>
        <v>2</v>
      </c>
      <c r="D12" s="8" t="str">
        <f t="shared" si="0"/>
        <v>3</v>
      </c>
      <c r="E12" s="8" t="str">
        <f>"3"</f>
        <v>3</v>
      </c>
      <c r="F12" s="9">
        <v>1987468542.72</v>
      </c>
    </row>
    <row r="13" spans="1:6" x14ac:dyDescent="0.25">
      <c r="A13" s="8" t="str">
        <f>"1005"</f>
        <v>1005</v>
      </c>
      <c r="B13" s="8" t="str">
        <f>"Наличность в банкоматах и электронных терминалах"</f>
        <v>Наличность в банкоматах и электронных терминалах</v>
      </c>
      <c r="C13" s="8" t="str">
        <f>"1"</f>
        <v>1</v>
      </c>
      <c r="D13" s="8" t="str">
        <f t="shared" si="0"/>
        <v>3</v>
      </c>
      <c r="E13" s="8" t="str">
        <f>"1"</f>
        <v>1</v>
      </c>
      <c r="F13" s="9">
        <v>403428400</v>
      </c>
    </row>
    <row r="14" spans="1:6" x14ac:dyDescent="0.25">
      <c r="A14" s="8" t="str">
        <f>"1051"</f>
        <v>1051</v>
      </c>
      <c r="B14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4" s="8" t="str">
        <f>"1"</f>
        <v>1</v>
      </c>
      <c r="D14" s="8" t="str">
        <f t="shared" si="0"/>
        <v>3</v>
      </c>
      <c r="E14" s="8" t="str">
        <f>"1"</f>
        <v>1</v>
      </c>
      <c r="F14" s="9">
        <v>29747841807.209999</v>
      </c>
    </row>
    <row r="15" spans="1:6" x14ac:dyDescent="0.25">
      <c r="A15" s="8" t="str">
        <f>"1051"</f>
        <v>1051</v>
      </c>
      <c r="B15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5" s="8" t="str">
        <f>"1"</f>
        <v>1</v>
      </c>
      <c r="D15" s="8" t="str">
        <f t="shared" si="0"/>
        <v>3</v>
      </c>
      <c r="E15" s="8" t="str">
        <f>"3"</f>
        <v>3</v>
      </c>
      <c r="F15" s="9">
        <v>9249400000</v>
      </c>
    </row>
    <row r="16" spans="1:6" x14ac:dyDescent="0.25">
      <c r="A16" s="8" t="str">
        <f>"1052"</f>
        <v>1052</v>
      </c>
      <c r="B16" s="8" t="str">
        <f>"Корреспондентские счета в других банках"</f>
        <v>Корреспондентские счета в других банках</v>
      </c>
      <c r="C16" s="8" t="str">
        <f>"1"</f>
        <v>1</v>
      </c>
      <c r="D16" s="8" t="str">
        <f>"5"</f>
        <v>5</v>
      </c>
      <c r="E16" s="8" t="str">
        <f>"2"</f>
        <v>2</v>
      </c>
      <c r="F16" s="9">
        <v>14483339.539999999</v>
      </c>
    </row>
    <row r="17" spans="1:6" x14ac:dyDescent="0.25">
      <c r="A17" s="8" t="str">
        <f>"1052"</f>
        <v>1052</v>
      </c>
      <c r="B17" s="8" t="str">
        <f>"Корреспондентские счета в других банках"</f>
        <v>Корреспондентские счета в других банках</v>
      </c>
      <c r="C17" s="8" t="str">
        <f>"2"</f>
        <v>2</v>
      </c>
      <c r="D17" s="8" t="str">
        <f>"4"</f>
        <v>4</v>
      </c>
      <c r="E17" s="8" t="str">
        <f>"1"</f>
        <v>1</v>
      </c>
      <c r="F17" s="9">
        <v>3739497.6</v>
      </c>
    </row>
    <row r="18" spans="1:6" x14ac:dyDescent="0.25">
      <c r="A18" s="8" t="str">
        <f>"1052"</f>
        <v>1052</v>
      </c>
      <c r="B18" s="8" t="str">
        <f>"Корреспондентские счета в других банках"</f>
        <v>Корреспондентские счета в других банках</v>
      </c>
      <c r="C18" s="8" t="str">
        <f>"2"</f>
        <v>2</v>
      </c>
      <c r="D18" s="8" t="str">
        <f>"4"</f>
        <v>4</v>
      </c>
      <c r="E18" s="8" t="str">
        <f>"2"</f>
        <v>2</v>
      </c>
      <c r="F18" s="9">
        <v>313529567.02999997</v>
      </c>
    </row>
    <row r="19" spans="1:6" x14ac:dyDescent="0.25">
      <c r="A19" s="8" t="str">
        <f>"1052"</f>
        <v>1052</v>
      </c>
      <c r="B19" s="8" t="str">
        <f>"Корреспондентские счета в других банках"</f>
        <v>Корреспондентские счета в других банках</v>
      </c>
      <c r="C19" s="8" t="str">
        <f>"2"</f>
        <v>2</v>
      </c>
      <c r="D19" s="8" t="str">
        <f>"4"</f>
        <v>4</v>
      </c>
      <c r="E19" s="8" t="str">
        <f>"3"</f>
        <v>3</v>
      </c>
      <c r="F19" s="9">
        <v>232955645.86000001</v>
      </c>
    </row>
    <row r="20" spans="1:6" x14ac:dyDescent="0.25">
      <c r="A20" s="8" t="str">
        <f t="shared" ref="A20:A25" si="1">"1054"</f>
        <v>1054</v>
      </c>
      <c r="B20" s="8" t="str">
        <f t="shared" ref="B20:B25" si="2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20" s="8" t="str">
        <f>"1"</f>
        <v>1</v>
      </c>
      <c r="D20" s="8" t="str">
        <f>"3"</f>
        <v>3</v>
      </c>
      <c r="E20" s="8" t="str">
        <f>"1"</f>
        <v>1</v>
      </c>
      <c r="F20" s="9">
        <v>-148739.21</v>
      </c>
    </row>
    <row r="21" spans="1:6" x14ac:dyDescent="0.25">
      <c r="A21" s="8" t="str">
        <f t="shared" si="1"/>
        <v>1054</v>
      </c>
      <c r="B21" s="8" t="str">
        <f t="shared" si="2"/>
        <v>Резервы (провизии) по корреспондентским счетам в других банках и текущим счетам ипотечных организаций</v>
      </c>
      <c r="C21" s="8" t="str">
        <f>"1"</f>
        <v>1</v>
      </c>
      <c r="D21" s="8" t="str">
        <f>"3"</f>
        <v>3</v>
      </c>
      <c r="E21" s="8" t="str">
        <f>"3"</f>
        <v>3</v>
      </c>
      <c r="F21" s="9">
        <v>-46247</v>
      </c>
    </row>
    <row r="22" spans="1:6" x14ac:dyDescent="0.25">
      <c r="A22" s="8" t="str">
        <f t="shared" si="1"/>
        <v>1054</v>
      </c>
      <c r="B22" s="8" t="str">
        <f t="shared" si="2"/>
        <v>Резервы (провизии) по корреспондентским счетам в других банках и текущим счетам ипотечных организаций</v>
      </c>
      <c r="C22" s="8" t="str">
        <f>"1"</f>
        <v>1</v>
      </c>
      <c r="D22" s="8" t="str">
        <f>"5"</f>
        <v>5</v>
      </c>
      <c r="E22" s="8" t="str">
        <f>"2"</f>
        <v>2</v>
      </c>
      <c r="F22" s="9">
        <v>-103.47</v>
      </c>
    </row>
    <row r="23" spans="1:6" x14ac:dyDescent="0.25">
      <c r="A23" s="8" t="str">
        <f t="shared" si="1"/>
        <v>1054</v>
      </c>
      <c r="B23" s="8" t="str">
        <f t="shared" si="2"/>
        <v>Резервы (провизии) по корреспондентским счетам в других банках и текущим счетам ипотечных организаций</v>
      </c>
      <c r="C23" s="8" t="str">
        <f>"2"</f>
        <v>2</v>
      </c>
      <c r="D23" s="8" t="str">
        <f>"4"</f>
        <v>4</v>
      </c>
      <c r="E23" s="8" t="str">
        <f>"1"</f>
        <v>1</v>
      </c>
      <c r="F23" s="9">
        <v>-123.4</v>
      </c>
    </row>
    <row r="24" spans="1:6" x14ac:dyDescent="0.25">
      <c r="A24" s="8" t="str">
        <f t="shared" si="1"/>
        <v>1054</v>
      </c>
      <c r="B24" s="8" t="str">
        <f t="shared" si="2"/>
        <v>Резервы (провизии) по корреспондентским счетам в других банках и текущим счетам ипотечных организаций</v>
      </c>
      <c r="C24" s="8" t="str">
        <f>"2"</f>
        <v>2</v>
      </c>
      <c r="D24" s="8" t="str">
        <f>"4"</f>
        <v>4</v>
      </c>
      <c r="E24" s="8" t="str">
        <f>"2"</f>
        <v>2</v>
      </c>
      <c r="F24" s="9">
        <v>-10342.33</v>
      </c>
    </row>
    <row r="25" spans="1:6" x14ac:dyDescent="0.25">
      <c r="A25" s="8" t="str">
        <f t="shared" si="1"/>
        <v>1054</v>
      </c>
      <c r="B25" s="8" t="str">
        <f t="shared" si="2"/>
        <v>Резервы (провизии) по корреспондентским счетам в других банках и текущим счетам ипотечных организаций</v>
      </c>
      <c r="C25" s="8" t="str">
        <f>"2"</f>
        <v>2</v>
      </c>
      <c r="D25" s="8" t="str">
        <f>"4"</f>
        <v>4</v>
      </c>
      <c r="E25" s="8" t="str">
        <f>"3"</f>
        <v>3</v>
      </c>
      <c r="F25" s="9">
        <v>-7687.51</v>
      </c>
    </row>
    <row r="26" spans="1:6" x14ac:dyDescent="0.25">
      <c r="A26" s="8" t="str">
        <f>"1259"</f>
        <v>1259</v>
      </c>
      <c r="B26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26" s="8" t="str">
        <f>"1"</f>
        <v>1</v>
      </c>
      <c r="D26" s="8" t="str">
        <f t="shared" ref="D26:D31" si="3">"5"</f>
        <v>5</v>
      </c>
      <c r="E26" s="8" t="str">
        <f>"1"</f>
        <v>1</v>
      </c>
      <c r="F26" s="9">
        <v>-1785048.24</v>
      </c>
    </row>
    <row r="27" spans="1:6" x14ac:dyDescent="0.25">
      <c r="A27" s="8" t="str">
        <f>"1259"</f>
        <v>1259</v>
      </c>
      <c r="B27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27" s="8" t="str">
        <f>"2"</f>
        <v>2</v>
      </c>
      <c r="D27" s="8" t="str">
        <f t="shared" si="3"/>
        <v>5</v>
      </c>
      <c r="E27" s="8" t="str">
        <f>"2"</f>
        <v>2</v>
      </c>
      <c r="F27" s="9">
        <v>-39555.589999999997</v>
      </c>
    </row>
    <row r="28" spans="1:6" x14ac:dyDescent="0.25">
      <c r="A28" s="8" t="str">
        <f>"1259"</f>
        <v>1259</v>
      </c>
      <c r="B28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28" s="8" t="str">
        <f>"2"</f>
        <v>2</v>
      </c>
      <c r="D28" s="8" t="str">
        <f t="shared" si="3"/>
        <v>5</v>
      </c>
      <c r="E28" s="8" t="str">
        <f>"3"</f>
        <v>3</v>
      </c>
      <c r="F28" s="9">
        <v>-9518.7099999999991</v>
      </c>
    </row>
    <row r="29" spans="1:6" x14ac:dyDescent="0.25">
      <c r="A29" s="8" t="str">
        <f>"1264"</f>
        <v>1264</v>
      </c>
      <c r="B29" s="8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C29" s="8" t="str">
        <f>"2"</f>
        <v>2</v>
      </c>
      <c r="D29" s="8" t="str">
        <f t="shared" si="3"/>
        <v>5</v>
      </c>
      <c r="E29" s="8" t="str">
        <f>"2"</f>
        <v>2</v>
      </c>
      <c r="F29" s="9">
        <v>172725117.06</v>
      </c>
    </row>
    <row r="30" spans="1:6" x14ac:dyDescent="0.25">
      <c r="A30" s="8" t="str">
        <f>"1267"</f>
        <v>1267</v>
      </c>
      <c r="B30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0" s="8" t="str">
        <f>"1"</f>
        <v>1</v>
      </c>
      <c r="D30" s="8" t="str">
        <f t="shared" si="3"/>
        <v>5</v>
      </c>
      <c r="E30" s="8" t="str">
        <f>"1"</f>
        <v>1</v>
      </c>
      <c r="F30" s="9">
        <v>76095500</v>
      </c>
    </row>
    <row r="31" spans="1:6" x14ac:dyDescent="0.25">
      <c r="A31" s="8" t="str">
        <f>"1267"</f>
        <v>1267</v>
      </c>
      <c r="B31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1" s="8" t="str">
        <f>"2"</f>
        <v>2</v>
      </c>
      <c r="D31" s="8" t="str">
        <f t="shared" si="3"/>
        <v>5</v>
      </c>
      <c r="E31" s="8" t="str">
        <f>"3"</f>
        <v>3</v>
      </c>
      <c r="F31" s="9">
        <v>704930</v>
      </c>
    </row>
    <row r="32" spans="1:6" x14ac:dyDescent="0.25">
      <c r="A32" s="8" t="str">
        <f>"1403"</f>
        <v>1403</v>
      </c>
      <c r="B32" s="8" t="str">
        <f>"Счета по кредитным карточкам клиентов"</f>
        <v>Счета по кредитным карточкам клиентов</v>
      </c>
      <c r="C32" s="8" t="str">
        <f t="shared" ref="C32:C38" si="4">"1"</f>
        <v>1</v>
      </c>
      <c r="D32" s="8" t="str">
        <f>"9"</f>
        <v>9</v>
      </c>
      <c r="E32" s="8" t="str">
        <f>"1"</f>
        <v>1</v>
      </c>
      <c r="F32" s="9">
        <v>8898754.7699999996</v>
      </c>
    </row>
    <row r="33" spans="1:6" x14ac:dyDescent="0.25">
      <c r="A33" s="8" t="str">
        <f>"1411"</f>
        <v>1411</v>
      </c>
      <c r="B33" s="8" t="str">
        <f>"Краткосрочные займы, предоставленные клиентам"</f>
        <v>Краткосрочные займы, предоставленные клиентам</v>
      </c>
      <c r="C33" s="8" t="str">
        <f t="shared" si="4"/>
        <v>1</v>
      </c>
      <c r="D33" s="8" t="str">
        <f>"7"</f>
        <v>7</v>
      </c>
      <c r="E33" s="8" t="str">
        <f>"1"</f>
        <v>1</v>
      </c>
      <c r="F33" s="9">
        <v>5674955660.71</v>
      </c>
    </row>
    <row r="34" spans="1:6" x14ac:dyDescent="0.25">
      <c r="A34" s="8" t="str">
        <f>"1411"</f>
        <v>1411</v>
      </c>
      <c r="B34" s="8" t="str">
        <f>"Краткосрочные займы, предоставленные клиентам"</f>
        <v>Краткосрочные займы, предоставленные клиентам</v>
      </c>
      <c r="C34" s="8" t="str">
        <f t="shared" si="4"/>
        <v>1</v>
      </c>
      <c r="D34" s="8" t="str">
        <f>"9"</f>
        <v>9</v>
      </c>
      <c r="E34" s="8" t="str">
        <f>"1"</f>
        <v>1</v>
      </c>
      <c r="F34" s="9">
        <v>624651530.22000003</v>
      </c>
    </row>
    <row r="35" spans="1:6" x14ac:dyDescent="0.25">
      <c r="A35" s="8" t="str">
        <f>"1417"</f>
        <v>1417</v>
      </c>
      <c r="B35" s="8" t="str">
        <f>"Долгосрочные займы, предоставленные клиентам"</f>
        <v>Долгосрочные займы, предоставленные клиентам</v>
      </c>
      <c r="C35" s="8" t="str">
        <f t="shared" si="4"/>
        <v>1</v>
      </c>
      <c r="D35" s="8" t="str">
        <f>"7"</f>
        <v>7</v>
      </c>
      <c r="E35" s="8" t="str">
        <f>"1"</f>
        <v>1</v>
      </c>
      <c r="F35" s="9">
        <v>32314746003.119999</v>
      </c>
    </row>
    <row r="36" spans="1:6" x14ac:dyDescent="0.25">
      <c r="A36" s="8" t="str">
        <f>"1417"</f>
        <v>1417</v>
      </c>
      <c r="B36" s="8" t="str">
        <f>"Долгосрочные займы, предоставленные клиентам"</f>
        <v>Долгосрочные займы, предоставленные клиентам</v>
      </c>
      <c r="C36" s="8" t="str">
        <f t="shared" si="4"/>
        <v>1</v>
      </c>
      <c r="D36" s="8" t="str">
        <f>"7"</f>
        <v>7</v>
      </c>
      <c r="E36" s="8" t="str">
        <f>"2"</f>
        <v>2</v>
      </c>
      <c r="F36" s="9">
        <v>6777171813.9099998</v>
      </c>
    </row>
    <row r="37" spans="1:6" x14ac:dyDescent="0.25">
      <c r="A37" s="8" t="str">
        <f>"1417"</f>
        <v>1417</v>
      </c>
      <c r="B37" s="8" t="str">
        <f>"Долгосрочные займы, предоставленные клиентам"</f>
        <v>Долгосрочные займы, предоставленные клиентам</v>
      </c>
      <c r="C37" s="8" t="str">
        <f t="shared" si="4"/>
        <v>1</v>
      </c>
      <c r="D37" s="8" t="str">
        <f>"7"</f>
        <v>7</v>
      </c>
      <c r="E37" s="8" t="str">
        <f>"3"</f>
        <v>3</v>
      </c>
      <c r="F37" s="9">
        <v>401350105.95999998</v>
      </c>
    </row>
    <row r="38" spans="1:6" x14ac:dyDescent="0.25">
      <c r="A38" s="8" t="str">
        <f>"1417"</f>
        <v>1417</v>
      </c>
      <c r="B38" s="8" t="str">
        <f>"Долгосрочные займы, предоставленные клиентам"</f>
        <v>Долгосрочные займы, предоставленные клиентам</v>
      </c>
      <c r="C38" s="8" t="str">
        <f t="shared" si="4"/>
        <v>1</v>
      </c>
      <c r="D38" s="8" t="str">
        <f>"9"</f>
        <v>9</v>
      </c>
      <c r="E38" s="8" t="str">
        <f>"1"</f>
        <v>1</v>
      </c>
      <c r="F38" s="9">
        <v>61299803711.129997</v>
      </c>
    </row>
    <row r="39" spans="1:6" x14ac:dyDescent="0.25">
      <c r="A39" s="8" t="str">
        <f>"1417"</f>
        <v>1417</v>
      </c>
      <c r="B39" s="8" t="str">
        <f>"Долгосрочные займы, предоставленные клиентам"</f>
        <v>Долгосрочные займы, предоставленные клиентам</v>
      </c>
      <c r="C39" s="8" t="str">
        <f>"2"</f>
        <v>2</v>
      </c>
      <c r="D39" s="8" t="str">
        <f>"9"</f>
        <v>9</v>
      </c>
      <c r="E39" s="8" t="str">
        <f>"1"</f>
        <v>1</v>
      </c>
      <c r="F39" s="9">
        <v>2289303.83</v>
      </c>
    </row>
    <row r="40" spans="1:6" x14ac:dyDescent="0.25">
      <c r="A40" s="8" t="str">
        <f>"1424"</f>
        <v>1424</v>
      </c>
      <c r="B40" s="8" t="str">
        <f>"Просроченная задолженность клиентов по займам"</f>
        <v>Просроченная задолженность клиентов по займам</v>
      </c>
      <c r="C40" s="8" t="str">
        <f>"1"</f>
        <v>1</v>
      </c>
      <c r="D40" s="8" t="str">
        <f>"5"</f>
        <v>5</v>
      </c>
      <c r="E40" s="8" t="str">
        <f>"1"</f>
        <v>1</v>
      </c>
      <c r="F40" s="9">
        <v>1044237</v>
      </c>
    </row>
    <row r="41" spans="1:6" x14ac:dyDescent="0.25">
      <c r="A41" s="8" t="str">
        <f>"1424"</f>
        <v>1424</v>
      </c>
      <c r="B41" s="8" t="str">
        <f>"Просроченная задолженность клиентов по займам"</f>
        <v>Просроченная задолженность клиентов по займам</v>
      </c>
      <c r="C41" s="8" t="str">
        <f>"1"</f>
        <v>1</v>
      </c>
      <c r="D41" s="8" t="str">
        <f>"7"</f>
        <v>7</v>
      </c>
      <c r="E41" s="8" t="str">
        <f>"1"</f>
        <v>1</v>
      </c>
      <c r="F41" s="9">
        <v>3058724198.23</v>
      </c>
    </row>
    <row r="42" spans="1:6" x14ac:dyDescent="0.25">
      <c r="A42" s="8" t="str">
        <f>"1424"</f>
        <v>1424</v>
      </c>
      <c r="B42" s="8" t="str">
        <f>"Просроченная задолженность клиентов по займам"</f>
        <v>Просроченная задолженность клиентов по займам</v>
      </c>
      <c r="C42" s="8" t="str">
        <f>"1"</f>
        <v>1</v>
      </c>
      <c r="D42" s="8" t="str">
        <f>"7"</f>
        <v>7</v>
      </c>
      <c r="E42" s="8" t="str">
        <f>"2"</f>
        <v>2</v>
      </c>
      <c r="F42" s="9">
        <v>658685277.77999997</v>
      </c>
    </row>
    <row r="43" spans="1:6" x14ac:dyDescent="0.25">
      <c r="A43" s="8" t="str">
        <f>"1424"</f>
        <v>1424</v>
      </c>
      <c r="B43" s="8" t="str">
        <f>"Просроченная задолженность клиентов по займам"</f>
        <v>Просроченная задолженность клиентов по займам</v>
      </c>
      <c r="C43" s="8" t="str">
        <f>"1"</f>
        <v>1</v>
      </c>
      <c r="D43" s="8" t="str">
        <f>"9"</f>
        <v>9</v>
      </c>
      <c r="E43" s="8" t="str">
        <f>"1"</f>
        <v>1</v>
      </c>
      <c r="F43" s="9">
        <v>5896086958.3599997</v>
      </c>
    </row>
    <row r="44" spans="1:6" x14ac:dyDescent="0.25">
      <c r="A44" s="8" t="str">
        <f>"1424"</f>
        <v>1424</v>
      </c>
      <c r="B44" s="8" t="str">
        <f>"Просроченная задолженность клиентов по займам"</f>
        <v>Просроченная задолженность клиентов по займам</v>
      </c>
      <c r="C44" s="8" t="str">
        <f>"2"</f>
        <v>2</v>
      </c>
      <c r="D44" s="8" t="str">
        <f>"9"</f>
        <v>9</v>
      </c>
      <c r="E44" s="8" t="str">
        <f>"1"</f>
        <v>1</v>
      </c>
      <c r="F44" s="9">
        <v>424194.21</v>
      </c>
    </row>
    <row r="45" spans="1:6" x14ac:dyDescent="0.25">
      <c r="A45" s="8" t="str">
        <f t="shared" ref="A45:A50" si="5">"1428"</f>
        <v>1428</v>
      </c>
      <c r="B45" s="8" t="str">
        <f t="shared" ref="B45:B50" si="6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45" s="8" t="str">
        <f>"1"</f>
        <v>1</v>
      </c>
      <c r="D45" s="8" t="str">
        <f>"5"</f>
        <v>5</v>
      </c>
      <c r="E45" s="8" t="str">
        <f>"1"</f>
        <v>1</v>
      </c>
      <c r="F45" s="9">
        <v>-2506458.38</v>
      </c>
    </row>
    <row r="46" spans="1:6" x14ac:dyDescent="0.25">
      <c r="A46" s="8" t="str">
        <f t="shared" si="5"/>
        <v>1428</v>
      </c>
      <c r="B46" s="8" t="str">
        <f t="shared" si="6"/>
        <v>Резервы (провизии) по займам и финансовому лизингу, предоставленным клиентам</v>
      </c>
      <c r="C46" s="8" t="str">
        <f>"1"</f>
        <v>1</v>
      </c>
      <c r="D46" s="8" t="str">
        <f>"7"</f>
        <v>7</v>
      </c>
      <c r="E46" s="8" t="str">
        <f>"1"</f>
        <v>1</v>
      </c>
      <c r="F46" s="9">
        <v>-5049090003.3999996</v>
      </c>
    </row>
    <row r="47" spans="1:6" x14ac:dyDescent="0.25">
      <c r="A47" s="8" t="str">
        <f t="shared" si="5"/>
        <v>1428</v>
      </c>
      <c r="B47" s="8" t="str">
        <f t="shared" si="6"/>
        <v>Резервы (провизии) по займам и финансовому лизингу, предоставленным клиентам</v>
      </c>
      <c r="C47" s="8" t="str">
        <f>"1"</f>
        <v>1</v>
      </c>
      <c r="D47" s="8" t="str">
        <f>"7"</f>
        <v>7</v>
      </c>
      <c r="E47" s="8" t="str">
        <f>"2"</f>
        <v>2</v>
      </c>
      <c r="F47" s="9">
        <v>-733606432.49000001</v>
      </c>
    </row>
    <row r="48" spans="1:6" x14ac:dyDescent="0.25">
      <c r="A48" s="8" t="str">
        <f t="shared" si="5"/>
        <v>1428</v>
      </c>
      <c r="B48" s="8" t="str">
        <f t="shared" si="6"/>
        <v>Резервы (провизии) по займам и финансовому лизингу, предоставленным клиентам</v>
      </c>
      <c r="C48" s="8" t="str">
        <f>"1"</f>
        <v>1</v>
      </c>
      <c r="D48" s="8" t="str">
        <f>"9"</f>
        <v>9</v>
      </c>
      <c r="E48" s="8" t="str">
        <f>"1"</f>
        <v>1</v>
      </c>
      <c r="F48" s="9">
        <v>-6893195717.0500002</v>
      </c>
    </row>
    <row r="49" spans="1:6" x14ac:dyDescent="0.25">
      <c r="A49" s="8" t="str">
        <f t="shared" si="5"/>
        <v>1428</v>
      </c>
      <c r="B49" s="8" t="str">
        <f t="shared" si="6"/>
        <v>Резервы (провизии) по займам и финансовому лизингу, предоставленным клиентам</v>
      </c>
      <c r="C49" s="8" t="str">
        <f>"1"</f>
        <v>1</v>
      </c>
      <c r="D49" s="8" t="str">
        <f>"9"</f>
        <v>9</v>
      </c>
      <c r="E49" s="8" t="str">
        <f>"3"</f>
        <v>3</v>
      </c>
      <c r="F49" s="9">
        <v>-8755.41</v>
      </c>
    </row>
    <row r="50" spans="1:6" x14ac:dyDescent="0.25">
      <c r="A50" s="8" t="str">
        <f t="shared" si="5"/>
        <v>1428</v>
      </c>
      <c r="B50" s="8" t="str">
        <f t="shared" si="6"/>
        <v>Резервы (провизии) по займам и финансовому лизингу, предоставленным клиентам</v>
      </c>
      <c r="C50" s="8" t="str">
        <f>"2"</f>
        <v>2</v>
      </c>
      <c r="D50" s="8" t="str">
        <f>"9"</f>
        <v>9</v>
      </c>
      <c r="E50" s="8" t="str">
        <f>"1"</f>
        <v>1</v>
      </c>
      <c r="F50" s="9">
        <v>-29995.59</v>
      </c>
    </row>
    <row r="51" spans="1:6" x14ac:dyDescent="0.25">
      <c r="A51" s="8" t="str">
        <f t="shared" ref="A51:A56" si="7">"1434"</f>
        <v>1434</v>
      </c>
      <c r="B51" s="8" t="str">
        <f t="shared" ref="B51:B56" si="8">"Дисконт по займам, предоставленным клиентам"</f>
        <v>Дисконт по займам, предоставленным клиентам</v>
      </c>
      <c r="C51" s="8" t="str">
        <f>"1"</f>
        <v>1</v>
      </c>
      <c r="D51" s="8" t="str">
        <f>"5"</f>
        <v>5</v>
      </c>
      <c r="E51" s="8" t="str">
        <f>"1"</f>
        <v>1</v>
      </c>
      <c r="F51" s="9">
        <v>-813879.22</v>
      </c>
    </row>
    <row r="52" spans="1:6" x14ac:dyDescent="0.25">
      <c r="A52" s="8" t="str">
        <f t="shared" si="7"/>
        <v>1434</v>
      </c>
      <c r="B52" s="8" t="str">
        <f t="shared" si="8"/>
        <v>Дисконт по займам, предоставленным клиентам</v>
      </c>
      <c r="C52" s="8" t="str">
        <f>"1"</f>
        <v>1</v>
      </c>
      <c r="D52" s="8" t="str">
        <f>"7"</f>
        <v>7</v>
      </c>
      <c r="E52" s="8" t="str">
        <f>"1"</f>
        <v>1</v>
      </c>
      <c r="F52" s="9">
        <v>-1746556118.9200001</v>
      </c>
    </row>
    <row r="53" spans="1:6" x14ac:dyDescent="0.25">
      <c r="A53" s="8" t="str">
        <f t="shared" si="7"/>
        <v>1434</v>
      </c>
      <c r="B53" s="8" t="str">
        <f t="shared" si="8"/>
        <v>Дисконт по займам, предоставленным клиентам</v>
      </c>
      <c r="C53" s="8" t="str">
        <f>"1"</f>
        <v>1</v>
      </c>
      <c r="D53" s="8" t="str">
        <f>"7"</f>
        <v>7</v>
      </c>
      <c r="E53" s="8" t="str">
        <f>"2"</f>
        <v>2</v>
      </c>
      <c r="F53" s="9">
        <v>-93395761.849999994</v>
      </c>
    </row>
    <row r="54" spans="1:6" x14ac:dyDescent="0.25">
      <c r="A54" s="8" t="str">
        <f t="shared" si="7"/>
        <v>1434</v>
      </c>
      <c r="B54" s="8" t="str">
        <f t="shared" si="8"/>
        <v>Дисконт по займам, предоставленным клиентам</v>
      </c>
      <c r="C54" s="8" t="str">
        <f>"1"</f>
        <v>1</v>
      </c>
      <c r="D54" s="8" t="str">
        <f>"7"</f>
        <v>7</v>
      </c>
      <c r="E54" s="8" t="str">
        <f>"3"</f>
        <v>3</v>
      </c>
      <c r="F54" s="9">
        <v>-1317084.57</v>
      </c>
    </row>
    <row r="55" spans="1:6" x14ac:dyDescent="0.25">
      <c r="A55" s="8" t="str">
        <f t="shared" si="7"/>
        <v>1434</v>
      </c>
      <c r="B55" s="8" t="str">
        <f t="shared" si="8"/>
        <v>Дисконт по займам, предоставленным клиентам</v>
      </c>
      <c r="C55" s="8" t="str">
        <f>"1"</f>
        <v>1</v>
      </c>
      <c r="D55" s="8" t="str">
        <f>"9"</f>
        <v>9</v>
      </c>
      <c r="E55" s="8" t="str">
        <f>"1"</f>
        <v>1</v>
      </c>
      <c r="F55" s="9">
        <v>-358444806.12</v>
      </c>
    </row>
    <row r="56" spans="1:6" x14ac:dyDescent="0.25">
      <c r="A56" s="8" t="str">
        <f t="shared" si="7"/>
        <v>1434</v>
      </c>
      <c r="B56" s="8" t="str">
        <f t="shared" si="8"/>
        <v>Дисконт по займам, предоставленным клиентам</v>
      </c>
      <c r="C56" s="8" t="str">
        <f>"2"</f>
        <v>2</v>
      </c>
      <c r="D56" s="8" t="str">
        <f>"9"</f>
        <v>9</v>
      </c>
      <c r="E56" s="8" t="str">
        <f>"1"</f>
        <v>1</v>
      </c>
      <c r="F56" s="9">
        <v>-28550.43</v>
      </c>
    </row>
    <row r="57" spans="1:6" x14ac:dyDescent="0.25">
      <c r="A57" s="8" t="str">
        <f>"1435"</f>
        <v>1435</v>
      </c>
      <c r="B57" s="8" t="str">
        <f>"Премия по займам, предоставленным клиентам"</f>
        <v>Премия по займам, предоставленным клиентам</v>
      </c>
      <c r="C57" s="8" t="str">
        <f>"1"</f>
        <v>1</v>
      </c>
      <c r="D57" s="8" t="str">
        <f>"7"</f>
        <v>7</v>
      </c>
      <c r="E57" s="8" t="str">
        <f>"1"</f>
        <v>1</v>
      </c>
      <c r="F57" s="9">
        <v>295150347.81999999</v>
      </c>
    </row>
    <row r="58" spans="1:6" x14ac:dyDescent="0.25">
      <c r="A58" s="8" t="str">
        <f>"1435"</f>
        <v>1435</v>
      </c>
      <c r="B58" s="8" t="str">
        <f>"Премия по займам, предоставленным клиентам"</f>
        <v>Премия по займам, предоставленным клиентам</v>
      </c>
      <c r="C58" s="8" t="str">
        <f>"1"</f>
        <v>1</v>
      </c>
      <c r="D58" s="8" t="str">
        <f>"7"</f>
        <v>7</v>
      </c>
      <c r="E58" s="8" t="str">
        <f>"2"</f>
        <v>2</v>
      </c>
      <c r="F58" s="9">
        <v>29206665.350000001</v>
      </c>
    </row>
    <row r="59" spans="1:6" x14ac:dyDescent="0.25">
      <c r="A59" s="8" t="str">
        <f>"1435"</f>
        <v>1435</v>
      </c>
      <c r="B59" s="8" t="str">
        <f>"Премия по займам, предоставленным клиентам"</f>
        <v>Премия по займам, предоставленным клиентам</v>
      </c>
      <c r="C59" s="8" t="str">
        <f>"1"</f>
        <v>1</v>
      </c>
      <c r="D59" s="8" t="str">
        <f>"9"</f>
        <v>9</v>
      </c>
      <c r="E59" s="8" t="str">
        <f t="shared" ref="E59:E66" si="9">"1"</f>
        <v>1</v>
      </c>
      <c r="F59" s="9">
        <v>907559827.49000001</v>
      </c>
    </row>
    <row r="60" spans="1:6" x14ac:dyDescent="0.25">
      <c r="A60" s="8" t="str">
        <f>"1435"</f>
        <v>1435</v>
      </c>
      <c r="B60" s="8" t="str">
        <f>"Премия по займам, предоставленным клиентам"</f>
        <v>Премия по займам, предоставленным клиентам</v>
      </c>
      <c r="C60" s="8" t="str">
        <f>"2"</f>
        <v>2</v>
      </c>
      <c r="D60" s="8" t="str">
        <f>"9"</f>
        <v>9</v>
      </c>
      <c r="E60" s="8" t="str">
        <f t="shared" si="9"/>
        <v>1</v>
      </c>
      <c r="F60" s="9">
        <v>41292.86</v>
      </c>
    </row>
    <row r="61" spans="1:6" x14ac:dyDescent="0.25">
      <c r="A61" s="8" t="str">
        <f>"1491"</f>
        <v>1491</v>
      </c>
      <c r="B61" s="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C61" s="8" t="str">
        <f>"1"</f>
        <v>1</v>
      </c>
      <c r="D61" s="8" t="str">
        <f>"5"</f>
        <v>5</v>
      </c>
      <c r="E61" s="8" t="str">
        <f t="shared" si="9"/>
        <v>1</v>
      </c>
      <c r="F61" s="9">
        <v>20384615.620000001</v>
      </c>
    </row>
    <row r="62" spans="1:6" x14ac:dyDescent="0.25">
      <c r="A62" s="8" t="str">
        <f>"1491"</f>
        <v>1491</v>
      </c>
      <c r="B62" s="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C62" s="8" t="str">
        <f>"1"</f>
        <v>1</v>
      </c>
      <c r="D62" s="8" t="str">
        <f>"7"</f>
        <v>7</v>
      </c>
      <c r="E62" s="8" t="str">
        <f t="shared" si="9"/>
        <v>1</v>
      </c>
      <c r="F62" s="9">
        <v>34980000</v>
      </c>
    </row>
    <row r="63" spans="1:6" x14ac:dyDescent="0.25">
      <c r="A63" s="8" t="str">
        <f>"1492"</f>
        <v>1492</v>
      </c>
      <c r="B63" s="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C63" s="8" t="str">
        <f>"1"</f>
        <v>1</v>
      </c>
      <c r="D63" s="8" t="str">
        <f>"5"</f>
        <v>5</v>
      </c>
      <c r="E63" s="8" t="str">
        <f t="shared" si="9"/>
        <v>1</v>
      </c>
      <c r="F63" s="9">
        <v>-11425916.300000001</v>
      </c>
    </row>
    <row r="64" spans="1:6" x14ac:dyDescent="0.25">
      <c r="A64" s="8" t="str">
        <f>"1492"</f>
        <v>1492</v>
      </c>
      <c r="B64" s="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C64" s="8" t="str">
        <f>"1"</f>
        <v>1</v>
      </c>
      <c r="D64" s="8" t="str">
        <f>"7"</f>
        <v>7</v>
      </c>
      <c r="E64" s="8" t="str">
        <f t="shared" si="9"/>
        <v>1</v>
      </c>
      <c r="F64" s="9">
        <v>-7934259.04</v>
      </c>
    </row>
    <row r="65" spans="1:6" x14ac:dyDescent="0.25">
      <c r="A65" s="8" t="str">
        <f>"1495"</f>
        <v>1495</v>
      </c>
      <c r="B65" s="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C65" s="8" t="str">
        <f>"1"</f>
        <v>1</v>
      </c>
      <c r="D65" s="8" t="str">
        <f>"5"</f>
        <v>5</v>
      </c>
      <c r="E65" s="8" t="str">
        <f t="shared" si="9"/>
        <v>1</v>
      </c>
      <c r="F65" s="9">
        <v>-483769.76</v>
      </c>
    </row>
    <row r="66" spans="1:6" x14ac:dyDescent="0.25">
      <c r="A66" s="8" t="str">
        <f>"1551"</f>
        <v>1551</v>
      </c>
      <c r="B66" s="8" t="str">
        <f>"Расчеты с другими банками"</f>
        <v>Расчеты с другими банками</v>
      </c>
      <c r="C66" s="8" t="str">
        <f>"2"</f>
        <v>2</v>
      </c>
      <c r="D66" s="8" t="str">
        <f>"4"</f>
        <v>4</v>
      </c>
      <c r="E66" s="8" t="str">
        <f t="shared" si="9"/>
        <v>1</v>
      </c>
      <c r="F66" s="9">
        <v>486991000</v>
      </c>
    </row>
    <row r="67" spans="1:6" x14ac:dyDescent="0.25">
      <c r="A67" s="8" t="str">
        <f>"1602"</f>
        <v>1602</v>
      </c>
      <c r="B67" s="8" t="str">
        <f>"Прочие запасы"</f>
        <v>Прочие запасы</v>
      </c>
      <c r="C67" s="8" t="str">
        <f>""</f>
        <v/>
      </c>
      <c r="D67" s="8" t="str">
        <f>""</f>
        <v/>
      </c>
      <c r="E67" s="8" t="str">
        <f>""</f>
        <v/>
      </c>
      <c r="F67" s="9">
        <v>29866861.23</v>
      </c>
    </row>
    <row r="68" spans="1:6" x14ac:dyDescent="0.25">
      <c r="A68" s="8" t="str">
        <f>"1610"</f>
        <v>1610</v>
      </c>
      <c r="B68" s="8" t="str">
        <f>"Долгосрочные активы, предназначенные для продажи"</f>
        <v>Долгосрочные активы, предназначенные для продажи</v>
      </c>
      <c r="C68" s="8" t="str">
        <f>""</f>
        <v/>
      </c>
      <c r="D68" s="8" t="str">
        <f>""</f>
        <v/>
      </c>
      <c r="E68" s="8" t="str">
        <f>""</f>
        <v/>
      </c>
      <c r="F68" s="9">
        <v>143373346.97999999</v>
      </c>
    </row>
    <row r="69" spans="1:6" x14ac:dyDescent="0.25">
      <c r="A69" s="8" t="str">
        <f>"1651"</f>
        <v>1651</v>
      </c>
      <c r="B69" s="8" t="str">
        <f>"Строящиеся (устанавливаемые) основные средства"</f>
        <v>Строящиеся (устанавливаемые) основные средства</v>
      </c>
      <c r="C69" s="8" t="str">
        <f>""</f>
        <v/>
      </c>
      <c r="D69" s="8" t="str">
        <f>""</f>
        <v/>
      </c>
      <c r="E69" s="8" t="str">
        <f>""</f>
        <v/>
      </c>
      <c r="F69" s="9">
        <v>312788040.18000001</v>
      </c>
    </row>
    <row r="70" spans="1:6" x14ac:dyDescent="0.25">
      <c r="A70" s="8" t="str">
        <f>"1652"</f>
        <v>1652</v>
      </c>
      <c r="B70" s="8" t="str">
        <f>"Земля, здания и сооружения"</f>
        <v>Земля, здания и сооружения</v>
      </c>
      <c r="C70" s="8" t="str">
        <f>""</f>
        <v/>
      </c>
      <c r="D70" s="8" t="str">
        <f>""</f>
        <v/>
      </c>
      <c r="E70" s="8" t="str">
        <f>""</f>
        <v/>
      </c>
      <c r="F70" s="9">
        <v>527730725.13999999</v>
      </c>
    </row>
    <row r="71" spans="1:6" x14ac:dyDescent="0.25">
      <c r="A71" s="8" t="str">
        <f>"1653"</f>
        <v>1653</v>
      </c>
      <c r="B71" s="8" t="str">
        <f>"Компьютерное оборудование"</f>
        <v>Компьютерное оборудование</v>
      </c>
      <c r="C71" s="8" t="str">
        <f>""</f>
        <v/>
      </c>
      <c r="D71" s="8" t="str">
        <f>""</f>
        <v/>
      </c>
      <c r="E71" s="8" t="str">
        <f>""</f>
        <v/>
      </c>
      <c r="F71" s="9">
        <v>3063323214.1900001</v>
      </c>
    </row>
    <row r="72" spans="1:6" x14ac:dyDescent="0.25">
      <c r="A72" s="8" t="str">
        <f>"1654"</f>
        <v>1654</v>
      </c>
      <c r="B72" s="8" t="str">
        <f>"Прочие основные средства"</f>
        <v>Прочие основные средства</v>
      </c>
      <c r="C72" s="8" t="str">
        <f>""</f>
        <v/>
      </c>
      <c r="D72" s="8" t="str">
        <f>""</f>
        <v/>
      </c>
      <c r="E72" s="8" t="str">
        <f>""</f>
        <v/>
      </c>
      <c r="F72" s="9">
        <v>3378564076.9899998</v>
      </c>
    </row>
    <row r="73" spans="1:6" x14ac:dyDescent="0.25">
      <c r="A73" s="8" t="str">
        <f>"1655"</f>
        <v>1655</v>
      </c>
      <c r="B73" s="8" t="str">
        <f>"Активы в форме права пользования"</f>
        <v>Активы в форме права пользования</v>
      </c>
      <c r="C73" s="8" t="str">
        <f>""</f>
        <v/>
      </c>
      <c r="D73" s="8" t="str">
        <f>""</f>
        <v/>
      </c>
      <c r="E73" s="8" t="str">
        <f>""</f>
        <v/>
      </c>
      <c r="F73" s="9">
        <v>2380497978.6500001</v>
      </c>
    </row>
    <row r="74" spans="1:6" x14ac:dyDescent="0.25">
      <c r="A74" s="8" t="str">
        <f>"1657"</f>
        <v>1657</v>
      </c>
      <c r="B74" s="8" t="str">
        <f>"Капитальные затраты по активам в форме права пользования"</f>
        <v>Капитальные затраты по активам в форме права пользования</v>
      </c>
      <c r="C74" s="8" t="str">
        <f>""</f>
        <v/>
      </c>
      <c r="D74" s="8" t="str">
        <f>""</f>
        <v/>
      </c>
      <c r="E74" s="8" t="str">
        <f>""</f>
        <v/>
      </c>
      <c r="F74" s="9">
        <v>757059622.52999997</v>
      </c>
    </row>
    <row r="75" spans="1:6" x14ac:dyDescent="0.25">
      <c r="A75" s="8" t="str">
        <f>"1658"</f>
        <v>1658</v>
      </c>
      <c r="B75" s="8" t="str">
        <f>"Транспортные средства"</f>
        <v>Транспортные средства</v>
      </c>
      <c r="C75" s="8" t="str">
        <f>""</f>
        <v/>
      </c>
      <c r="D75" s="8" t="str">
        <f>""</f>
        <v/>
      </c>
      <c r="E75" s="8" t="str">
        <f>""</f>
        <v/>
      </c>
      <c r="F75" s="9">
        <v>79345635.069999993</v>
      </c>
    </row>
    <row r="76" spans="1:6" x14ac:dyDescent="0.25">
      <c r="A76" s="8" t="str">
        <f>"1659"</f>
        <v>1659</v>
      </c>
      <c r="B76" s="8" t="str">
        <f>"Нематериальные активы"</f>
        <v>Нематериальные активы</v>
      </c>
      <c r="C76" s="8" t="str">
        <f>""</f>
        <v/>
      </c>
      <c r="D76" s="8" t="str">
        <f>""</f>
        <v/>
      </c>
      <c r="E76" s="8" t="str">
        <f>""</f>
        <v/>
      </c>
      <c r="F76" s="9">
        <v>5998773665.5799999</v>
      </c>
    </row>
    <row r="77" spans="1:6" x14ac:dyDescent="0.25">
      <c r="A77" s="8" t="str">
        <f>"1660"</f>
        <v>1660</v>
      </c>
      <c r="B77" s="8" t="str">
        <f>"Создаваемые (разрабатываемые) нематериальные активы"</f>
        <v>Создаваемые (разрабатываемые) нематериальные активы</v>
      </c>
      <c r="C77" s="8" t="str">
        <f>""</f>
        <v/>
      </c>
      <c r="D77" s="8" t="str">
        <f>""</f>
        <v/>
      </c>
      <c r="E77" s="8" t="str">
        <f>""</f>
        <v/>
      </c>
      <c r="F77" s="9">
        <v>786831644.14999998</v>
      </c>
    </row>
    <row r="78" spans="1:6" x14ac:dyDescent="0.25">
      <c r="A78" s="8" t="str">
        <f>"1692"</f>
        <v>1692</v>
      </c>
      <c r="B78" s="8" t="str">
        <f>"Начисленная амортизация по зданиям и сооружениям"</f>
        <v>Начисленная амортизация по зданиям и сооружениям</v>
      </c>
      <c r="C78" s="8" t="str">
        <f>""</f>
        <v/>
      </c>
      <c r="D78" s="8" t="str">
        <f>""</f>
        <v/>
      </c>
      <c r="E78" s="8" t="str">
        <f>""</f>
        <v/>
      </c>
      <c r="F78" s="9">
        <v>-5277307.26</v>
      </c>
    </row>
    <row r="79" spans="1:6" x14ac:dyDescent="0.25">
      <c r="A79" s="8" t="str">
        <f>"1693"</f>
        <v>1693</v>
      </c>
      <c r="B79" s="8" t="str">
        <f>"Начисленная амортизация по компьютерному оборудованию"</f>
        <v>Начисленная амортизация по компьютерному оборудованию</v>
      </c>
      <c r="C79" s="8" t="str">
        <f>""</f>
        <v/>
      </c>
      <c r="D79" s="8" t="str">
        <f>""</f>
        <v/>
      </c>
      <c r="E79" s="8" t="str">
        <f>""</f>
        <v/>
      </c>
      <c r="F79" s="9">
        <v>-1529246626.03</v>
      </c>
    </row>
    <row r="80" spans="1:6" x14ac:dyDescent="0.25">
      <c r="A80" s="8" t="str">
        <f>"1694"</f>
        <v>1694</v>
      </c>
      <c r="B80" s="8" t="str">
        <f>"Начисленная амортизация по прочим основным средствам"</f>
        <v>Начисленная амортизация по прочим основным средствам</v>
      </c>
      <c r="C80" s="8" t="str">
        <f>""</f>
        <v/>
      </c>
      <c r="D80" s="8" t="str">
        <f>""</f>
        <v/>
      </c>
      <c r="E80" s="8" t="str">
        <f>""</f>
        <v/>
      </c>
      <c r="F80" s="9">
        <v>-1599969762.99</v>
      </c>
    </row>
    <row r="81" spans="1:6" x14ac:dyDescent="0.25">
      <c r="A81" s="8" t="str">
        <f>"1695"</f>
        <v>1695</v>
      </c>
      <c r="B81" s="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C81" s="8" t="str">
        <f>""</f>
        <v/>
      </c>
      <c r="D81" s="8" t="str">
        <f>""</f>
        <v/>
      </c>
      <c r="E81" s="8" t="str">
        <f>""</f>
        <v/>
      </c>
      <c r="F81" s="9">
        <v>-1084257394.73</v>
      </c>
    </row>
    <row r="82" spans="1:6" x14ac:dyDescent="0.25">
      <c r="A82" s="8" t="str">
        <f>"1697"</f>
        <v>1697</v>
      </c>
      <c r="B82" s="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C82" s="8" t="str">
        <f>""</f>
        <v/>
      </c>
      <c r="D82" s="8" t="str">
        <f>""</f>
        <v/>
      </c>
      <c r="E82" s="8" t="str">
        <f>""</f>
        <v/>
      </c>
      <c r="F82" s="9">
        <v>-405377051.24000001</v>
      </c>
    </row>
    <row r="83" spans="1:6" x14ac:dyDescent="0.25">
      <c r="A83" s="8" t="str">
        <f>"1698"</f>
        <v>1698</v>
      </c>
      <c r="B83" s="8" t="str">
        <f>"Начисленная амортизация по транспортным средствам"</f>
        <v>Начисленная амортизация по транспортным средствам</v>
      </c>
      <c r="C83" s="8" t="str">
        <f>""</f>
        <v/>
      </c>
      <c r="D83" s="8" t="str">
        <f>""</f>
        <v/>
      </c>
      <c r="E83" s="8" t="str">
        <f>""</f>
        <v/>
      </c>
      <c r="F83" s="9">
        <v>-49094649.82</v>
      </c>
    </row>
    <row r="84" spans="1:6" x14ac:dyDescent="0.25">
      <c r="A84" s="8" t="str">
        <f>"1699"</f>
        <v>1699</v>
      </c>
      <c r="B84" s="8" t="str">
        <f>"Начисленная амортизация по нематериальным активам"</f>
        <v>Начисленная амортизация по нематериальным активам</v>
      </c>
      <c r="C84" s="8" t="str">
        <f>""</f>
        <v/>
      </c>
      <c r="D84" s="8" t="str">
        <f>""</f>
        <v/>
      </c>
      <c r="E84" s="8" t="str">
        <f>""</f>
        <v/>
      </c>
      <c r="F84" s="9">
        <v>-2158242621.5999999</v>
      </c>
    </row>
    <row r="85" spans="1:6" x14ac:dyDescent="0.25">
      <c r="A85" s="8" t="str">
        <f>"1705"</f>
        <v>1705</v>
      </c>
      <c r="B85" s="8" t="str">
        <f>"Начисленные доходы по корреспондентским счетам"</f>
        <v>Начисленные доходы по корреспондентским счетам</v>
      </c>
      <c r="C85" s="8" t="str">
        <f>"2"</f>
        <v>2</v>
      </c>
      <c r="D85" s="8" t="str">
        <f>"4"</f>
        <v>4</v>
      </c>
      <c r="E85" s="8" t="str">
        <f>"3"</f>
        <v>3</v>
      </c>
      <c r="F85" s="9">
        <v>2545070.11</v>
      </c>
    </row>
    <row r="86" spans="1:6" x14ac:dyDescent="0.25">
      <c r="A86" s="8" t="str">
        <f>"1740"</f>
        <v>1740</v>
      </c>
      <c r="B86" s="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86" s="8" t="str">
        <f>"1"</f>
        <v>1</v>
      </c>
      <c r="D86" s="8" t="str">
        <f>"7"</f>
        <v>7</v>
      </c>
      <c r="E86" s="8" t="str">
        <f>"1"</f>
        <v>1</v>
      </c>
      <c r="F86" s="9">
        <v>1541007942.3900001</v>
      </c>
    </row>
    <row r="87" spans="1:6" x14ac:dyDescent="0.25">
      <c r="A87" s="8" t="str">
        <f>"1740"</f>
        <v>1740</v>
      </c>
      <c r="B87" s="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87" s="8" t="str">
        <f>"1"</f>
        <v>1</v>
      </c>
      <c r="D87" s="8" t="str">
        <f>"7"</f>
        <v>7</v>
      </c>
      <c r="E87" s="8" t="str">
        <f>"2"</f>
        <v>2</v>
      </c>
      <c r="F87" s="9">
        <v>180273481.43000001</v>
      </c>
    </row>
    <row r="88" spans="1:6" x14ac:dyDescent="0.25">
      <c r="A88" s="8" t="str">
        <f>"1740"</f>
        <v>1740</v>
      </c>
      <c r="B88" s="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88" s="8" t="str">
        <f>"1"</f>
        <v>1</v>
      </c>
      <c r="D88" s="8" t="str">
        <f>"7"</f>
        <v>7</v>
      </c>
      <c r="E88" s="8" t="str">
        <f>"3"</f>
        <v>3</v>
      </c>
      <c r="F88" s="9">
        <v>72023.100000000006</v>
      </c>
    </row>
    <row r="89" spans="1:6" x14ac:dyDescent="0.25">
      <c r="A89" s="8" t="str">
        <f>"1740"</f>
        <v>1740</v>
      </c>
      <c r="B89" s="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89" s="8" t="str">
        <f>"1"</f>
        <v>1</v>
      </c>
      <c r="D89" s="8" t="str">
        <f>"9"</f>
        <v>9</v>
      </c>
      <c r="E89" s="8" t="str">
        <f>"1"</f>
        <v>1</v>
      </c>
      <c r="F89" s="9">
        <v>1061461562.03</v>
      </c>
    </row>
    <row r="90" spans="1:6" x14ac:dyDescent="0.25">
      <c r="A90" s="8" t="str">
        <f>"1740"</f>
        <v>1740</v>
      </c>
      <c r="B90" s="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90" s="8" t="str">
        <f>"2"</f>
        <v>2</v>
      </c>
      <c r="D90" s="8" t="str">
        <f>"9"</f>
        <v>9</v>
      </c>
      <c r="E90" s="8" t="str">
        <f>"1"</f>
        <v>1</v>
      </c>
      <c r="F90" s="9">
        <v>15404.63</v>
      </c>
    </row>
    <row r="91" spans="1:6" x14ac:dyDescent="0.25">
      <c r="A91" s="8" t="str">
        <f t="shared" ref="A91:A96" si="10">"1741"</f>
        <v>1741</v>
      </c>
      <c r="B91" s="8" t="str">
        <f t="shared" ref="B91:B96" si="11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91" s="8" t="str">
        <f>"1"</f>
        <v>1</v>
      </c>
      <c r="D91" s="8" t="str">
        <f>"5"</f>
        <v>5</v>
      </c>
      <c r="E91" s="8" t="str">
        <f>"1"</f>
        <v>1</v>
      </c>
      <c r="F91" s="9">
        <v>2276100.6</v>
      </c>
    </row>
    <row r="92" spans="1:6" x14ac:dyDescent="0.25">
      <c r="A92" s="8" t="str">
        <f t="shared" si="10"/>
        <v>1741</v>
      </c>
      <c r="B92" s="8" t="str">
        <f t="shared" si="11"/>
        <v>Просроченное вознаграждение по займам и финансовому лизингу, предоставленным клиентам</v>
      </c>
      <c r="C92" s="8" t="str">
        <f>"1"</f>
        <v>1</v>
      </c>
      <c r="D92" s="8" t="str">
        <f>"7"</f>
        <v>7</v>
      </c>
      <c r="E92" s="8" t="str">
        <f>"1"</f>
        <v>1</v>
      </c>
      <c r="F92" s="9">
        <v>2194559342.98</v>
      </c>
    </row>
    <row r="93" spans="1:6" x14ac:dyDescent="0.25">
      <c r="A93" s="8" t="str">
        <f t="shared" si="10"/>
        <v>1741</v>
      </c>
      <c r="B93" s="8" t="str">
        <f t="shared" si="11"/>
        <v>Просроченное вознаграждение по займам и финансовому лизингу, предоставленным клиентам</v>
      </c>
      <c r="C93" s="8" t="str">
        <f>"1"</f>
        <v>1</v>
      </c>
      <c r="D93" s="8" t="str">
        <f>"7"</f>
        <v>7</v>
      </c>
      <c r="E93" s="8" t="str">
        <f>"2"</f>
        <v>2</v>
      </c>
      <c r="F93" s="9">
        <v>258814659.66999999</v>
      </c>
    </row>
    <row r="94" spans="1:6" x14ac:dyDescent="0.25">
      <c r="A94" s="8" t="str">
        <f t="shared" si="10"/>
        <v>1741</v>
      </c>
      <c r="B94" s="8" t="str">
        <f t="shared" si="11"/>
        <v>Просроченное вознаграждение по займам и финансовому лизингу, предоставленным клиентам</v>
      </c>
      <c r="C94" s="8" t="str">
        <f>"1"</f>
        <v>1</v>
      </c>
      <c r="D94" s="8" t="str">
        <f>"9"</f>
        <v>9</v>
      </c>
      <c r="E94" s="8" t="str">
        <f>"1"</f>
        <v>1</v>
      </c>
      <c r="F94" s="9">
        <v>1645506653.53</v>
      </c>
    </row>
    <row r="95" spans="1:6" x14ac:dyDescent="0.25">
      <c r="A95" s="8" t="str">
        <f t="shared" si="10"/>
        <v>1741</v>
      </c>
      <c r="B95" s="8" t="str">
        <f t="shared" si="11"/>
        <v>Просроченное вознаграждение по займам и финансовому лизингу, предоставленным клиентам</v>
      </c>
      <c r="C95" s="8" t="str">
        <f>"1"</f>
        <v>1</v>
      </c>
      <c r="D95" s="8" t="str">
        <f>"9"</f>
        <v>9</v>
      </c>
      <c r="E95" s="8" t="str">
        <f>"3"</f>
        <v>3</v>
      </c>
      <c r="F95" s="9">
        <v>14636.23</v>
      </c>
    </row>
    <row r="96" spans="1:6" x14ac:dyDescent="0.25">
      <c r="A96" s="8" t="str">
        <f t="shared" si="10"/>
        <v>1741</v>
      </c>
      <c r="B96" s="8" t="str">
        <f t="shared" si="11"/>
        <v>Просроченное вознаграждение по займам и финансовому лизингу, предоставленным клиентам</v>
      </c>
      <c r="C96" s="8" t="str">
        <f>"2"</f>
        <v>2</v>
      </c>
      <c r="D96" s="8" t="str">
        <f>"9"</f>
        <v>9</v>
      </c>
      <c r="E96" s="8" t="str">
        <f t="shared" ref="E96:E123" si="12">"1"</f>
        <v>1</v>
      </c>
      <c r="F96" s="9">
        <v>181575.89</v>
      </c>
    </row>
    <row r="97" spans="1:6" x14ac:dyDescent="0.25">
      <c r="A97" s="8" t="str">
        <f t="shared" ref="A97:A102" si="13">"1793"</f>
        <v>1793</v>
      </c>
      <c r="B97" s="8" t="str">
        <f t="shared" ref="B97:B102" si="14">"Расходы будущих периодов"</f>
        <v>Расходы будущих периодов</v>
      </c>
      <c r="C97" s="8" t="str">
        <f>"1"</f>
        <v>1</v>
      </c>
      <c r="D97" s="8" t="str">
        <f>"5"</f>
        <v>5</v>
      </c>
      <c r="E97" s="8" t="str">
        <f t="shared" si="12"/>
        <v>1</v>
      </c>
      <c r="F97" s="9">
        <v>2927746.89</v>
      </c>
    </row>
    <row r="98" spans="1:6" x14ac:dyDescent="0.25">
      <c r="A98" s="8" t="str">
        <f t="shared" si="13"/>
        <v>1793</v>
      </c>
      <c r="B98" s="8" t="str">
        <f t="shared" si="14"/>
        <v>Расходы будущих периодов</v>
      </c>
      <c r="C98" s="8" t="str">
        <f>"1"</f>
        <v>1</v>
      </c>
      <c r="D98" s="8" t="str">
        <f>"7"</f>
        <v>7</v>
      </c>
      <c r="E98" s="8" t="str">
        <f t="shared" si="12"/>
        <v>1</v>
      </c>
      <c r="F98" s="9">
        <v>381354297.08999997</v>
      </c>
    </row>
    <row r="99" spans="1:6" x14ac:dyDescent="0.25">
      <c r="A99" s="8" t="str">
        <f t="shared" si="13"/>
        <v>1793</v>
      </c>
      <c r="B99" s="8" t="str">
        <f t="shared" si="14"/>
        <v>Расходы будущих периодов</v>
      </c>
      <c r="C99" s="8" t="str">
        <f>"1"</f>
        <v>1</v>
      </c>
      <c r="D99" s="8" t="str">
        <f>"8"</f>
        <v>8</v>
      </c>
      <c r="E99" s="8" t="str">
        <f t="shared" si="12"/>
        <v>1</v>
      </c>
      <c r="F99" s="9">
        <v>4640445</v>
      </c>
    </row>
    <row r="100" spans="1:6" x14ac:dyDescent="0.25">
      <c r="A100" s="8" t="str">
        <f t="shared" si="13"/>
        <v>1793</v>
      </c>
      <c r="B100" s="8" t="str">
        <f t="shared" si="14"/>
        <v>Расходы будущих периодов</v>
      </c>
      <c r="C100" s="8" t="str">
        <f>"1"</f>
        <v>1</v>
      </c>
      <c r="D100" s="8" t="str">
        <f>"9"</f>
        <v>9</v>
      </c>
      <c r="E100" s="8" t="str">
        <f t="shared" si="12"/>
        <v>1</v>
      </c>
      <c r="F100" s="9">
        <v>9275793.6600000001</v>
      </c>
    </row>
    <row r="101" spans="1:6" x14ac:dyDescent="0.25">
      <c r="A101" s="8" t="str">
        <f t="shared" si="13"/>
        <v>1793</v>
      </c>
      <c r="B101" s="8" t="str">
        <f t="shared" si="14"/>
        <v>Расходы будущих периодов</v>
      </c>
      <c r="C101" s="8" t="str">
        <f>"2"</f>
        <v>2</v>
      </c>
      <c r="D101" s="8" t="str">
        <f>"4"</f>
        <v>4</v>
      </c>
      <c r="E101" s="8" t="str">
        <f t="shared" si="12"/>
        <v>1</v>
      </c>
      <c r="F101" s="9">
        <v>1760558.2</v>
      </c>
    </row>
    <row r="102" spans="1:6" x14ac:dyDescent="0.25">
      <c r="A102" s="8" t="str">
        <f t="shared" si="13"/>
        <v>1793</v>
      </c>
      <c r="B102" s="8" t="str">
        <f t="shared" si="14"/>
        <v>Расходы будущих периодов</v>
      </c>
      <c r="C102" s="8" t="str">
        <f>"2"</f>
        <v>2</v>
      </c>
      <c r="D102" s="8" t="str">
        <f>"7"</f>
        <v>7</v>
      </c>
      <c r="E102" s="8" t="str">
        <f t="shared" si="12"/>
        <v>1</v>
      </c>
      <c r="F102" s="9">
        <v>2945979.47</v>
      </c>
    </row>
    <row r="103" spans="1:6" x14ac:dyDescent="0.25">
      <c r="A103" s="8" t="str">
        <f t="shared" ref="A103:A110" si="15">"1799"</f>
        <v>1799</v>
      </c>
      <c r="B103" s="8" t="str">
        <f t="shared" ref="B103:B110" si="16">"Прочие предоплаты"</f>
        <v>Прочие предоплаты</v>
      </c>
      <c r="C103" s="8" t="str">
        <f>"1"</f>
        <v>1</v>
      </c>
      <c r="D103" s="8" t="str">
        <f>"5"</f>
        <v>5</v>
      </c>
      <c r="E103" s="8" t="str">
        <f t="shared" si="12"/>
        <v>1</v>
      </c>
      <c r="F103" s="9">
        <v>22087250.059999999</v>
      </c>
    </row>
    <row r="104" spans="1:6" x14ac:dyDescent="0.25">
      <c r="A104" s="8" t="str">
        <f t="shared" si="15"/>
        <v>1799</v>
      </c>
      <c r="B104" s="8" t="str">
        <f t="shared" si="16"/>
        <v>Прочие предоплаты</v>
      </c>
      <c r="C104" s="8" t="str">
        <f>"1"</f>
        <v>1</v>
      </c>
      <c r="D104" s="8" t="str">
        <f>"6"</f>
        <v>6</v>
      </c>
      <c r="E104" s="8" t="str">
        <f t="shared" si="12"/>
        <v>1</v>
      </c>
      <c r="F104" s="9">
        <v>1247320</v>
      </c>
    </row>
    <row r="105" spans="1:6" x14ac:dyDescent="0.25">
      <c r="A105" s="8" t="str">
        <f t="shared" si="15"/>
        <v>1799</v>
      </c>
      <c r="B105" s="8" t="str">
        <f t="shared" si="16"/>
        <v>Прочие предоплаты</v>
      </c>
      <c r="C105" s="8" t="str">
        <f>"1"</f>
        <v>1</v>
      </c>
      <c r="D105" s="8" t="str">
        <f>"7"</f>
        <v>7</v>
      </c>
      <c r="E105" s="8" t="str">
        <f t="shared" si="12"/>
        <v>1</v>
      </c>
      <c r="F105" s="9">
        <v>227837995.09999999</v>
      </c>
    </row>
    <row r="106" spans="1:6" x14ac:dyDescent="0.25">
      <c r="A106" s="8" t="str">
        <f t="shared" si="15"/>
        <v>1799</v>
      </c>
      <c r="B106" s="8" t="str">
        <f t="shared" si="16"/>
        <v>Прочие предоплаты</v>
      </c>
      <c r="C106" s="8" t="str">
        <f>"1"</f>
        <v>1</v>
      </c>
      <c r="D106" s="8" t="str">
        <f>"8"</f>
        <v>8</v>
      </c>
      <c r="E106" s="8" t="str">
        <f t="shared" si="12"/>
        <v>1</v>
      </c>
      <c r="F106" s="9">
        <v>2756700</v>
      </c>
    </row>
    <row r="107" spans="1:6" x14ac:dyDescent="0.25">
      <c r="A107" s="8" t="str">
        <f t="shared" si="15"/>
        <v>1799</v>
      </c>
      <c r="B107" s="8" t="str">
        <f t="shared" si="16"/>
        <v>Прочие предоплаты</v>
      </c>
      <c r="C107" s="8" t="str">
        <f>"1"</f>
        <v>1</v>
      </c>
      <c r="D107" s="8" t="str">
        <f>"9"</f>
        <v>9</v>
      </c>
      <c r="E107" s="8" t="str">
        <f t="shared" si="12"/>
        <v>1</v>
      </c>
      <c r="F107" s="9">
        <v>16865005.59</v>
      </c>
    </row>
    <row r="108" spans="1:6" x14ac:dyDescent="0.25">
      <c r="A108" s="8" t="str">
        <f t="shared" si="15"/>
        <v>1799</v>
      </c>
      <c r="B108" s="8" t="str">
        <f t="shared" si="16"/>
        <v>Прочие предоплаты</v>
      </c>
      <c r="C108" s="8" t="str">
        <f>"2"</f>
        <v>2</v>
      </c>
      <c r="D108" s="8" t="str">
        <f>"4"</f>
        <v>4</v>
      </c>
      <c r="E108" s="8" t="str">
        <f t="shared" si="12"/>
        <v>1</v>
      </c>
      <c r="F108" s="9">
        <v>810446</v>
      </c>
    </row>
    <row r="109" spans="1:6" x14ac:dyDescent="0.25">
      <c r="A109" s="8" t="str">
        <f t="shared" si="15"/>
        <v>1799</v>
      </c>
      <c r="B109" s="8" t="str">
        <f t="shared" si="16"/>
        <v>Прочие предоплаты</v>
      </c>
      <c r="C109" s="8" t="str">
        <f>"2"</f>
        <v>2</v>
      </c>
      <c r="D109" s="8" t="str">
        <f>"7"</f>
        <v>7</v>
      </c>
      <c r="E109" s="8" t="str">
        <f t="shared" si="12"/>
        <v>1</v>
      </c>
      <c r="F109" s="9">
        <v>8424365.3100000005</v>
      </c>
    </row>
    <row r="110" spans="1:6" x14ac:dyDescent="0.25">
      <c r="A110" s="8" t="str">
        <f t="shared" si="15"/>
        <v>1799</v>
      </c>
      <c r="B110" s="8" t="str">
        <f t="shared" si="16"/>
        <v>Прочие предоплаты</v>
      </c>
      <c r="C110" s="8" t="str">
        <f>"2"</f>
        <v>2</v>
      </c>
      <c r="D110" s="8" t="str">
        <f>"9"</f>
        <v>9</v>
      </c>
      <c r="E110" s="8" t="str">
        <f t="shared" si="12"/>
        <v>1</v>
      </c>
      <c r="F110" s="9">
        <v>1850000</v>
      </c>
    </row>
    <row r="111" spans="1:6" x14ac:dyDescent="0.25">
      <c r="A111" s="8" t="str">
        <f>"1816"</f>
        <v>1816</v>
      </c>
      <c r="B111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111" s="8" t="str">
        <f>"1"</f>
        <v>1</v>
      </c>
      <c r="D111" s="8" t="str">
        <f>""</f>
        <v/>
      </c>
      <c r="E111" s="8" t="str">
        <f t="shared" si="12"/>
        <v>1</v>
      </c>
      <c r="F111" s="9">
        <v>152179458.36000001</v>
      </c>
    </row>
    <row r="112" spans="1:6" x14ac:dyDescent="0.25">
      <c r="A112" s="8" t="str">
        <f>"1818"</f>
        <v>1818</v>
      </c>
      <c r="B112" s="8" t="str">
        <f>"Начисленные прочие комиссионные доходы"</f>
        <v>Начисленные прочие комиссионные доходы</v>
      </c>
      <c r="C112" s="8" t="str">
        <f>"1"</f>
        <v>1</v>
      </c>
      <c r="D112" s="8" t="str">
        <f>""</f>
        <v/>
      </c>
      <c r="E112" s="8" t="str">
        <f t="shared" si="12"/>
        <v>1</v>
      </c>
      <c r="F112" s="9">
        <v>457941.27</v>
      </c>
    </row>
    <row r="113" spans="1:6" x14ac:dyDescent="0.25">
      <c r="A113" s="8" t="str">
        <f>"1831"</f>
        <v>1831</v>
      </c>
      <c r="B113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113" s="8" t="str">
        <f>"1"</f>
        <v>1</v>
      </c>
      <c r="D113" s="8" t="str">
        <f>""</f>
        <v/>
      </c>
      <c r="E113" s="8" t="str">
        <f t="shared" si="12"/>
        <v>1</v>
      </c>
      <c r="F113" s="9">
        <v>6767075.6500000004</v>
      </c>
    </row>
    <row r="114" spans="1:6" x14ac:dyDescent="0.25">
      <c r="A114" s="8" t="str">
        <f>"1831"</f>
        <v>1831</v>
      </c>
      <c r="B114" s="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114" s="8" t="str">
        <f>"2"</f>
        <v>2</v>
      </c>
      <c r="D114" s="8" t="str">
        <f>""</f>
        <v/>
      </c>
      <c r="E114" s="8" t="str">
        <f t="shared" si="12"/>
        <v>1</v>
      </c>
      <c r="F114" s="9">
        <v>800</v>
      </c>
    </row>
    <row r="115" spans="1:6" x14ac:dyDescent="0.25">
      <c r="A115" s="8" t="str">
        <f>"1836"</f>
        <v>1836</v>
      </c>
      <c r="B115" s="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C115" s="8" t="str">
        <f>"1"</f>
        <v>1</v>
      </c>
      <c r="D115" s="8" t="str">
        <f>""</f>
        <v/>
      </c>
      <c r="E115" s="8" t="str">
        <f t="shared" si="12"/>
        <v>1</v>
      </c>
      <c r="F115" s="9">
        <v>17127259.219999999</v>
      </c>
    </row>
    <row r="116" spans="1:6" x14ac:dyDescent="0.25">
      <c r="A116" s="8" t="str">
        <f>"1837"</f>
        <v>1837</v>
      </c>
      <c r="B116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116" s="8" t="str">
        <f>"1"</f>
        <v>1</v>
      </c>
      <c r="D116" s="8" t="str">
        <f>""</f>
        <v/>
      </c>
      <c r="E116" s="8" t="str">
        <f t="shared" si="12"/>
        <v>1</v>
      </c>
      <c r="F116" s="9">
        <v>3719131.76</v>
      </c>
    </row>
    <row r="117" spans="1:6" x14ac:dyDescent="0.25">
      <c r="A117" s="8" t="str">
        <f>"1837"</f>
        <v>1837</v>
      </c>
      <c r="B117" s="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117" s="8" t="str">
        <f>"2"</f>
        <v>2</v>
      </c>
      <c r="D117" s="8" t="str">
        <f>""</f>
        <v/>
      </c>
      <c r="E117" s="8" t="str">
        <f t="shared" si="12"/>
        <v>1</v>
      </c>
      <c r="F117" s="9">
        <v>12000</v>
      </c>
    </row>
    <row r="118" spans="1:6" x14ac:dyDescent="0.25">
      <c r="A118" s="8" t="str">
        <f>"1838"</f>
        <v>1838</v>
      </c>
      <c r="B118" s="8" t="str">
        <f>"Просроченные прочие комиссионные доходы"</f>
        <v>Просроченные прочие комиссионные доходы</v>
      </c>
      <c r="C118" s="8" t="str">
        <f>"1"</f>
        <v>1</v>
      </c>
      <c r="D118" s="8" t="str">
        <f>""</f>
        <v/>
      </c>
      <c r="E118" s="8" t="str">
        <f t="shared" si="12"/>
        <v>1</v>
      </c>
      <c r="F118" s="9">
        <v>54418898.600000001</v>
      </c>
    </row>
    <row r="119" spans="1:6" x14ac:dyDescent="0.25">
      <c r="A119" s="8" t="str">
        <f>"1838"</f>
        <v>1838</v>
      </c>
      <c r="B119" s="8" t="str">
        <f>"Просроченные прочие комиссионные доходы"</f>
        <v>Просроченные прочие комиссионные доходы</v>
      </c>
      <c r="C119" s="8" t="str">
        <f>"2"</f>
        <v>2</v>
      </c>
      <c r="D119" s="8" t="str">
        <f>""</f>
        <v/>
      </c>
      <c r="E119" s="8" t="str">
        <f t="shared" si="12"/>
        <v>1</v>
      </c>
      <c r="F119" s="9">
        <v>403552</v>
      </c>
    </row>
    <row r="120" spans="1:6" x14ac:dyDescent="0.25">
      <c r="A120" s="8" t="str">
        <f>"1841"</f>
        <v>1841</v>
      </c>
      <c r="B120" s="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C120" s="8" t="str">
        <f>"1"</f>
        <v>1</v>
      </c>
      <c r="D120" s="8" t="str">
        <f>""</f>
        <v/>
      </c>
      <c r="E120" s="8" t="str">
        <f t="shared" si="12"/>
        <v>1</v>
      </c>
      <c r="F120" s="9">
        <v>819335.64</v>
      </c>
    </row>
    <row r="121" spans="1:6" x14ac:dyDescent="0.25">
      <c r="A121" s="8" t="str">
        <f>"1845"</f>
        <v>1845</v>
      </c>
      <c r="B121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121" s="8" t="str">
        <f>"1"</f>
        <v>1</v>
      </c>
      <c r="D121" s="8" t="str">
        <f>""</f>
        <v/>
      </c>
      <c r="E121" s="8" t="str">
        <f t="shared" si="12"/>
        <v>1</v>
      </c>
      <c r="F121" s="9">
        <v>-81978833.329999998</v>
      </c>
    </row>
    <row r="122" spans="1:6" x14ac:dyDescent="0.25">
      <c r="A122" s="8" t="str">
        <f>"1845"</f>
        <v>1845</v>
      </c>
      <c r="B122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122" s="8" t="str">
        <f>"2"</f>
        <v>2</v>
      </c>
      <c r="D122" s="8" t="str">
        <f>""</f>
        <v/>
      </c>
      <c r="E122" s="8" t="str">
        <f t="shared" si="12"/>
        <v>1</v>
      </c>
      <c r="F122" s="9">
        <v>-416352</v>
      </c>
    </row>
    <row r="123" spans="1:6" x14ac:dyDescent="0.25">
      <c r="A123" s="8" t="str">
        <f>"1851"</f>
        <v>1851</v>
      </c>
      <c r="B123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123" s="8" t="str">
        <f>"1"</f>
        <v>1</v>
      </c>
      <c r="D123" s="8" t="str">
        <f>"1"</f>
        <v>1</v>
      </c>
      <c r="E123" s="8" t="str">
        <f t="shared" si="12"/>
        <v>1</v>
      </c>
      <c r="F123" s="9">
        <v>430940864.77999997</v>
      </c>
    </row>
    <row r="124" spans="1:6" x14ac:dyDescent="0.25">
      <c r="A124" s="8" t="str">
        <f>"1854"</f>
        <v>1854</v>
      </c>
      <c r="B124" s="8" t="str">
        <f>"Расчеты с работниками"</f>
        <v>Расчеты с работниками</v>
      </c>
      <c r="C124" s="8" t="str">
        <f>""</f>
        <v/>
      </c>
      <c r="D124" s="8" t="str">
        <f>""</f>
        <v/>
      </c>
      <c r="E124" s="8" t="str">
        <f>""</f>
        <v/>
      </c>
      <c r="F124" s="9">
        <v>6535356.6900000004</v>
      </c>
    </row>
    <row r="125" spans="1:6" x14ac:dyDescent="0.25">
      <c r="A125" s="8" t="str">
        <f>"1856"</f>
        <v>1856</v>
      </c>
      <c r="B125" s="8" t="str">
        <f>"Дебиторы по капитальным вложениям"</f>
        <v>Дебиторы по капитальным вложениям</v>
      </c>
      <c r="C125" s="8" t="str">
        <f>"1"</f>
        <v>1</v>
      </c>
      <c r="D125" s="8" t="str">
        <f>"7"</f>
        <v>7</v>
      </c>
      <c r="E125" s="8" t="str">
        <f>"1"</f>
        <v>1</v>
      </c>
      <c r="F125" s="9">
        <v>209553250.80000001</v>
      </c>
    </row>
    <row r="126" spans="1:6" x14ac:dyDescent="0.25">
      <c r="A126" s="8" t="str">
        <f>"1856"</f>
        <v>1856</v>
      </c>
      <c r="B126" s="8" t="str">
        <f>"Дебиторы по капитальным вложениям"</f>
        <v>Дебиторы по капитальным вложениям</v>
      </c>
      <c r="C126" s="8" t="str">
        <f>"1"</f>
        <v>1</v>
      </c>
      <c r="D126" s="8" t="str">
        <f>"8"</f>
        <v>8</v>
      </c>
      <c r="E126" s="8" t="str">
        <f>"1"</f>
        <v>1</v>
      </c>
      <c r="F126" s="9">
        <v>10758410.050000001</v>
      </c>
    </row>
    <row r="127" spans="1:6" x14ac:dyDescent="0.25">
      <c r="A127" s="8" t="str">
        <f>"1856"</f>
        <v>1856</v>
      </c>
      <c r="B127" s="8" t="str">
        <f>"Дебиторы по капитальным вложениям"</f>
        <v>Дебиторы по капитальным вложениям</v>
      </c>
      <c r="C127" s="8" t="str">
        <f>"1"</f>
        <v>1</v>
      </c>
      <c r="D127" s="8" t="str">
        <f>"9"</f>
        <v>9</v>
      </c>
      <c r="E127" s="8" t="str">
        <f>"1"</f>
        <v>1</v>
      </c>
      <c r="F127" s="9">
        <v>101129054.47</v>
      </c>
    </row>
    <row r="128" spans="1:6" x14ac:dyDescent="0.25">
      <c r="A128" s="8" t="str">
        <f>"1857"</f>
        <v>1857</v>
      </c>
      <c r="B128" s="8" t="str">
        <f>"Отложенные налоговые активы"</f>
        <v>Отложенные налоговые активы</v>
      </c>
      <c r="C128" s="8" t="str">
        <f>""</f>
        <v/>
      </c>
      <c r="D128" s="8" t="str">
        <f>""</f>
        <v/>
      </c>
      <c r="E128" s="8" t="str">
        <f>""</f>
        <v/>
      </c>
      <c r="F128" s="9">
        <v>9355181000</v>
      </c>
    </row>
    <row r="129" spans="1:6" x14ac:dyDescent="0.25">
      <c r="A129" s="8" t="str">
        <f t="shared" ref="A129:A138" si="17">"1860"</f>
        <v>1860</v>
      </c>
      <c r="B129" s="8" t="str">
        <f t="shared" ref="B129:B138" si="18">"Прочие дебиторы по банковской деятельности"</f>
        <v>Прочие дебиторы по банковской деятельности</v>
      </c>
      <c r="C129" s="8" t="str">
        <f>"1"</f>
        <v>1</v>
      </c>
      <c r="D129" s="8" t="str">
        <f>"5"</f>
        <v>5</v>
      </c>
      <c r="E129" s="8" t="str">
        <f>"1"</f>
        <v>1</v>
      </c>
      <c r="F129" s="9">
        <v>7142336.8700000001</v>
      </c>
    </row>
    <row r="130" spans="1:6" x14ac:dyDescent="0.25">
      <c r="A130" s="8" t="str">
        <f t="shared" si="17"/>
        <v>1860</v>
      </c>
      <c r="B130" s="8" t="str">
        <f t="shared" si="18"/>
        <v>Прочие дебиторы по банковской деятельности</v>
      </c>
      <c r="C130" s="8" t="str">
        <f>"1"</f>
        <v>1</v>
      </c>
      <c r="D130" s="8" t="str">
        <f>"7"</f>
        <v>7</v>
      </c>
      <c r="E130" s="8" t="str">
        <f>"1"</f>
        <v>1</v>
      </c>
      <c r="F130" s="9">
        <v>147202373.22999999</v>
      </c>
    </row>
    <row r="131" spans="1:6" x14ac:dyDescent="0.25">
      <c r="A131" s="8" t="str">
        <f t="shared" si="17"/>
        <v>1860</v>
      </c>
      <c r="B131" s="8" t="str">
        <f t="shared" si="18"/>
        <v>Прочие дебиторы по банковской деятельности</v>
      </c>
      <c r="C131" s="8" t="str">
        <f>"1"</f>
        <v>1</v>
      </c>
      <c r="D131" s="8" t="str">
        <f>"9"</f>
        <v>9</v>
      </c>
      <c r="E131" s="8" t="str">
        <f>"1"</f>
        <v>1</v>
      </c>
      <c r="F131" s="9">
        <v>248241175.00999999</v>
      </c>
    </row>
    <row r="132" spans="1:6" x14ac:dyDescent="0.25">
      <c r="A132" s="8" t="str">
        <f t="shared" si="17"/>
        <v>1860</v>
      </c>
      <c r="B132" s="8" t="str">
        <f t="shared" si="18"/>
        <v>Прочие дебиторы по банковской деятельности</v>
      </c>
      <c r="C132" s="8" t="str">
        <f>"1"</f>
        <v>1</v>
      </c>
      <c r="D132" s="8" t="str">
        <f>"9"</f>
        <v>9</v>
      </c>
      <c r="E132" s="8" t="str">
        <f>"2"</f>
        <v>2</v>
      </c>
      <c r="F132" s="9">
        <v>4463.28</v>
      </c>
    </row>
    <row r="133" spans="1:6" x14ac:dyDescent="0.25">
      <c r="A133" s="8" t="str">
        <f t="shared" si="17"/>
        <v>1860</v>
      </c>
      <c r="B133" s="8" t="str">
        <f t="shared" si="18"/>
        <v>Прочие дебиторы по банковской деятельности</v>
      </c>
      <c r="C133" s="8" t="str">
        <f>"1"</f>
        <v>1</v>
      </c>
      <c r="D133" s="8" t="str">
        <f>"9"</f>
        <v>9</v>
      </c>
      <c r="E133" s="8" t="str">
        <f>"3"</f>
        <v>3</v>
      </c>
      <c r="F133" s="9">
        <v>309155</v>
      </c>
    </row>
    <row r="134" spans="1:6" x14ac:dyDescent="0.25">
      <c r="A134" s="8" t="str">
        <f t="shared" si="17"/>
        <v>1860</v>
      </c>
      <c r="B134" s="8" t="str">
        <f t="shared" si="18"/>
        <v>Прочие дебиторы по банковской деятельности</v>
      </c>
      <c r="C134" s="8" t="str">
        <f>"2"</f>
        <v>2</v>
      </c>
      <c r="D134" s="8" t="str">
        <f>"4"</f>
        <v>4</v>
      </c>
      <c r="E134" s="8" t="str">
        <f>"1"</f>
        <v>1</v>
      </c>
      <c r="F134" s="9">
        <v>366000</v>
      </c>
    </row>
    <row r="135" spans="1:6" x14ac:dyDescent="0.25">
      <c r="A135" s="8" t="str">
        <f t="shared" si="17"/>
        <v>1860</v>
      </c>
      <c r="B135" s="8" t="str">
        <f t="shared" si="18"/>
        <v>Прочие дебиторы по банковской деятельности</v>
      </c>
      <c r="C135" s="8" t="str">
        <f>"2"</f>
        <v>2</v>
      </c>
      <c r="D135" s="8" t="str">
        <f>"4"</f>
        <v>4</v>
      </c>
      <c r="E135" s="8" t="str">
        <f>"2"</f>
        <v>2</v>
      </c>
      <c r="F135" s="9">
        <v>45153002.170000002</v>
      </c>
    </row>
    <row r="136" spans="1:6" x14ac:dyDescent="0.25">
      <c r="A136" s="8" t="str">
        <f t="shared" si="17"/>
        <v>1860</v>
      </c>
      <c r="B136" s="8" t="str">
        <f t="shared" si="18"/>
        <v>Прочие дебиторы по банковской деятельности</v>
      </c>
      <c r="C136" s="8" t="str">
        <f>"2"</f>
        <v>2</v>
      </c>
      <c r="D136" s="8" t="str">
        <f>"5"</f>
        <v>5</v>
      </c>
      <c r="E136" s="8" t="str">
        <f>"1"</f>
        <v>1</v>
      </c>
      <c r="F136" s="9">
        <v>2512049.35</v>
      </c>
    </row>
    <row r="137" spans="1:6" x14ac:dyDescent="0.25">
      <c r="A137" s="8" t="str">
        <f t="shared" si="17"/>
        <v>1860</v>
      </c>
      <c r="B137" s="8" t="str">
        <f t="shared" si="18"/>
        <v>Прочие дебиторы по банковской деятельности</v>
      </c>
      <c r="C137" s="8" t="str">
        <f>"2"</f>
        <v>2</v>
      </c>
      <c r="D137" s="8" t="str">
        <f>"5"</f>
        <v>5</v>
      </c>
      <c r="E137" s="8" t="str">
        <f>"2"</f>
        <v>2</v>
      </c>
      <c r="F137" s="9">
        <v>43909037.520000003</v>
      </c>
    </row>
    <row r="138" spans="1:6" x14ac:dyDescent="0.25">
      <c r="A138" s="8" t="str">
        <f t="shared" si="17"/>
        <v>1860</v>
      </c>
      <c r="B138" s="8" t="str">
        <f t="shared" si="18"/>
        <v>Прочие дебиторы по банковской деятельности</v>
      </c>
      <c r="C138" s="8" t="str">
        <f>"2"</f>
        <v>2</v>
      </c>
      <c r="D138" s="8" t="str">
        <f>"9"</f>
        <v>9</v>
      </c>
      <c r="E138" s="8" t="str">
        <f>"1"</f>
        <v>1</v>
      </c>
      <c r="F138" s="9">
        <v>852.4</v>
      </c>
    </row>
    <row r="139" spans="1:6" x14ac:dyDescent="0.25">
      <c r="A139" s="8" t="str">
        <f>"1861"</f>
        <v>1861</v>
      </c>
      <c r="B139" s="8" t="str">
        <f>"Дебиторы по гарантиям"</f>
        <v>Дебиторы по гарантиям</v>
      </c>
      <c r="C139" s="8" t="str">
        <f t="shared" ref="C139:C147" si="19">"1"</f>
        <v>1</v>
      </c>
      <c r="D139" s="8" t="str">
        <f>"7"</f>
        <v>7</v>
      </c>
      <c r="E139" s="8" t="str">
        <f>"1"</f>
        <v>1</v>
      </c>
      <c r="F139" s="9">
        <v>1400784938.71</v>
      </c>
    </row>
    <row r="140" spans="1:6" x14ac:dyDescent="0.25">
      <c r="A140" s="8" t="str">
        <f>"1861"</f>
        <v>1861</v>
      </c>
      <c r="B140" s="8" t="str">
        <f>"Дебиторы по гарантиям"</f>
        <v>Дебиторы по гарантиям</v>
      </c>
      <c r="C140" s="8" t="str">
        <f t="shared" si="19"/>
        <v>1</v>
      </c>
      <c r="D140" s="8" t="str">
        <f>"7"</f>
        <v>7</v>
      </c>
      <c r="E140" s="8" t="str">
        <f>"2"</f>
        <v>2</v>
      </c>
      <c r="F140" s="9">
        <v>4623954.97</v>
      </c>
    </row>
    <row r="141" spans="1:6" x14ac:dyDescent="0.25">
      <c r="A141" s="8" t="str">
        <f t="shared" ref="A141:A150" si="20">"1867"</f>
        <v>1867</v>
      </c>
      <c r="B141" s="8" t="str">
        <f t="shared" ref="B141:B150" si="21">"Прочие дебиторы по неосновной деятельности"</f>
        <v>Прочие дебиторы по неосновной деятельности</v>
      </c>
      <c r="C141" s="8" t="str">
        <f t="shared" si="19"/>
        <v>1</v>
      </c>
      <c r="D141" s="8" t="str">
        <f>"1"</f>
        <v>1</v>
      </c>
      <c r="E141" s="8" t="str">
        <f>"1"</f>
        <v>1</v>
      </c>
      <c r="F141" s="9">
        <v>2401400.59</v>
      </c>
    </row>
    <row r="142" spans="1:6" x14ac:dyDescent="0.25">
      <c r="A142" s="8" t="str">
        <f t="shared" si="20"/>
        <v>1867</v>
      </c>
      <c r="B142" s="8" t="str">
        <f t="shared" si="21"/>
        <v>Прочие дебиторы по неосновной деятельности</v>
      </c>
      <c r="C142" s="8" t="str">
        <f t="shared" si="19"/>
        <v>1</v>
      </c>
      <c r="D142" s="8" t="str">
        <f>"3"</f>
        <v>3</v>
      </c>
      <c r="E142" s="8" t="str">
        <f t="shared" ref="E142:E154" si="22">"1"</f>
        <v>1</v>
      </c>
      <c r="F142" s="9">
        <v>1384</v>
      </c>
    </row>
    <row r="143" spans="1:6" x14ac:dyDescent="0.25">
      <c r="A143" s="8" t="str">
        <f t="shared" si="20"/>
        <v>1867</v>
      </c>
      <c r="B143" s="8" t="str">
        <f t="shared" si="21"/>
        <v>Прочие дебиторы по неосновной деятельности</v>
      </c>
      <c r="C143" s="8" t="str">
        <f t="shared" si="19"/>
        <v>1</v>
      </c>
      <c r="D143" s="8" t="str">
        <f>"5"</f>
        <v>5</v>
      </c>
      <c r="E143" s="8" t="str">
        <f t="shared" si="22"/>
        <v>1</v>
      </c>
      <c r="F143" s="9">
        <v>1094028</v>
      </c>
    </row>
    <row r="144" spans="1:6" x14ac:dyDescent="0.25">
      <c r="A144" s="8" t="str">
        <f t="shared" si="20"/>
        <v>1867</v>
      </c>
      <c r="B144" s="8" t="str">
        <f t="shared" si="21"/>
        <v>Прочие дебиторы по неосновной деятельности</v>
      </c>
      <c r="C144" s="8" t="str">
        <f t="shared" si="19"/>
        <v>1</v>
      </c>
      <c r="D144" s="8" t="str">
        <f>"6"</f>
        <v>6</v>
      </c>
      <c r="E144" s="8" t="str">
        <f t="shared" si="22"/>
        <v>1</v>
      </c>
      <c r="F144" s="9">
        <v>52071</v>
      </c>
    </row>
    <row r="145" spans="1:6" x14ac:dyDescent="0.25">
      <c r="A145" s="8" t="str">
        <f t="shared" si="20"/>
        <v>1867</v>
      </c>
      <c r="B145" s="8" t="str">
        <f t="shared" si="21"/>
        <v>Прочие дебиторы по неосновной деятельности</v>
      </c>
      <c r="C145" s="8" t="str">
        <f t="shared" si="19"/>
        <v>1</v>
      </c>
      <c r="D145" s="8" t="str">
        <f>"7"</f>
        <v>7</v>
      </c>
      <c r="E145" s="8" t="str">
        <f t="shared" si="22"/>
        <v>1</v>
      </c>
      <c r="F145" s="9">
        <v>92323246.010000005</v>
      </c>
    </row>
    <row r="146" spans="1:6" x14ac:dyDescent="0.25">
      <c r="A146" s="8" t="str">
        <f t="shared" si="20"/>
        <v>1867</v>
      </c>
      <c r="B146" s="8" t="str">
        <f t="shared" si="21"/>
        <v>Прочие дебиторы по неосновной деятельности</v>
      </c>
      <c r="C146" s="8" t="str">
        <f t="shared" si="19"/>
        <v>1</v>
      </c>
      <c r="D146" s="8" t="str">
        <f>"8"</f>
        <v>8</v>
      </c>
      <c r="E146" s="8" t="str">
        <f t="shared" si="22"/>
        <v>1</v>
      </c>
      <c r="F146" s="9">
        <v>100000</v>
      </c>
    </row>
    <row r="147" spans="1:6" x14ac:dyDescent="0.25">
      <c r="A147" s="8" t="str">
        <f t="shared" si="20"/>
        <v>1867</v>
      </c>
      <c r="B147" s="8" t="str">
        <f t="shared" si="21"/>
        <v>Прочие дебиторы по неосновной деятельности</v>
      </c>
      <c r="C147" s="8" t="str">
        <f t="shared" si="19"/>
        <v>1</v>
      </c>
      <c r="D147" s="8" t="str">
        <f>"9"</f>
        <v>9</v>
      </c>
      <c r="E147" s="8" t="str">
        <f t="shared" si="22"/>
        <v>1</v>
      </c>
      <c r="F147" s="9">
        <v>76090949.909999996</v>
      </c>
    </row>
    <row r="148" spans="1:6" x14ac:dyDescent="0.25">
      <c r="A148" s="8" t="str">
        <f t="shared" si="20"/>
        <v>1867</v>
      </c>
      <c r="B148" s="8" t="str">
        <f t="shared" si="21"/>
        <v>Прочие дебиторы по неосновной деятельности</v>
      </c>
      <c r="C148" s="8" t="str">
        <f>"2"</f>
        <v>2</v>
      </c>
      <c r="D148" s="8" t="str">
        <f>"5"</f>
        <v>5</v>
      </c>
      <c r="E148" s="8" t="str">
        <f t="shared" si="22"/>
        <v>1</v>
      </c>
      <c r="F148" s="9">
        <v>404735</v>
      </c>
    </row>
    <row r="149" spans="1:6" x14ac:dyDescent="0.25">
      <c r="A149" s="8" t="str">
        <f t="shared" si="20"/>
        <v>1867</v>
      </c>
      <c r="B149" s="8" t="str">
        <f t="shared" si="21"/>
        <v>Прочие дебиторы по неосновной деятельности</v>
      </c>
      <c r="C149" s="8" t="str">
        <f>"2"</f>
        <v>2</v>
      </c>
      <c r="D149" s="8" t="str">
        <f>"7"</f>
        <v>7</v>
      </c>
      <c r="E149" s="8" t="str">
        <f t="shared" si="22"/>
        <v>1</v>
      </c>
      <c r="F149" s="9">
        <v>11089874.83</v>
      </c>
    </row>
    <row r="150" spans="1:6" x14ac:dyDescent="0.25">
      <c r="A150" s="8" t="str">
        <f t="shared" si="20"/>
        <v>1867</v>
      </c>
      <c r="B150" s="8" t="str">
        <f t="shared" si="21"/>
        <v>Прочие дебиторы по неосновной деятельности</v>
      </c>
      <c r="C150" s="8" t="str">
        <f>"2"</f>
        <v>2</v>
      </c>
      <c r="D150" s="8" t="str">
        <f>"9"</f>
        <v>9</v>
      </c>
      <c r="E150" s="8" t="str">
        <f t="shared" si="22"/>
        <v>1</v>
      </c>
      <c r="F150" s="9">
        <v>73920</v>
      </c>
    </row>
    <row r="151" spans="1:6" x14ac:dyDescent="0.25">
      <c r="A151" s="8" t="str">
        <f>"1870"</f>
        <v>1870</v>
      </c>
      <c r="B151" s="8" t="str">
        <f>"Прочие транзитные счета"</f>
        <v>Прочие транзитные счета</v>
      </c>
      <c r="C151" s="8" t="str">
        <f t="shared" ref="C151:C158" si="23">"1"</f>
        <v>1</v>
      </c>
      <c r="D151" s="8" t="str">
        <f>"4"</f>
        <v>4</v>
      </c>
      <c r="E151" s="8" t="str">
        <f t="shared" si="22"/>
        <v>1</v>
      </c>
      <c r="F151" s="9">
        <v>100000000</v>
      </c>
    </row>
    <row r="152" spans="1:6" x14ac:dyDescent="0.25">
      <c r="A152" s="8" t="str">
        <f>"1870"</f>
        <v>1870</v>
      </c>
      <c r="B152" s="8" t="str">
        <f>"Прочие транзитные счета"</f>
        <v>Прочие транзитные счета</v>
      </c>
      <c r="C152" s="8" t="str">
        <f t="shared" si="23"/>
        <v>1</v>
      </c>
      <c r="D152" s="8" t="str">
        <f>"7"</f>
        <v>7</v>
      </c>
      <c r="E152" s="8" t="str">
        <f t="shared" si="22"/>
        <v>1</v>
      </c>
      <c r="F152" s="9">
        <v>49607860.719999999</v>
      </c>
    </row>
    <row r="153" spans="1:6" x14ac:dyDescent="0.25">
      <c r="A153" s="8" t="str">
        <f t="shared" ref="A153:A161" si="24">"1877"</f>
        <v>1877</v>
      </c>
      <c r="B153" s="8" t="str">
        <f t="shared" ref="B153:B161" si="25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C153" s="8" t="str">
        <f t="shared" si="23"/>
        <v>1</v>
      </c>
      <c r="D153" s="8" t="str">
        <f>"5"</f>
        <v>5</v>
      </c>
      <c r="E153" s="8" t="str">
        <f t="shared" si="22"/>
        <v>1</v>
      </c>
      <c r="F153" s="9">
        <v>-3698480.86</v>
      </c>
    </row>
    <row r="154" spans="1:6" x14ac:dyDescent="0.25">
      <c r="A154" s="8" t="str">
        <f t="shared" si="24"/>
        <v>1877</v>
      </c>
      <c r="B154" s="8" t="str">
        <f t="shared" si="25"/>
        <v>Резервы (провизии) по дебиторской задолженности, связанной с банковской деятельностью</v>
      </c>
      <c r="C154" s="8" t="str">
        <f t="shared" si="23"/>
        <v>1</v>
      </c>
      <c r="D154" s="8" t="str">
        <f>"7"</f>
        <v>7</v>
      </c>
      <c r="E154" s="8" t="str">
        <f t="shared" si="22"/>
        <v>1</v>
      </c>
      <c r="F154" s="9">
        <v>-1452978965.8499999</v>
      </c>
    </row>
    <row r="155" spans="1:6" x14ac:dyDescent="0.25">
      <c r="A155" s="8" t="str">
        <f t="shared" si="24"/>
        <v>1877</v>
      </c>
      <c r="B155" s="8" t="str">
        <f t="shared" si="25"/>
        <v>Резервы (провизии) по дебиторской задолженности, связанной с банковской деятельностью</v>
      </c>
      <c r="C155" s="8" t="str">
        <f t="shared" si="23"/>
        <v>1</v>
      </c>
      <c r="D155" s="8" t="str">
        <f>"7"</f>
        <v>7</v>
      </c>
      <c r="E155" s="8" t="str">
        <f>"2"</f>
        <v>2</v>
      </c>
      <c r="F155" s="9">
        <v>-5181148.51</v>
      </c>
    </row>
    <row r="156" spans="1:6" x14ac:dyDescent="0.25">
      <c r="A156" s="8" t="str">
        <f t="shared" si="24"/>
        <v>1877</v>
      </c>
      <c r="B156" s="8" t="str">
        <f t="shared" si="25"/>
        <v>Резервы (провизии) по дебиторской задолженности, связанной с банковской деятельностью</v>
      </c>
      <c r="C156" s="8" t="str">
        <f t="shared" si="23"/>
        <v>1</v>
      </c>
      <c r="D156" s="8" t="str">
        <f>"9"</f>
        <v>9</v>
      </c>
      <c r="E156" s="8" t="str">
        <f>"1"</f>
        <v>1</v>
      </c>
      <c r="F156" s="9">
        <v>-25527560.07</v>
      </c>
    </row>
    <row r="157" spans="1:6" x14ac:dyDescent="0.25">
      <c r="A157" s="8" t="str">
        <f t="shared" si="24"/>
        <v>1877</v>
      </c>
      <c r="B157" s="8" t="str">
        <f t="shared" si="25"/>
        <v>Резервы (провизии) по дебиторской задолженности, связанной с банковской деятельностью</v>
      </c>
      <c r="C157" s="8" t="str">
        <f t="shared" si="23"/>
        <v>1</v>
      </c>
      <c r="D157" s="8" t="str">
        <f>"9"</f>
        <v>9</v>
      </c>
      <c r="E157" s="8" t="str">
        <f>"2"</f>
        <v>2</v>
      </c>
      <c r="F157" s="9">
        <v>-4463.28</v>
      </c>
    </row>
    <row r="158" spans="1:6" x14ac:dyDescent="0.25">
      <c r="A158" s="8" t="str">
        <f t="shared" si="24"/>
        <v>1877</v>
      </c>
      <c r="B158" s="8" t="str">
        <f t="shared" si="25"/>
        <v>Резервы (провизии) по дебиторской задолженности, связанной с банковской деятельностью</v>
      </c>
      <c r="C158" s="8" t="str">
        <f t="shared" si="23"/>
        <v>1</v>
      </c>
      <c r="D158" s="8" t="str">
        <f>"9"</f>
        <v>9</v>
      </c>
      <c r="E158" s="8" t="str">
        <f>"3"</f>
        <v>3</v>
      </c>
      <c r="F158" s="9">
        <v>-309155</v>
      </c>
    </row>
    <row r="159" spans="1:6" x14ac:dyDescent="0.25">
      <c r="A159" s="8" t="str">
        <f t="shared" si="24"/>
        <v>1877</v>
      </c>
      <c r="B159" s="8" t="str">
        <f t="shared" si="25"/>
        <v>Резервы (провизии) по дебиторской задолженности, связанной с банковской деятельностью</v>
      </c>
      <c r="C159" s="8" t="str">
        <f>"2"</f>
        <v>2</v>
      </c>
      <c r="D159" s="8" t="str">
        <f>"4"</f>
        <v>4</v>
      </c>
      <c r="E159" s="8" t="str">
        <f>"2"</f>
        <v>2</v>
      </c>
      <c r="F159" s="9">
        <v>-45153002.170000002</v>
      </c>
    </row>
    <row r="160" spans="1:6" x14ac:dyDescent="0.25">
      <c r="A160" s="8" t="str">
        <f t="shared" si="24"/>
        <v>1877</v>
      </c>
      <c r="B160" s="8" t="str">
        <f t="shared" si="25"/>
        <v>Резервы (провизии) по дебиторской задолженности, связанной с банковской деятельностью</v>
      </c>
      <c r="C160" s="8" t="str">
        <f>"2"</f>
        <v>2</v>
      </c>
      <c r="D160" s="8" t="str">
        <f>"5"</f>
        <v>5</v>
      </c>
      <c r="E160" s="8" t="str">
        <f>"2"</f>
        <v>2</v>
      </c>
      <c r="F160" s="9">
        <v>-1738550.67</v>
      </c>
    </row>
    <row r="161" spans="1:6" x14ac:dyDescent="0.25">
      <c r="A161" s="8" t="str">
        <f t="shared" si="24"/>
        <v>1877</v>
      </c>
      <c r="B161" s="8" t="str">
        <f t="shared" si="25"/>
        <v>Резервы (провизии) по дебиторской задолженности, связанной с банковской деятельностью</v>
      </c>
      <c r="C161" s="8" t="str">
        <f>"2"</f>
        <v>2</v>
      </c>
      <c r="D161" s="8" t="str">
        <f>"9"</f>
        <v>9</v>
      </c>
      <c r="E161" s="8" t="str">
        <f>"1"</f>
        <v>1</v>
      </c>
      <c r="F161" s="9">
        <v>-852.4</v>
      </c>
    </row>
    <row r="162" spans="1:6" x14ac:dyDescent="0.25">
      <c r="A162" s="8" t="str">
        <f>"1878"</f>
        <v>1878</v>
      </c>
      <c r="B162" s="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162" s="8" t="str">
        <f>"1"</f>
        <v>1</v>
      </c>
      <c r="D162" s="8" t="str">
        <f>"7"</f>
        <v>7</v>
      </c>
      <c r="E162" s="8" t="str">
        <f>"1"</f>
        <v>1</v>
      </c>
      <c r="F162" s="9">
        <v>-5860016.7999999998</v>
      </c>
    </row>
    <row r="163" spans="1:6" x14ac:dyDescent="0.25">
      <c r="A163" s="8" t="str">
        <f>"1879"</f>
        <v>1879</v>
      </c>
      <c r="B163" s="8" t="str">
        <f>"Начисленная неустойка (штраф, пеня)"</f>
        <v>Начисленная неустойка (штраф, пеня)</v>
      </c>
      <c r="C163" s="8" t="str">
        <f>"1"</f>
        <v>1</v>
      </c>
      <c r="D163" s="8" t="str">
        <f>"7"</f>
        <v>7</v>
      </c>
      <c r="E163" s="8" t="str">
        <f>"1"</f>
        <v>1</v>
      </c>
      <c r="F163" s="9">
        <v>50739962.43</v>
      </c>
    </row>
    <row r="164" spans="1:6" x14ac:dyDescent="0.25">
      <c r="A164" s="8" t="str">
        <f>"1879"</f>
        <v>1879</v>
      </c>
      <c r="B164" s="8" t="str">
        <f>"Начисленная неустойка (штраф, пеня)"</f>
        <v>Начисленная неустойка (штраф, пеня)</v>
      </c>
      <c r="C164" s="8" t="str">
        <f>"1"</f>
        <v>1</v>
      </c>
      <c r="D164" s="8" t="str">
        <f>"7"</f>
        <v>7</v>
      </c>
      <c r="E164" s="8" t="str">
        <f>"2"</f>
        <v>2</v>
      </c>
      <c r="F164" s="9">
        <v>557193.54</v>
      </c>
    </row>
    <row r="165" spans="1:6" x14ac:dyDescent="0.25">
      <c r="A165" s="8" t="str">
        <f>"1879"</f>
        <v>1879</v>
      </c>
      <c r="B165" s="8" t="str">
        <f>"Начисленная неустойка (штраф, пеня)"</f>
        <v>Начисленная неустойка (штраф, пеня)</v>
      </c>
      <c r="C165" s="8" t="str">
        <f>"1"</f>
        <v>1</v>
      </c>
      <c r="D165" s="8" t="str">
        <f>"9"</f>
        <v>9</v>
      </c>
      <c r="E165" s="8" t="str">
        <f>"1"</f>
        <v>1</v>
      </c>
      <c r="F165" s="9">
        <v>15767336.26</v>
      </c>
    </row>
    <row r="166" spans="1:6" x14ac:dyDescent="0.25">
      <c r="A166" s="8" t="str">
        <f>"1892"</f>
        <v>1892</v>
      </c>
      <c r="B166" s="8" t="str">
        <f>"Требования по операциям форвард"</f>
        <v>Требования по операциям форвард</v>
      </c>
      <c r="C166" s="8" t="str">
        <f>"1"</f>
        <v>1</v>
      </c>
      <c r="D166" s="8" t="str">
        <f>"7"</f>
        <v>7</v>
      </c>
      <c r="E166" s="8" t="str">
        <f>"1"</f>
        <v>1</v>
      </c>
      <c r="F166" s="9">
        <v>12117929.15</v>
      </c>
    </row>
    <row r="167" spans="1:6" x14ac:dyDescent="0.25">
      <c r="A167" s="8" t="str">
        <f>"2013"</f>
        <v>2013</v>
      </c>
      <c r="B167" s="8" t="str">
        <f>"Корреспондентские счета других банков"</f>
        <v>Корреспондентские счета других банков</v>
      </c>
      <c r="C167" s="8" t="str">
        <f>"2"</f>
        <v>2</v>
      </c>
      <c r="D167" s="8" t="str">
        <f>"4"</f>
        <v>4</v>
      </c>
      <c r="E167" s="8" t="str">
        <f>"1"</f>
        <v>1</v>
      </c>
      <c r="F167" s="9">
        <v>2221964311.5999999</v>
      </c>
    </row>
    <row r="168" spans="1:6" x14ac:dyDescent="0.25">
      <c r="A168" s="8" t="str">
        <f>"2054"</f>
        <v>2054</v>
      </c>
      <c r="B168" s="8" t="str">
        <f>"Краткосрочные займы, полученные от других банков"</f>
        <v>Краткосрочные займы, полученные от других банков</v>
      </c>
      <c r="C168" s="8" t="str">
        <f>"2"</f>
        <v>2</v>
      </c>
      <c r="D168" s="8" t="str">
        <f>"4"</f>
        <v>4</v>
      </c>
      <c r="E168" s="8" t="str">
        <f>"3"</f>
        <v>3</v>
      </c>
      <c r="F168" s="9">
        <v>58370000000</v>
      </c>
    </row>
    <row r="169" spans="1:6" x14ac:dyDescent="0.25">
      <c r="A169" s="8" t="str">
        <f t="shared" ref="A169:A182" si="26">"2203"</f>
        <v>2203</v>
      </c>
      <c r="B169" s="8" t="str">
        <f t="shared" ref="B169:B182" si="27">"Текущие счета юридических лиц"</f>
        <v>Текущие счета юридических лиц</v>
      </c>
      <c r="C169" s="8" t="str">
        <f t="shared" ref="C169:C176" si="28">"1"</f>
        <v>1</v>
      </c>
      <c r="D169" s="8" t="str">
        <f>"5"</f>
        <v>5</v>
      </c>
      <c r="E169" s="8" t="str">
        <f>"1"</f>
        <v>1</v>
      </c>
      <c r="F169" s="9">
        <v>265659758.38</v>
      </c>
    </row>
    <row r="170" spans="1:6" x14ac:dyDescent="0.25">
      <c r="A170" s="8" t="str">
        <f t="shared" si="26"/>
        <v>2203</v>
      </c>
      <c r="B170" s="8" t="str">
        <f t="shared" si="27"/>
        <v>Текущие счета юридических лиц</v>
      </c>
      <c r="C170" s="8" t="str">
        <f t="shared" si="28"/>
        <v>1</v>
      </c>
      <c r="D170" s="8" t="str">
        <f>"5"</f>
        <v>5</v>
      </c>
      <c r="E170" s="8" t="str">
        <f>"2"</f>
        <v>2</v>
      </c>
      <c r="F170" s="9">
        <v>22134.2</v>
      </c>
    </row>
    <row r="171" spans="1:6" x14ac:dyDescent="0.25">
      <c r="A171" s="8" t="str">
        <f t="shared" si="26"/>
        <v>2203</v>
      </c>
      <c r="B171" s="8" t="str">
        <f t="shared" si="27"/>
        <v>Текущие счета юридических лиц</v>
      </c>
      <c r="C171" s="8" t="str">
        <f t="shared" si="28"/>
        <v>1</v>
      </c>
      <c r="D171" s="8" t="str">
        <f>"6"</f>
        <v>6</v>
      </c>
      <c r="E171" s="8" t="str">
        <f>"1"</f>
        <v>1</v>
      </c>
      <c r="F171" s="9">
        <v>44217148.549999997</v>
      </c>
    </row>
    <row r="172" spans="1:6" x14ac:dyDescent="0.25">
      <c r="A172" s="8" t="str">
        <f t="shared" si="26"/>
        <v>2203</v>
      </c>
      <c r="B172" s="8" t="str">
        <f t="shared" si="27"/>
        <v>Текущие счета юридических лиц</v>
      </c>
      <c r="C172" s="8" t="str">
        <f t="shared" si="28"/>
        <v>1</v>
      </c>
      <c r="D172" s="8" t="str">
        <f>"6"</f>
        <v>6</v>
      </c>
      <c r="E172" s="8" t="str">
        <f>"3"</f>
        <v>3</v>
      </c>
      <c r="F172" s="9">
        <v>5881290.7999999998</v>
      </c>
    </row>
    <row r="173" spans="1:6" x14ac:dyDescent="0.25">
      <c r="A173" s="8" t="str">
        <f t="shared" si="26"/>
        <v>2203</v>
      </c>
      <c r="B173" s="8" t="str">
        <f t="shared" si="27"/>
        <v>Текущие счета юридических лиц</v>
      </c>
      <c r="C173" s="8" t="str">
        <f t="shared" si="28"/>
        <v>1</v>
      </c>
      <c r="D173" s="8" t="str">
        <f>"7"</f>
        <v>7</v>
      </c>
      <c r="E173" s="8" t="str">
        <f>"1"</f>
        <v>1</v>
      </c>
      <c r="F173" s="9">
        <v>1828394301.24</v>
      </c>
    </row>
    <row r="174" spans="1:6" x14ac:dyDescent="0.25">
      <c r="A174" s="8" t="str">
        <f t="shared" si="26"/>
        <v>2203</v>
      </c>
      <c r="B174" s="8" t="str">
        <f t="shared" si="27"/>
        <v>Текущие счета юридических лиц</v>
      </c>
      <c r="C174" s="8" t="str">
        <f t="shared" si="28"/>
        <v>1</v>
      </c>
      <c r="D174" s="8" t="str">
        <f>"7"</f>
        <v>7</v>
      </c>
      <c r="E174" s="8" t="str">
        <f>"2"</f>
        <v>2</v>
      </c>
      <c r="F174" s="9">
        <v>10452626276.35</v>
      </c>
    </row>
    <row r="175" spans="1:6" x14ac:dyDescent="0.25">
      <c r="A175" s="8" t="str">
        <f t="shared" si="26"/>
        <v>2203</v>
      </c>
      <c r="B175" s="8" t="str">
        <f t="shared" si="27"/>
        <v>Текущие счета юридических лиц</v>
      </c>
      <c r="C175" s="8" t="str">
        <f t="shared" si="28"/>
        <v>1</v>
      </c>
      <c r="D175" s="8" t="str">
        <f>"7"</f>
        <v>7</v>
      </c>
      <c r="E175" s="8" t="str">
        <f>"3"</f>
        <v>3</v>
      </c>
      <c r="F175" s="9">
        <v>361991071.33999997</v>
      </c>
    </row>
    <row r="176" spans="1:6" x14ac:dyDescent="0.25">
      <c r="A176" s="8" t="str">
        <f t="shared" si="26"/>
        <v>2203</v>
      </c>
      <c r="B176" s="8" t="str">
        <f t="shared" si="27"/>
        <v>Текущие счета юридических лиц</v>
      </c>
      <c r="C176" s="8" t="str">
        <f t="shared" si="28"/>
        <v>1</v>
      </c>
      <c r="D176" s="8" t="str">
        <f>"8"</f>
        <v>8</v>
      </c>
      <c r="E176" s="8" t="str">
        <f>"1"</f>
        <v>1</v>
      </c>
      <c r="F176" s="9">
        <v>5360759.47</v>
      </c>
    </row>
    <row r="177" spans="1:6" x14ac:dyDescent="0.25">
      <c r="A177" s="8" t="str">
        <f t="shared" si="26"/>
        <v>2203</v>
      </c>
      <c r="B177" s="8" t="str">
        <f t="shared" si="27"/>
        <v>Текущие счета юридических лиц</v>
      </c>
      <c r="C177" s="8" t="str">
        <f t="shared" ref="C177:C182" si="29">"2"</f>
        <v>2</v>
      </c>
      <c r="D177" s="8" t="str">
        <f>"5"</f>
        <v>5</v>
      </c>
      <c r="E177" s="8" t="str">
        <f>"1"</f>
        <v>1</v>
      </c>
      <c r="F177" s="9">
        <v>1109439.99</v>
      </c>
    </row>
    <row r="178" spans="1:6" x14ac:dyDescent="0.25">
      <c r="A178" s="8" t="str">
        <f t="shared" si="26"/>
        <v>2203</v>
      </c>
      <c r="B178" s="8" t="str">
        <f t="shared" si="27"/>
        <v>Текущие счета юридических лиц</v>
      </c>
      <c r="C178" s="8" t="str">
        <f t="shared" si="29"/>
        <v>2</v>
      </c>
      <c r="D178" s="8" t="str">
        <f>"5"</f>
        <v>5</v>
      </c>
      <c r="E178" s="8" t="str">
        <f>"2"</f>
        <v>2</v>
      </c>
      <c r="F178" s="9">
        <v>714860.03</v>
      </c>
    </row>
    <row r="179" spans="1:6" x14ac:dyDescent="0.25">
      <c r="A179" s="8" t="str">
        <f t="shared" si="26"/>
        <v>2203</v>
      </c>
      <c r="B179" s="8" t="str">
        <f t="shared" si="27"/>
        <v>Текущие счета юридических лиц</v>
      </c>
      <c r="C179" s="8" t="str">
        <f t="shared" si="29"/>
        <v>2</v>
      </c>
      <c r="D179" s="8" t="str">
        <f>"6"</f>
        <v>6</v>
      </c>
      <c r="E179" s="8" t="str">
        <f>"1"</f>
        <v>1</v>
      </c>
      <c r="F179" s="9">
        <v>8900</v>
      </c>
    </row>
    <row r="180" spans="1:6" x14ac:dyDescent="0.25">
      <c r="A180" s="8" t="str">
        <f t="shared" si="26"/>
        <v>2203</v>
      </c>
      <c r="B180" s="8" t="str">
        <f t="shared" si="27"/>
        <v>Текущие счета юридических лиц</v>
      </c>
      <c r="C180" s="8" t="str">
        <f t="shared" si="29"/>
        <v>2</v>
      </c>
      <c r="D180" s="8" t="str">
        <f>"7"</f>
        <v>7</v>
      </c>
      <c r="E180" s="8" t="str">
        <f>"1"</f>
        <v>1</v>
      </c>
      <c r="F180" s="9">
        <v>23875234.68</v>
      </c>
    </row>
    <row r="181" spans="1:6" x14ac:dyDescent="0.25">
      <c r="A181" s="8" t="str">
        <f t="shared" si="26"/>
        <v>2203</v>
      </c>
      <c r="B181" s="8" t="str">
        <f t="shared" si="27"/>
        <v>Текущие счета юридических лиц</v>
      </c>
      <c r="C181" s="8" t="str">
        <f t="shared" si="29"/>
        <v>2</v>
      </c>
      <c r="D181" s="8" t="str">
        <f>"7"</f>
        <v>7</v>
      </c>
      <c r="E181" s="8" t="str">
        <f>"2"</f>
        <v>2</v>
      </c>
      <c r="F181" s="9">
        <v>21796290.510000002</v>
      </c>
    </row>
    <row r="182" spans="1:6" x14ac:dyDescent="0.25">
      <c r="A182" s="8" t="str">
        <f t="shared" si="26"/>
        <v>2203</v>
      </c>
      <c r="B182" s="8" t="str">
        <f t="shared" si="27"/>
        <v>Текущие счета юридических лиц</v>
      </c>
      <c r="C182" s="8" t="str">
        <f t="shared" si="29"/>
        <v>2</v>
      </c>
      <c r="D182" s="8" t="str">
        <f>"7"</f>
        <v>7</v>
      </c>
      <c r="E182" s="8" t="str">
        <f>"3"</f>
        <v>3</v>
      </c>
      <c r="F182" s="9">
        <v>6229651.5800000001</v>
      </c>
    </row>
    <row r="183" spans="1:6" x14ac:dyDescent="0.25">
      <c r="A183" s="8" t="str">
        <f t="shared" ref="A183:A188" si="30">"2204"</f>
        <v>2204</v>
      </c>
      <c r="B183" s="8" t="str">
        <f t="shared" ref="B183:B188" si="31">"Текущие счета физических лиц"</f>
        <v>Текущие счета физических лиц</v>
      </c>
      <c r="C183" s="8" t="str">
        <f>"1"</f>
        <v>1</v>
      </c>
      <c r="D183" s="8" t="str">
        <f t="shared" ref="D183:D203" si="32">"9"</f>
        <v>9</v>
      </c>
      <c r="E183" s="8" t="str">
        <f>"1"</f>
        <v>1</v>
      </c>
      <c r="F183" s="9">
        <v>5496294786.4300003</v>
      </c>
    </row>
    <row r="184" spans="1:6" x14ac:dyDescent="0.25">
      <c r="A184" s="8" t="str">
        <f t="shared" si="30"/>
        <v>2204</v>
      </c>
      <c r="B184" s="8" t="str">
        <f t="shared" si="31"/>
        <v>Текущие счета физических лиц</v>
      </c>
      <c r="C184" s="8" t="str">
        <f>"1"</f>
        <v>1</v>
      </c>
      <c r="D184" s="8" t="str">
        <f t="shared" si="32"/>
        <v>9</v>
      </c>
      <c r="E184" s="8" t="str">
        <f>"2"</f>
        <v>2</v>
      </c>
      <c r="F184" s="9">
        <v>91755351.239999995</v>
      </c>
    </row>
    <row r="185" spans="1:6" x14ac:dyDescent="0.25">
      <c r="A185" s="8" t="str">
        <f t="shared" si="30"/>
        <v>2204</v>
      </c>
      <c r="B185" s="8" t="str">
        <f t="shared" si="31"/>
        <v>Текущие счета физических лиц</v>
      </c>
      <c r="C185" s="8" t="str">
        <f>"1"</f>
        <v>1</v>
      </c>
      <c r="D185" s="8" t="str">
        <f t="shared" si="32"/>
        <v>9</v>
      </c>
      <c r="E185" s="8" t="str">
        <f>"3"</f>
        <v>3</v>
      </c>
      <c r="F185" s="9">
        <v>287407875.89999998</v>
      </c>
    </row>
    <row r="186" spans="1:6" x14ac:dyDescent="0.25">
      <c r="A186" s="8" t="str">
        <f t="shared" si="30"/>
        <v>2204</v>
      </c>
      <c r="B186" s="8" t="str">
        <f t="shared" si="31"/>
        <v>Текущие счета физических лиц</v>
      </c>
      <c r="C186" s="8" t="str">
        <f>"2"</f>
        <v>2</v>
      </c>
      <c r="D186" s="8" t="str">
        <f t="shared" si="32"/>
        <v>9</v>
      </c>
      <c r="E186" s="8" t="str">
        <f>"1"</f>
        <v>1</v>
      </c>
      <c r="F186" s="9">
        <v>24925800.66</v>
      </c>
    </row>
    <row r="187" spans="1:6" x14ac:dyDescent="0.25">
      <c r="A187" s="8" t="str">
        <f t="shared" si="30"/>
        <v>2204</v>
      </c>
      <c r="B187" s="8" t="str">
        <f t="shared" si="31"/>
        <v>Текущие счета физических лиц</v>
      </c>
      <c r="C187" s="8" t="str">
        <f>"2"</f>
        <v>2</v>
      </c>
      <c r="D187" s="8" t="str">
        <f t="shared" si="32"/>
        <v>9</v>
      </c>
      <c r="E187" s="8" t="str">
        <f>"2"</f>
        <v>2</v>
      </c>
      <c r="F187" s="9">
        <v>43675372.280000001</v>
      </c>
    </row>
    <row r="188" spans="1:6" x14ac:dyDescent="0.25">
      <c r="A188" s="8" t="str">
        <f t="shared" si="30"/>
        <v>2204</v>
      </c>
      <c r="B188" s="8" t="str">
        <f t="shared" si="31"/>
        <v>Текущие счета физических лиц</v>
      </c>
      <c r="C188" s="8" t="str">
        <f>"2"</f>
        <v>2</v>
      </c>
      <c r="D188" s="8" t="str">
        <f t="shared" si="32"/>
        <v>9</v>
      </c>
      <c r="E188" s="8" t="str">
        <f>"3"</f>
        <v>3</v>
      </c>
      <c r="F188" s="9">
        <v>16384413.82</v>
      </c>
    </row>
    <row r="189" spans="1:6" x14ac:dyDescent="0.25">
      <c r="A189" s="8" t="str">
        <f t="shared" ref="A189:A194" si="33">"2206"</f>
        <v>2206</v>
      </c>
      <c r="B189" s="8" t="str">
        <f t="shared" ref="B189:B194" si="34">"Краткосрочные вклады физических лиц"</f>
        <v>Краткосрочные вклады физических лиц</v>
      </c>
      <c r="C189" s="8" t="str">
        <f>"1"</f>
        <v>1</v>
      </c>
      <c r="D189" s="8" t="str">
        <f t="shared" si="32"/>
        <v>9</v>
      </c>
      <c r="E189" s="8" t="str">
        <f>"1"</f>
        <v>1</v>
      </c>
      <c r="F189" s="9">
        <v>7672237256.75</v>
      </c>
    </row>
    <row r="190" spans="1:6" x14ac:dyDescent="0.25">
      <c r="A190" s="8" t="str">
        <f t="shared" si="33"/>
        <v>2206</v>
      </c>
      <c r="B190" s="8" t="str">
        <f t="shared" si="34"/>
        <v>Краткосрочные вклады физических лиц</v>
      </c>
      <c r="C190" s="8" t="str">
        <f>"1"</f>
        <v>1</v>
      </c>
      <c r="D190" s="8" t="str">
        <f t="shared" si="32"/>
        <v>9</v>
      </c>
      <c r="E190" s="8" t="str">
        <f>"2"</f>
        <v>2</v>
      </c>
      <c r="F190" s="9">
        <v>218993032.71000001</v>
      </c>
    </row>
    <row r="191" spans="1:6" x14ac:dyDescent="0.25">
      <c r="A191" s="8" t="str">
        <f t="shared" si="33"/>
        <v>2206</v>
      </c>
      <c r="B191" s="8" t="str">
        <f t="shared" si="34"/>
        <v>Краткосрочные вклады физических лиц</v>
      </c>
      <c r="C191" s="8" t="str">
        <f>"1"</f>
        <v>1</v>
      </c>
      <c r="D191" s="8" t="str">
        <f t="shared" si="32"/>
        <v>9</v>
      </c>
      <c r="E191" s="8" t="str">
        <f>"3"</f>
        <v>3</v>
      </c>
      <c r="F191" s="9">
        <v>16002552.300000001</v>
      </c>
    </row>
    <row r="192" spans="1:6" x14ac:dyDescent="0.25">
      <c r="A192" s="8" t="str">
        <f t="shared" si="33"/>
        <v>2206</v>
      </c>
      <c r="B192" s="8" t="str">
        <f t="shared" si="34"/>
        <v>Краткосрочные вклады физических лиц</v>
      </c>
      <c r="C192" s="8" t="str">
        <f>"2"</f>
        <v>2</v>
      </c>
      <c r="D192" s="8" t="str">
        <f t="shared" si="32"/>
        <v>9</v>
      </c>
      <c r="E192" s="8" t="str">
        <f>"1"</f>
        <v>1</v>
      </c>
      <c r="F192" s="9">
        <v>173117604.06</v>
      </c>
    </row>
    <row r="193" spans="1:6" x14ac:dyDescent="0.25">
      <c r="A193" s="8" t="str">
        <f t="shared" si="33"/>
        <v>2206</v>
      </c>
      <c r="B193" s="8" t="str">
        <f t="shared" si="34"/>
        <v>Краткосрочные вклады физических лиц</v>
      </c>
      <c r="C193" s="8" t="str">
        <f>"2"</f>
        <v>2</v>
      </c>
      <c r="D193" s="8" t="str">
        <f t="shared" si="32"/>
        <v>9</v>
      </c>
      <c r="E193" s="8" t="str">
        <f>"2"</f>
        <v>2</v>
      </c>
      <c r="F193" s="9">
        <v>500178.38</v>
      </c>
    </row>
    <row r="194" spans="1:6" x14ac:dyDescent="0.25">
      <c r="A194" s="8" t="str">
        <f t="shared" si="33"/>
        <v>2206</v>
      </c>
      <c r="B194" s="8" t="str">
        <f t="shared" si="34"/>
        <v>Краткосрочные вклады физических лиц</v>
      </c>
      <c r="C194" s="8" t="str">
        <f>"2"</f>
        <v>2</v>
      </c>
      <c r="D194" s="8" t="str">
        <f t="shared" si="32"/>
        <v>9</v>
      </c>
      <c r="E194" s="8" t="str">
        <f>"3"</f>
        <v>3</v>
      </c>
      <c r="F194" s="9">
        <v>65001.02</v>
      </c>
    </row>
    <row r="195" spans="1:6" x14ac:dyDescent="0.25">
      <c r="A195" s="8" t="str">
        <f t="shared" ref="A195:A200" si="35">"2207"</f>
        <v>2207</v>
      </c>
      <c r="B195" s="8" t="str">
        <f t="shared" ref="B195:B200" si="36">"Долгосрочные вклады физических лиц"</f>
        <v>Долгосрочные вклады физических лиц</v>
      </c>
      <c r="C195" s="8" t="str">
        <f>"1"</f>
        <v>1</v>
      </c>
      <c r="D195" s="8" t="str">
        <f t="shared" si="32"/>
        <v>9</v>
      </c>
      <c r="E195" s="8" t="str">
        <f>"1"</f>
        <v>1</v>
      </c>
      <c r="F195" s="9">
        <v>1229990117.4200001</v>
      </c>
    </row>
    <row r="196" spans="1:6" x14ac:dyDescent="0.25">
      <c r="A196" s="8" t="str">
        <f t="shared" si="35"/>
        <v>2207</v>
      </c>
      <c r="B196" s="8" t="str">
        <f t="shared" si="36"/>
        <v>Долгосрочные вклады физических лиц</v>
      </c>
      <c r="C196" s="8" t="str">
        <f>"1"</f>
        <v>1</v>
      </c>
      <c r="D196" s="8" t="str">
        <f t="shared" si="32"/>
        <v>9</v>
      </c>
      <c r="E196" s="8" t="str">
        <f>"2"</f>
        <v>2</v>
      </c>
      <c r="F196" s="9">
        <v>889301078.07000005</v>
      </c>
    </row>
    <row r="197" spans="1:6" x14ac:dyDescent="0.25">
      <c r="A197" s="8" t="str">
        <f t="shared" si="35"/>
        <v>2207</v>
      </c>
      <c r="B197" s="8" t="str">
        <f t="shared" si="36"/>
        <v>Долгосрочные вклады физических лиц</v>
      </c>
      <c r="C197" s="8" t="str">
        <f>"1"</f>
        <v>1</v>
      </c>
      <c r="D197" s="8" t="str">
        <f t="shared" si="32"/>
        <v>9</v>
      </c>
      <c r="E197" s="8" t="str">
        <f>"3"</f>
        <v>3</v>
      </c>
      <c r="F197" s="9">
        <v>6744543.25</v>
      </c>
    </row>
    <row r="198" spans="1:6" x14ac:dyDescent="0.25">
      <c r="A198" s="8" t="str">
        <f t="shared" si="35"/>
        <v>2207</v>
      </c>
      <c r="B198" s="8" t="str">
        <f t="shared" si="36"/>
        <v>Долгосрочные вклады физических лиц</v>
      </c>
      <c r="C198" s="8" t="str">
        <f>"2"</f>
        <v>2</v>
      </c>
      <c r="D198" s="8" t="str">
        <f t="shared" si="32"/>
        <v>9</v>
      </c>
      <c r="E198" s="8" t="str">
        <f>"1"</f>
        <v>1</v>
      </c>
      <c r="F198" s="9">
        <v>10230872.41</v>
      </c>
    </row>
    <row r="199" spans="1:6" x14ac:dyDescent="0.25">
      <c r="A199" s="8" t="str">
        <f t="shared" si="35"/>
        <v>2207</v>
      </c>
      <c r="B199" s="8" t="str">
        <f t="shared" si="36"/>
        <v>Долгосрочные вклады физических лиц</v>
      </c>
      <c r="C199" s="8" t="str">
        <f>"2"</f>
        <v>2</v>
      </c>
      <c r="D199" s="8" t="str">
        <f t="shared" si="32"/>
        <v>9</v>
      </c>
      <c r="E199" s="8" t="str">
        <f>"2"</f>
        <v>2</v>
      </c>
      <c r="F199" s="9">
        <v>13022200.109999999</v>
      </c>
    </row>
    <row r="200" spans="1:6" x14ac:dyDescent="0.25">
      <c r="A200" s="8" t="str">
        <f t="shared" si="35"/>
        <v>2207</v>
      </c>
      <c r="B200" s="8" t="str">
        <f t="shared" si="36"/>
        <v>Долгосрочные вклады физических лиц</v>
      </c>
      <c r="C200" s="8" t="str">
        <f>"2"</f>
        <v>2</v>
      </c>
      <c r="D200" s="8" t="str">
        <f t="shared" si="32"/>
        <v>9</v>
      </c>
      <c r="E200" s="8" t="str">
        <f>"3"</f>
        <v>3</v>
      </c>
      <c r="F200" s="9">
        <v>305126.74</v>
      </c>
    </row>
    <row r="201" spans="1:6" x14ac:dyDescent="0.25">
      <c r="A201" s="8" t="str">
        <f>"2213"</f>
        <v>2213</v>
      </c>
      <c r="B201" s="8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C201" s="8" t="str">
        <f>"1"</f>
        <v>1</v>
      </c>
      <c r="D201" s="8" t="str">
        <f t="shared" si="32"/>
        <v>9</v>
      </c>
      <c r="E201" s="8" t="str">
        <f t="shared" ref="E201:E206" si="37">"1"</f>
        <v>1</v>
      </c>
      <c r="F201" s="9">
        <v>660451557.05999994</v>
      </c>
    </row>
    <row r="202" spans="1:6" x14ac:dyDescent="0.25">
      <c r="A202" s="8" t="str">
        <f>"2214"</f>
        <v>2214</v>
      </c>
      <c r="B202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202" s="8" t="str">
        <f>"1"</f>
        <v>1</v>
      </c>
      <c r="D202" s="8" t="str">
        <f t="shared" si="32"/>
        <v>9</v>
      </c>
      <c r="E202" s="8" t="str">
        <f t="shared" si="37"/>
        <v>1</v>
      </c>
      <c r="F202" s="9">
        <v>3916762377.9400001</v>
      </c>
    </row>
    <row r="203" spans="1:6" x14ac:dyDescent="0.25">
      <c r="A203" s="8" t="str">
        <f>"2214"</f>
        <v>2214</v>
      </c>
      <c r="B203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203" s="8" t="str">
        <f>"2"</f>
        <v>2</v>
      </c>
      <c r="D203" s="8" t="str">
        <f t="shared" si="32"/>
        <v>9</v>
      </c>
      <c r="E203" s="8" t="str">
        <f t="shared" si="37"/>
        <v>1</v>
      </c>
      <c r="F203" s="9">
        <v>29658647.710000001</v>
      </c>
    </row>
    <row r="204" spans="1:6" x14ac:dyDescent="0.25">
      <c r="A204" s="8" t="str">
        <f t="shared" ref="A204:A209" si="38">"2215"</f>
        <v>2215</v>
      </c>
      <c r="B204" s="8" t="str">
        <f t="shared" ref="B204:B209" si="39">"Краткосрочные вклады юридических лиц"</f>
        <v>Краткосрочные вклады юридических лиц</v>
      </c>
      <c r="C204" s="8" t="str">
        <f t="shared" ref="C204:C218" si="40">"1"</f>
        <v>1</v>
      </c>
      <c r="D204" s="8" t="str">
        <f>"5"</f>
        <v>5</v>
      </c>
      <c r="E204" s="8" t="str">
        <f t="shared" si="37"/>
        <v>1</v>
      </c>
      <c r="F204" s="9">
        <v>261000700</v>
      </c>
    </row>
    <row r="205" spans="1:6" x14ac:dyDescent="0.25">
      <c r="A205" s="8" t="str">
        <f t="shared" si="38"/>
        <v>2215</v>
      </c>
      <c r="B205" s="8" t="str">
        <f t="shared" si="39"/>
        <v>Краткосрочные вклады юридических лиц</v>
      </c>
      <c r="C205" s="8" t="str">
        <f t="shared" si="40"/>
        <v>1</v>
      </c>
      <c r="D205" s="8" t="str">
        <f>"6"</f>
        <v>6</v>
      </c>
      <c r="E205" s="8" t="str">
        <f t="shared" si="37"/>
        <v>1</v>
      </c>
      <c r="F205" s="9">
        <v>64009611.5</v>
      </c>
    </row>
    <row r="206" spans="1:6" x14ac:dyDescent="0.25">
      <c r="A206" s="8" t="str">
        <f t="shared" si="38"/>
        <v>2215</v>
      </c>
      <c r="B206" s="8" t="str">
        <f t="shared" si="39"/>
        <v>Краткосрочные вклады юридических лиц</v>
      </c>
      <c r="C206" s="8" t="str">
        <f t="shared" si="40"/>
        <v>1</v>
      </c>
      <c r="D206" s="8" t="str">
        <f>"7"</f>
        <v>7</v>
      </c>
      <c r="E206" s="8" t="str">
        <f t="shared" si="37"/>
        <v>1</v>
      </c>
      <c r="F206" s="9">
        <v>6188225184.8500004</v>
      </c>
    </row>
    <row r="207" spans="1:6" x14ac:dyDescent="0.25">
      <c r="A207" s="8" t="str">
        <f t="shared" si="38"/>
        <v>2215</v>
      </c>
      <c r="B207" s="8" t="str">
        <f t="shared" si="39"/>
        <v>Краткосрочные вклады юридических лиц</v>
      </c>
      <c r="C207" s="8" t="str">
        <f t="shared" si="40"/>
        <v>1</v>
      </c>
      <c r="D207" s="8" t="str">
        <f>"7"</f>
        <v>7</v>
      </c>
      <c r="E207" s="8" t="str">
        <f>"2"</f>
        <v>2</v>
      </c>
      <c r="F207" s="9">
        <v>17427484.5</v>
      </c>
    </row>
    <row r="208" spans="1:6" x14ac:dyDescent="0.25">
      <c r="A208" s="8" t="str">
        <f t="shared" si="38"/>
        <v>2215</v>
      </c>
      <c r="B208" s="8" t="str">
        <f t="shared" si="39"/>
        <v>Краткосрочные вклады юридических лиц</v>
      </c>
      <c r="C208" s="8" t="str">
        <f t="shared" si="40"/>
        <v>1</v>
      </c>
      <c r="D208" s="8" t="str">
        <f>"7"</f>
        <v>7</v>
      </c>
      <c r="E208" s="8" t="str">
        <f>"3"</f>
        <v>3</v>
      </c>
      <c r="F208" s="9">
        <v>789529313.82000005</v>
      </c>
    </row>
    <row r="209" spans="1:6" x14ac:dyDescent="0.25">
      <c r="A209" s="8" t="str">
        <f t="shared" si="38"/>
        <v>2215</v>
      </c>
      <c r="B209" s="8" t="str">
        <f t="shared" si="39"/>
        <v>Краткосрочные вклады юридических лиц</v>
      </c>
      <c r="C209" s="8" t="str">
        <f t="shared" si="40"/>
        <v>1</v>
      </c>
      <c r="D209" s="8" t="str">
        <f>"8"</f>
        <v>8</v>
      </c>
      <c r="E209" s="8" t="str">
        <f t="shared" ref="E209:E217" si="41">"1"</f>
        <v>1</v>
      </c>
      <c r="F209" s="9">
        <v>10300000</v>
      </c>
    </row>
    <row r="210" spans="1:6" x14ac:dyDescent="0.25">
      <c r="A210" s="8" t="str">
        <f>"2217"</f>
        <v>2217</v>
      </c>
      <c r="B210" s="8" t="str">
        <f>"Долгосрочные вклады юридических лиц"</f>
        <v>Долгосрочные вклады юридических лиц</v>
      </c>
      <c r="C210" s="8" t="str">
        <f t="shared" si="40"/>
        <v>1</v>
      </c>
      <c r="D210" s="8" t="str">
        <f>"5"</f>
        <v>5</v>
      </c>
      <c r="E210" s="8" t="str">
        <f t="shared" si="41"/>
        <v>1</v>
      </c>
      <c r="F210" s="9">
        <v>786320402.98000002</v>
      </c>
    </row>
    <row r="211" spans="1:6" x14ac:dyDescent="0.25">
      <c r="A211" s="8" t="str">
        <f>"2217"</f>
        <v>2217</v>
      </c>
      <c r="B211" s="8" t="str">
        <f>"Долгосрочные вклады юридических лиц"</f>
        <v>Долгосрочные вклады юридических лиц</v>
      </c>
      <c r="C211" s="8" t="str">
        <f t="shared" si="40"/>
        <v>1</v>
      </c>
      <c r="D211" s="8" t="str">
        <f>"7"</f>
        <v>7</v>
      </c>
      <c r="E211" s="8" t="str">
        <f t="shared" si="41"/>
        <v>1</v>
      </c>
      <c r="F211" s="9">
        <v>17000000</v>
      </c>
    </row>
    <row r="212" spans="1:6" x14ac:dyDescent="0.25">
      <c r="A212" s="8" t="str">
        <f>"2219"</f>
        <v>2219</v>
      </c>
      <c r="B212" s="8" t="str">
        <f>"Условные вклады юридических лиц"</f>
        <v>Условные вклады юридических лиц</v>
      </c>
      <c r="C212" s="8" t="str">
        <f t="shared" si="40"/>
        <v>1</v>
      </c>
      <c r="D212" s="8" t="str">
        <f>"7"</f>
        <v>7</v>
      </c>
      <c r="E212" s="8" t="str">
        <f t="shared" si="41"/>
        <v>1</v>
      </c>
      <c r="F212" s="9">
        <v>497192993.11000001</v>
      </c>
    </row>
    <row r="213" spans="1:6" x14ac:dyDescent="0.25">
      <c r="A213" s="8" t="str">
        <f>"2220"</f>
        <v>2220</v>
      </c>
      <c r="B213" s="8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213" s="8" t="str">
        <f t="shared" si="40"/>
        <v>1</v>
      </c>
      <c r="D213" s="8" t="str">
        <f>"7"</f>
        <v>7</v>
      </c>
      <c r="E213" s="8" t="str">
        <f t="shared" si="41"/>
        <v>1</v>
      </c>
      <c r="F213" s="9">
        <v>520559.31</v>
      </c>
    </row>
    <row r="214" spans="1:6" x14ac:dyDescent="0.25">
      <c r="A214" s="8" t="str">
        <f>"2223"</f>
        <v>2223</v>
      </c>
      <c r="B214" s="8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214" s="8" t="str">
        <f t="shared" si="40"/>
        <v>1</v>
      </c>
      <c r="D214" s="8" t="str">
        <f>"7"</f>
        <v>7</v>
      </c>
      <c r="E214" s="8" t="str">
        <f t="shared" si="41"/>
        <v>1</v>
      </c>
      <c r="F214" s="9">
        <v>173813715.93000001</v>
      </c>
    </row>
    <row r="215" spans="1:6" x14ac:dyDescent="0.25">
      <c r="A215" s="8" t="str">
        <f>"2227"</f>
        <v>2227</v>
      </c>
      <c r="B215" s="8" t="str">
        <f>"Обязательства по аренде"</f>
        <v>Обязательства по аренде</v>
      </c>
      <c r="C215" s="8" t="str">
        <f t="shared" si="40"/>
        <v>1</v>
      </c>
      <c r="D215" s="8" t="str">
        <f>"7"</f>
        <v>7</v>
      </c>
      <c r="E215" s="8" t="str">
        <f t="shared" si="41"/>
        <v>1</v>
      </c>
      <c r="F215" s="9">
        <v>1230200777.1600001</v>
      </c>
    </row>
    <row r="216" spans="1:6" x14ac:dyDescent="0.25">
      <c r="A216" s="8" t="str">
        <f>"2227"</f>
        <v>2227</v>
      </c>
      <c r="B216" s="8" t="str">
        <f>"Обязательства по аренде"</f>
        <v>Обязательства по аренде</v>
      </c>
      <c r="C216" s="8" t="str">
        <f t="shared" si="40"/>
        <v>1</v>
      </c>
      <c r="D216" s="8" t="str">
        <f>"9"</f>
        <v>9</v>
      </c>
      <c r="E216" s="8" t="str">
        <f t="shared" si="41"/>
        <v>1</v>
      </c>
      <c r="F216" s="9">
        <v>408680299.20999998</v>
      </c>
    </row>
    <row r="217" spans="1:6" x14ac:dyDescent="0.25">
      <c r="A217" s="8" t="str">
        <f>"2229"</f>
        <v>2229</v>
      </c>
      <c r="B217" s="8" t="str">
        <f>"Сберегательные вклады физических лиц (более одного года)"</f>
        <v>Сберегательные вклады физических лиц (более одного года)</v>
      </c>
      <c r="C217" s="8" t="str">
        <f t="shared" si="40"/>
        <v>1</v>
      </c>
      <c r="D217" s="8" t="str">
        <f>"9"</f>
        <v>9</v>
      </c>
      <c r="E217" s="8" t="str">
        <f t="shared" si="41"/>
        <v>1</v>
      </c>
      <c r="F217" s="9">
        <v>538731605.13999999</v>
      </c>
    </row>
    <row r="218" spans="1:6" x14ac:dyDescent="0.25">
      <c r="A218" s="8" t="str">
        <f>"2229"</f>
        <v>2229</v>
      </c>
      <c r="B218" s="8" t="str">
        <f>"Сберегательные вклады физических лиц (более одного года)"</f>
        <v>Сберегательные вклады физических лиц (более одного года)</v>
      </c>
      <c r="C218" s="8" t="str">
        <f t="shared" si="40"/>
        <v>1</v>
      </c>
      <c r="D218" s="8" t="str">
        <f>"9"</f>
        <v>9</v>
      </c>
      <c r="E218" s="8" t="str">
        <f>"2"</f>
        <v>2</v>
      </c>
      <c r="F218" s="9">
        <v>6549611.4800000004</v>
      </c>
    </row>
    <row r="219" spans="1:6" x14ac:dyDescent="0.25">
      <c r="A219" s="8" t="str">
        <f>"2229"</f>
        <v>2229</v>
      </c>
      <c r="B219" s="8" t="str">
        <f>"Сберегательные вклады физических лиц (более одного года)"</f>
        <v>Сберегательные вклады физических лиц (более одного года)</v>
      </c>
      <c r="C219" s="8" t="str">
        <f>"2"</f>
        <v>2</v>
      </c>
      <c r="D219" s="8" t="str">
        <f>"9"</f>
        <v>9</v>
      </c>
      <c r="E219" s="8" t="str">
        <f>"1"</f>
        <v>1</v>
      </c>
      <c r="F219" s="9">
        <v>15498903.85</v>
      </c>
    </row>
    <row r="220" spans="1:6" x14ac:dyDescent="0.25">
      <c r="A220" s="8" t="str">
        <f>"2237"</f>
        <v>2237</v>
      </c>
      <c r="B220" s="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220" s="8" t="str">
        <f t="shared" ref="C220:C230" si="42">"1"</f>
        <v>1</v>
      </c>
      <c r="D220" s="8" t="str">
        <f>"7"</f>
        <v>7</v>
      </c>
      <c r="E220" s="8" t="str">
        <f>"1"</f>
        <v>1</v>
      </c>
      <c r="F220" s="9">
        <v>3111000</v>
      </c>
    </row>
    <row r="221" spans="1:6" x14ac:dyDescent="0.25">
      <c r="A221" s="8" t="str">
        <f>"2237"</f>
        <v>2237</v>
      </c>
      <c r="B221" s="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221" s="8" t="str">
        <f t="shared" si="42"/>
        <v>1</v>
      </c>
      <c r="D221" s="8" t="str">
        <f>"7"</f>
        <v>7</v>
      </c>
      <c r="E221" s="8" t="str">
        <f>"3"</f>
        <v>3</v>
      </c>
      <c r="F221" s="9">
        <v>69165832.609999999</v>
      </c>
    </row>
    <row r="222" spans="1:6" x14ac:dyDescent="0.25">
      <c r="A222" s="8" t="str">
        <f>"2237"</f>
        <v>2237</v>
      </c>
      <c r="B222" s="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222" s="8" t="str">
        <f t="shared" si="42"/>
        <v>1</v>
      </c>
      <c r="D222" s="8" t="str">
        <f>"9"</f>
        <v>9</v>
      </c>
      <c r="E222" s="8" t="str">
        <f>"1"</f>
        <v>1</v>
      </c>
      <c r="F222" s="9">
        <v>20000</v>
      </c>
    </row>
    <row r="223" spans="1:6" x14ac:dyDescent="0.25">
      <c r="A223" s="8" t="str">
        <f>"2237"</f>
        <v>2237</v>
      </c>
      <c r="B223" s="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223" s="8" t="str">
        <f t="shared" si="42"/>
        <v>1</v>
      </c>
      <c r="D223" s="8" t="str">
        <f>"9"</f>
        <v>9</v>
      </c>
      <c r="E223" s="8" t="str">
        <f>"3"</f>
        <v>3</v>
      </c>
      <c r="F223" s="9">
        <v>10608986.369999999</v>
      </c>
    </row>
    <row r="224" spans="1:6" x14ac:dyDescent="0.25">
      <c r="A224" s="8" t="str">
        <f>"2240"</f>
        <v>2240</v>
      </c>
      <c r="B224" s="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224" s="8" t="str">
        <f t="shared" si="42"/>
        <v>1</v>
      </c>
      <c r="D224" s="8" t="str">
        <f>"7"</f>
        <v>7</v>
      </c>
      <c r="E224" s="8" t="str">
        <f>"1"</f>
        <v>1</v>
      </c>
      <c r="F224" s="9">
        <v>1262202139.74</v>
      </c>
    </row>
    <row r="225" spans="1:6" x14ac:dyDescent="0.25">
      <c r="A225" s="8" t="str">
        <f>"2240"</f>
        <v>2240</v>
      </c>
      <c r="B225" s="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225" s="8" t="str">
        <f t="shared" si="42"/>
        <v>1</v>
      </c>
      <c r="D225" s="8" t="str">
        <f>"7"</f>
        <v>7</v>
      </c>
      <c r="E225" s="8" t="str">
        <f>"2"</f>
        <v>2</v>
      </c>
      <c r="F225" s="9">
        <v>146468800.46000001</v>
      </c>
    </row>
    <row r="226" spans="1:6" x14ac:dyDescent="0.25">
      <c r="A226" s="8" t="str">
        <f>"2240"</f>
        <v>2240</v>
      </c>
      <c r="B226" s="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226" s="8" t="str">
        <f t="shared" si="42"/>
        <v>1</v>
      </c>
      <c r="D226" s="8" t="str">
        <f>"9"</f>
        <v>9</v>
      </c>
      <c r="E226" s="8" t="str">
        <f t="shared" ref="E226:E238" si="43">"1"</f>
        <v>1</v>
      </c>
      <c r="F226" s="9">
        <v>1652573284.3699999</v>
      </c>
    </row>
    <row r="227" spans="1:6" x14ac:dyDescent="0.25">
      <c r="A227" s="8" t="str">
        <f>"2301"</f>
        <v>2301</v>
      </c>
      <c r="B227" s="8" t="str">
        <f>"Выпущенные в обращение облигации"</f>
        <v>Выпущенные в обращение облигации</v>
      </c>
      <c r="C227" s="8" t="str">
        <f t="shared" si="42"/>
        <v>1</v>
      </c>
      <c r="D227" s="8" t="str">
        <f>"4"</f>
        <v>4</v>
      </c>
      <c r="E227" s="8" t="str">
        <f t="shared" si="43"/>
        <v>1</v>
      </c>
      <c r="F227" s="9">
        <v>3257927000</v>
      </c>
    </row>
    <row r="228" spans="1:6" x14ac:dyDescent="0.25">
      <c r="A228" s="8" t="str">
        <f>"2301"</f>
        <v>2301</v>
      </c>
      <c r="B228" s="8" t="str">
        <f>"Выпущенные в обращение облигации"</f>
        <v>Выпущенные в обращение облигации</v>
      </c>
      <c r="C228" s="8" t="str">
        <f t="shared" si="42"/>
        <v>1</v>
      </c>
      <c r="D228" s="8" t="str">
        <f>"5"</f>
        <v>5</v>
      </c>
      <c r="E228" s="8" t="str">
        <f t="shared" si="43"/>
        <v>1</v>
      </c>
      <c r="F228" s="9">
        <v>21426491000</v>
      </c>
    </row>
    <row r="229" spans="1:6" x14ac:dyDescent="0.25">
      <c r="A229" s="8" t="str">
        <f>"2301"</f>
        <v>2301</v>
      </c>
      <c r="B229" s="8" t="str">
        <f>"Выпущенные в обращение облигации"</f>
        <v>Выпущенные в обращение облигации</v>
      </c>
      <c r="C229" s="8" t="str">
        <f t="shared" si="42"/>
        <v>1</v>
      </c>
      <c r="D229" s="8" t="str">
        <f>"7"</f>
        <v>7</v>
      </c>
      <c r="E229" s="8" t="str">
        <f t="shared" si="43"/>
        <v>1</v>
      </c>
      <c r="F229" s="9">
        <v>2564151000</v>
      </c>
    </row>
    <row r="230" spans="1:6" x14ac:dyDescent="0.25">
      <c r="A230" s="8" t="str">
        <f>"2301"</f>
        <v>2301</v>
      </c>
      <c r="B230" s="8" t="str">
        <f>"Выпущенные в обращение облигации"</f>
        <v>Выпущенные в обращение облигации</v>
      </c>
      <c r="C230" s="8" t="str">
        <f t="shared" si="42"/>
        <v>1</v>
      </c>
      <c r="D230" s="8" t="str">
        <f>"9"</f>
        <v>9</v>
      </c>
      <c r="E230" s="8" t="str">
        <f t="shared" si="43"/>
        <v>1</v>
      </c>
      <c r="F230" s="9">
        <v>800821000</v>
      </c>
    </row>
    <row r="231" spans="1:6" x14ac:dyDescent="0.25">
      <c r="A231" s="8" t="str">
        <f>"2301"</f>
        <v>2301</v>
      </c>
      <c r="B231" s="8" t="str">
        <f>"Выпущенные в обращение облигации"</f>
        <v>Выпущенные в обращение облигации</v>
      </c>
      <c r="C231" s="8" t="str">
        <f>"2"</f>
        <v>2</v>
      </c>
      <c r="D231" s="8" t="str">
        <f>"5"</f>
        <v>5</v>
      </c>
      <c r="E231" s="8" t="str">
        <f t="shared" si="43"/>
        <v>1</v>
      </c>
      <c r="F231" s="9">
        <v>640520000</v>
      </c>
    </row>
    <row r="232" spans="1:6" x14ac:dyDescent="0.25">
      <c r="A232" s="8" t="str">
        <f>"2303"</f>
        <v>2303</v>
      </c>
      <c r="B232" s="8" t="str">
        <f>"Выпущенные в обращение прочие ценные бумаги"</f>
        <v>Выпущенные в обращение прочие ценные бумаги</v>
      </c>
      <c r="C232" s="8" t="str">
        <f>"1"</f>
        <v>1</v>
      </c>
      <c r="D232" s="8" t="str">
        <f>"9"</f>
        <v>9</v>
      </c>
      <c r="E232" s="8" t="str">
        <f t="shared" si="43"/>
        <v>1</v>
      </c>
      <c r="F232" s="9">
        <v>782938161.08000004</v>
      </c>
    </row>
    <row r="233" spans="1:6" x14ac:dyDescent="0.25">
      <c r="A233" s="8" t="str">
        <f>"2303"</f>
        <v>2303</v>
      </c>
      <c r="B233" s="8" t="str">
        <f>"Выпущенные в обращение прочие ценные бумаги"</f>
        <v>Выпущенные в обращение прочие ценные бумаги</v>
      </c>
      <c r="C233" s="8" t="str">
        <f>"2"</f>
        <v>2</v>
      </c>
      <c r="D233" s="8" t="str">
        <f>"9"</f>
        <v>9</v>
      </c>
      <c r="E233" s="8" t="str">
        <f t="shared" si="43"/>
        <v>1</v>
      </c>
      <c r="F233" s="9">
        <v>11345545</v>
      </c>
    </row>
    <row r="234" spans="1:6" x14ac:dyDescent="0.25">
      <c r="A234" s="8" t="str">
        <f>"2305"</f>
        <v>2305</v>
      </c>
      <c r="B234" s="8" t="str">
        <f>"Дисконт по выпущенным в обращение ценным бумагам"</f>
        <v>Дисконт по выпущенным в обращение ценным бумагам</v>
      </c>
      <c r="C234" s="8" t="str">
        <f>"1"</f>
        <v>1</v>
      </c>
      <c r="D234" s="8" t="str">
        <f>"4"</f>
        <v>4</v>
      </c>
      <c r="E234" s="8" t="str">
        <f t="shared" si="43"/>
        <v>1</v>
      </c>
      <c r="F234" s="9">
        <v>-134664512.62</v>
      </c>
    </row>
    <row r="235" spans="1:6" x14ac:dyDescent="0.25">
      <c r="A235" s="8" t="str">
        <f>"2305"</f>
        <v>2305</v>
      </c>
      <c r="B235" s="8" t="str">
        <f>"Дисконт по выпущенным в обращение ценным бумагам"</f>
        <v>Дисконт по выпущенным в обращение ценным бумагам</v>
      </c>
      <c r="C235" s="8" t="str">
        <f>"1"</f>
        <v>1</v>
      </c>
      <c r="D235" s="8" t="str">
        <f>"5"</f>
        <v>5</v>
      </c>
      <c r="E235" s="8" t="str">
        <f t="shared" si="43"/>
        <v>1</v>
      </c>
      <c r="F235" s="9">
        <v>-696556126.33000004</v>
      </c>
    </row>
    <row r="236" spans="1:6" x14ac:dyDescent="0.25">
      <c r="A236" s="8" t="str">
        <f>"2305"</f>
        <v>2305</v>
      </c>
      <c r="B236" s="8" t="str">
        <f>"Дисконт по выпущенным в обращение ценным бумагам"</f>
        <v>Дисконт по выпущенным в обращение ценным бумагам</v>
      </c>
      <c r="C236" s="8" t="str">
        <f>"1"</f>
        <v>1</v>
      </c>
      <c r="D236" s="8" t="str">
        <f>"7"</f>
        <v>7</v>
      </c>
      <c r="E236" s="8" t="str">
        <f t="shared" si="43"/>
        <v>1</v>
      </c>
      <c r="F236" s="9">
        <v>-105144160.37</v>
      </c>
    </row>
    <row r="237" spans="1:6" x14ac:dyDescent="0.25">
      <c r="A237" s="8" t="str">
        <f>"2305"</f>
        <v>2305</v>
      </c>
      <c r="B237" s="8" t="str">
        <f>"Дисконт по выпущенным в обращение ценным бумагам"</f>
        <v>Дисконт по выпущенным в обращение ценным бумагам</v>
      </c>
      <c r="C237" s="8" t="str">
        <f>"1"</f>
        <v>1</v>
      </c>
      <c r="D237" s="8" t="str">
        <f>"9"</f>
        <v>9</v>
      </c>
      <c r="E237" s="8" t="str">
        <f t="shared" si="43"/>
        <v>1</v>
      </c>
      <c r="F237" s="9">
        <v>-30651692.530000001</v>
      </c>
    </row>
    <row r="238" spans="1:6" x14ac:dyDescent="0.25">
      <c r="A238" s="8" t="str">
        <f>"2305"</f>
        <v>2305</v>
      </c>
      <c r="B238" s="8" t="str">
        <f>"Дисконт по выпущенным в обращение ценным бумагам"</f>
        <v>Дисконт по выпущенным в обращение ценным бумагам</v>
      </c>
      <c r="C238" s="8" t="str">
        <f>"2"</f>
        <v>2</v>
      </c>
      <c r="D238" s="8" t="str">
        <f>"5"</f>
        <v>5</v>
      </c>
      <c r="E238" s="8" t="str">
        <f t="shared" si="43"/>
        <v>1</v>
      </c>
      <c r="F238" s="9">
        <v>-26751845.710000001</v>
      </c>
    </row>
    <row r="239" spans="1:6" x14ac:dyDescent="0.25">
      <c r="A239" s="8" t="str">
        <f>"2402"</f>
        <v>2402</v>
      </c>
      <c r="B239" s="8" t="str">
        <f>"Субординированный долг со сроком погашения более пяти лет"</f>
        <v>Субординированный долг со сроком погашения более пяти лет</v>
      </c>
      <c r="C239" s="8" t="str">
        <f>"2"</f>
        <v>2</v>
      </c>
      <c r="D239" s="8" t="str">
        <f>"4"</f>
        <v>4</v>
      </c>
      <c r="E239" s="8" t="str">
        <f>"3"</f>
        <v>3</v>
      </c>
      <c r="F239" s="9">
        <v>13470000000</v>
      </c>
    </row>
    <row r="240" spans="1:6" x14ac:dyDescent="0.25">
      <c r="A240" s="8" t="str">
        <f>"2705"</f>
        <v>2705</v>
      </c>
      <c r="B240" s="8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C240" s="8" t="str">
        <f>"2"</f>
        <v>2</v>
      </c>
      <c r="D240" s="8" t="str">
        <f>"4"</f>
        <v>4</v>
      </c>
      <c r="E240" s="8" t="str">
        <f>"3"</f>
        <v>3</v>
      </c>
      <c r="F240" s="9">
        <v>797989863.12</v>
      </c>
    </row>
    <row r="241" spans="1:6" x14ac:dyDescent="0.25">
      <c r="A241" s="8" t="str">
        <f>"2707"</f>
        <v>2707</v>
      </c>
      <c r="B241" s="8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C241" s="8" t="str">
        <f t="shared" ref="C241:C249" si="44">"1"</f>
        <v>1</v>
      </c>
      <c r="D241" s="8" t="str">
        <f>"7"</f>
        <v>7</v>
      </c>
      <c r="E241" s="8" t="str">
        <f>"1"</f>
        <v>1</v>
      </c>
      <c r="F241" s="9">
        <v>3355900.62</v>
      </c>
    </row>
    <row r="242" spans="1:6" x14ac:dyDescent="0.25">
      <c r="A242" s="8" t="str">
        <f>"2707"</f>
        <v>2707</v>
      </c>
      <c r="B242" s="8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C242" s="8" t="str">
        <f t="shared" si="44"/>
        <v>1</v>
      </c>
      <c r="D242" s="8" t="str">
        <f>"9"</f>
        <v>9</v>
      </c>
      <c r="E242" s="8" t="str">
        <f>"1"</f>
        <v>1</v>
      </c>
      <c r="F242" s="9">
        <v>16905.91</v>
      </c>
    </row>
    <row r="243" spans="1:6" x14ac:dyDescent="0.25">
      <c r="A243" s="8" t="str">
        <f>"2719"</f>
        <v>2719</v>
      </c>
      <c r="B243" s="8" t="str">
        <f>"Начисленные расходы по условным вкладам клиентов"</f>
        <v>Начисленные расходы по условным вкладам клиентов</v>
      </c>
      <c r="C243" s="8" t="str">
        <f t="shared" si="44"/>
        <v>1</v>
      </c>
      <c r="D243" s="8" t="str">
        <f>"7"</f>
        <v>7</v>
      </c>
      <c r="E243" s="8" t="str">
        <f>"1"</f>
        <v>1</v>
      </c>
      <c r="F243" s="9">
        <v>3359060.63</v>
      </c>
    </row>
    <row r="244" spans="1:6" x14ac:dyDescent="0.25">
      <c r="A244" s="8" t="str">
        <f>"2721"</f>
        <v>2721</v>
      </c>
      <c r="B244" s="8" t="str">
        <f>"Начисленные расходы по срочным вкладам клиентов"</f>
        <v>Начисленные расходы по срочным вкладам клиентов</v>
      </c>
      <c r="C244" s="8" t="str">
        <f t="shared" si="44"/>
        <v>1</v>
      </c>
      <c r="D244" s="8" t="str">
        <f>"5"</f>
        <v>5</v>
      </c>
      <c r="E244" s="8" t="str">
        <f>"1"</f>
        <v>1</v>
      </c>
      <c r="F244" s="9">
        <v>2055.48</v>
      </c>
    </row>
    <row r="245" spans="1:6" x14ac:dyDescent="0.25">
      <c r="A245" s="8" t="str">
        <f>"2721"</f>
        <v>2721</v>
      </c>
      <c r="B245" s="8" t="str">
        <f>"Начисленные расходы по срочным вкладам клиентов"</f>
        <v>Начисленные расходы по срочным вкладам клиентов</v>
      </c>
      <c r="C245" s="8" t="str">
        <f t="shared" si="44"/>
        <v>1</v>
      </c>
      <c r="D245" s="8" t="str">
        <f>"9"</f>
        <v>9</v>
      </c>
      <c r="E245" s="8" t="str">
        <f>"2"</f>
        <v>2</v>
      </c>
      <c r="F245" s="9">
        <v>1204.07</v>
      </c>
    </row>
    <row r="246" spans="1:6" x14ac:dyDescent="0.25">
      <c r="A246" s="8" t="str">
        <f t="shared" ref="A246:A251" si="45">"2730"</f>
        <v>2730</v>
      </c>
      <c r="B246" s="8" t="str">
        <f t="shared" ref="B246:B251" si="46">"Начисленные расходы по выпущенным в обращение ценным бумагам"</f>
        <v>Начисленные расходы по выпущенным в обращение ценным бумагам</v>
      </c>
      <c r="C246" s="8" t="str">
        <f t="shared" si="44"/>
        <v>1</v>
      </c>
      <c r="D246" s="8" t="str">
        <f>"4"</f>
        <v>4</v>
      </c>
      <c r="E246" s="8" t="str">
        <f t="shared" ref="E246:E251" si="47">"1"</f>
        <v>1</v>
      </c>
      <c r="F246" s="9">
        <v>100034297.25</v>
      </c>
    </row>
    <row r="247" spans="1:6" x14ac:dyDescent="0.25">
      <c r="A247" s="8" t="str">
        <f t="shared" si="45"/>
        <v>2730</v>
      </c>
      <c r="B247" s="8" t="str">
        <f t="shared" si="46"/>
        <v>Начисленные расходы по выпущенным в обращение ценным бумагам</v>
      </c>
      <c r="C247" s="8" t="str">
        <f t="shared" si="44"/>
        <v>1</v>
      </c>
      <c r="D247" s="8" t="str">
        <f>"5"</f>
        <v>5</v>
      </c>
      <c r="E247" s="8" t="str">
        <f t="shared" si="47"/>
        <v>1</v>
      </c>
      <c r="F247" s="9">
        <v>359607407.5</v>
      </c>
    </row>
    <row r="248" spans="1:6" x14ac:dyDescent="0.25">
      <c r="A248" s="8" t="str">
        <f t="shared" si="45"/>
        <v>2730</v>
      </c>
      <c r="B248" s="8" t="str">
        <f t="shared" si="46"/>
        <v>Начисленные расходы по выпущенным в обращение ценным бумагам</v>
      </c>
      <c r="C248" s="8" t="str">
        <f t="shared" si="44"/>
        <v>1</v>
      </c>
      <c r="D248" s="8" t="str">
        <f>"7"</f>
        <v>7</v>
      </c>
      <c r="E248" s="8" t="str">
        <f t="shared" si="47"/>
        <v>1</v>
      </c>
      <c r="F248" s="9">
        <v>79488681</v>
      </c>
    </row>
    <row r="249" spans="1:6" x14ac:dyDescent="0.25">
      <c r="A249" s="8" t="str">
        <f t="shared" si="45"/>
        <v>2730</v>
      </c>
      <c r="B249" s="8" t="str">
        <f t="shared" si="46"/>
        <v>Начисленные расходы по выпущенным в обращение ценным бумагам</v>
      </c>
      <c r="C249" s="8" t="str">
        <f t="shared" si="44"/>
        <v>1</v>
      </c>
      <c r="D249" s="8" t="str">
        <f>"9"</f>
        <v>9</v>
      </c>
      <c r="E249" s="8" t="str">
        <f t="shared" si="47"/>
        <v>1</v>
      </c>
      <c r="F249" s="9">
        <v>42553935.579999998</v>
      </c>
    </row>
    <row r="250" spans="1:6" x14ac:dyDescent="0.25">
      <c r="A250" s="8" t="str">
        <f t="shared" si="45"/>
        <v>2730</v>
      </c>
      <c r="B250" s="8" t="str">
        <f t="shared" si="46"/>
        <v>Начисленные расходы по выпущенным в обращение ценным бумагам</v>
      </c>
      <c r="C250" s="8" t="str">
        <f>"2"</f>
        <v>2</v>
      </c>
      <c r="D250" s="8" t="str">
        <f>"5"</f>
        <v>5</v>
      </c>
      <c r="E250" s="8" t="str">
        <f t="shared" si="47"/>
        <v>1</v>
      </c>
      <c r="F250" s="9">
        <v>19592304</v>
      </c>
    </row>
    <row r="251" spans="1:6" x14ac:dyDescent="0.25">
      <c r="A251" s="8" t="str">
        <f t="shared" si="45"/>
        <v>2730</v>
      </c>
      <c r="B251" s="8" t="str">
        <f t="shared" si="46"/>
        <v>Начисленные расходы по выпущенным в обращение ценным бумагам</v>
      </c>
      <c r="C251" s="8" t="str">
        <f>"2"</f>
        <v>2</v>
      </c>
      <c r="D251" s="8" t="str">
        <f>"9"</f>
        <v>9</v>
      </c>
      <c r="E251" s="8" t="str">
        <f t="shared" si="47"/>
        <v>1</v>
      </c>
      <c r="F251" s="9">
        <v>218426.53</v>
      </c>
    </row>
    <row r="252" spans="1:6" x14ac:dyDescent="0.25">
      <c r="A252" s="8" t="str">
        <f>"2731"</f>
        <v>2731</v>
      </c>
      <c r="B252" s="8" t="str">
        <f>"Начисленные расходы по прочим операциям"</f>
        <v>Начисленные расходы по прочим операциям</v>
      </c>
      <c r="C252" s="8" t="str">
        <f>"2"</f>
        <v>2</v>
      </c>
      <c r="D252" s="8" t="str">
        <f>"4"</f>
        <v>4</v>
      </c>
      <c r="E252" s="8" t="str">
        <f>"2"</f>
        <v>2</v>
      </c>
      <c r="F252" s="9">
        <v>1613.65</v>
      </c>
    </row>
    <row r="253" spans="1:6" x14ac:dyDescent="0.25">
      <c r="A253" s="8" t="str">
        <f>"2740"</f>
        <v>2740</v>
      </c>
      <c r="B253" s="8" t="str">
        <f>"Начисленные расходы по субординированному долгу"</f>
        <v>Начисленные расходы по субординированному долгу</v>
      </c>
      <c r="C253" s="8" t="str">
        <f>"2"</f>
        <v>2</v>
      </c>
      <c r="D253" s="8" t="str">
        <f>"4"</f>
        <v>4</v>
      </c>
      <c r="E253" s="8" t="str">
        <f>"3"</f>
        <v>3</v>
      </c>
      <c r="F253" s="9">
        <v>32955369.739999998</v>
      </c>
    </row>
    <row r="254" spans="1:6" x14ac:dyDescent="0.25">
      <c r="A254" s="8" t="str">
        <f>"2745"</f>
        <v>2745</v>
      </c>
      <c r="B254" s="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254" s="8" t="str">
        <f t="shared" ref="C254:C261" si="48">"1"</f>
        <v>1</v>
      </c>
      <c r="D254" s="8" t="str">
        <f>"7"</f>
        <v>7</v>
      </c>
      <c r="E254" s="8" t="str">
        <f t="shared" ref="E254:E268" si="49">"1"</f>
        <v>1</v>
      </c>
      <c r="F254" s="9">
        <v>61416314.990000002</v>
      </c>
    </row>
    <row r="255" spans="1:6" x14ac:dyDescent="0.25">
      <c r="A255" s="8" t="str">
        <f>"2745"</f>
        <v>2745</v>
      </c>
      <c r="B255" s="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255" s="8" t="str">
        <f t="shared" si="48"/>
        <v>1</v>
      </c>
      <c r="D255" s="8" t="str">
        <f>"9"</f>
        <v>9</v>
      </c>
      <c r="E255" s="8" t="str">
        <f t="shared" si="49"/>
        <v>1</v>
      </c>
      <c r="F255" s="9">
        <v>9061742.1600000001</v>
      </c>
    </row>
    <row r="256" spans="1:6" x14ac:dyDescent="0.25">
      <c r="A256" s="8" t="str">
        <f t="shared" ref="A256:A263" si="50">"2770"</f>
        <v>2770</v>
      </c>
      <c r="B256" s="8" t="str">
        <f t="shared" ref="B256:B263" si="51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256" s="8" t="str">
        <f t="shared" si="48"/>
        <v>1</v>
      </c>
      <c r="D256" s="8" t="str">
        <f>"1"</f>
        <v>1</v>
      </c>
      <c r="E256" s="8" t="str">
        <f t="shared" si="49"/>
        <v>1</v>
      </c>
      <c r="F256" s="9">
        <v>4183868.03</v>
      </c>
    </row>
    <row r="257" spans="1:6" x14ac:dyDescent="0.25">
      <c r="A257" s="8" t="str">
        <f t="shared" si="50"/>
        <v>2770</v>
      </c>
      <c r="B257" s="8" t="str">
        <f t="shared" si="51"/>
        <v>Начисленные расходы по административно-хозяйственной деятельности</v>
      </c>
      <c r="C257" s="8" t="str">
        <f t="shared" si="48"/>
        <v>1</v>
      </c>
      <c r="D257" s="8" t="str">
        <f>"5"</f>
        <v>5</v>
      </c>
      <c r="E257" s="8" t="str">
        <f t="shared" si="49"/>
        <v>1</v>
      </c>
      <c r="F257" s="9">
        <v>5921419.6799999997</v>
      </c>
    </row>
    <row r="258" spans="1:6" x14ac:dyDescent="0.25">
      <c r="A258" s="8" t="str">
        <f t="shared" si="50"/>
        <v>2770</v>
      </c>
      <c r="B258" s="8" t="str">
        <f t="shared" si="51"/>
        <v>Начисленные расходы по административно-хозяйственной деятельности</v>
      </c>
      <c r="C258" s="8" t="str">
        <f t="shared" si="48"/>
        <v>1</v>
      </c>
      <c r="D258" s="8" t="str">
        <f>"6"</f>
        <v>6</v>
      </c>
      <c r="E258" s="8" t="str">
        <f t="shared" si="49"/>
        <v>1</v>
      </c>
      <c r="F258" s="9">
        <v>9901096.5999999996</v>
      </c>
    </row>
    <row r="259" spans="1:6" x14ac:dyDescent="0.25">
      <c r="A259" s="8" t="str">
        <f t="shared" si="50"/>
        <v>2770</v>
      </c>
      <c r="B259" s="8" t="str">
        <f t="shared" si="51"/>
        <v>Начисленные расходы по административно-хозяйственной деятельности</v>
      </c>
      <c r="C259" s="8" t="str">
        <f t="shared" si="48"/>
        <v>1</v>
      </c>
      <c r="D259" s="8" t="str">
        <f>"7"</f>
        <v>7</v>
      </c>
      <c r="E259" s="8" t="str">
        <f t="shared" si="49"/>
        <v>1</v>
      </c>
      <c r="F259" s="9">
        <v>117770466.87</v>
      </c>
    </row>
    <row r="260" spans="1:6" x14ac:dyDescent="0.25">
      <c r="A260" s="8" t="str">
        <f t="shared" si="50"/>
        <v>2770</v>
      </c>
      <c r="B260" s="8" t="str">
        <f t="shared" si="51"/>
        <v>Начисленные расходы по административно-хозяйственной деятельности</v>
      </c>
      <c r="C260" s="8" t="str">
        <f t="shared" si="48"/>
        <v>1</v>
      </c>
      <c r="D260" s="8" t="str">
        <f>"8"</f>
        <v>8</v>
      </c>
      <c r="E260" s="8" t="str">
        <f t="shared" si="49"/>
        <v>1</v>
      </c>
      <c r="F260" s="9">
        <v>2756700</v>
      </c>
    </row>
    <row r="261" spans="1:6" x14ac:dyDescent="0.25">
      <c r="A261" s="8" t="str">
        <f t="shared" si="50"/>
        <v>2770</v>
      </c>
      <c r="B261" s="8" t="str">
        <f t="shared" si="51"/>
        <v>Начисленные расходы по административно-хозяйственной деятельности</v>
      </c>
      <c r="C261" s="8" t="str">
        <f t="shared" si="48"/>
        <v>1</v>
      </c>
      <c r="D261" s="8" t="str">
        <f>"9"</f>
        <v>9</v>
      </c>
      <c r="E261" s="8" t="str">
        <f t="shared" si="49"/>
        <v>1</v>
      </c>
      <c r="F261" s="9">
        <v>54862166.799999997</v>
      </c>
    </row>
    <row r="262" spans="1:6" x14ac:dyDescent="0.25">
      <c r="A262" s="8" t="str">
        <f t="shared" si="50"/>
        <v>2770</v>
      </c>
      <c r="B262" s="8" t="str">
        <f t="shared" si="51"/>
        <v>Начисленные расходы по административно-хозяйственной деятельности</v>
      </c>
      <c r="C262" s="8" t="str">
        <f>"2"</f>
        <v>2</v>
      </c>
      <c r="D262" s="8" t="str">
        <f>"4"</f>
        <v>4</v>
      </c>
      <c r="E262" s="8" t="str">
        <f t="shared" si="49"/>
        <v>1</v>
      </c>
      <c r="F262" s="9">
        <v>2003283.66</v>
      </c>
    </row>
    <row r="263" spans="1:6" x14ac:dyDescent="0.25">
      <c r="A263" s="8" t="str">
        <f t="shared" si="50"/>
        <v>2770</v>
      </c>
      <c r="B263" s="8" t="str">
        <f t="shared" si="51"/>
        <v>Начисленные расходы по административно-хозяйственной деятельности</v>
      </c>
      <c r="C263" s="8" t="str">
        <f>"2"</f>
        <v>2</v>
      </c>
      <c r="D263" s="8" t="str">
        <f>"7"</f>
        <v>7</v>
      </c>
      <c r="E263" s="8" t="str">
        <f t="shared" si="49"/>
        <v>1</v>
      </c>
      <c r="F263" s="9">
        <v>76552368.859999999</v>
      </c>
    </row>
    <row r="264" spans="1:6" x14ac:dyDescent="0.25">
      <c r="A264" s="8" t="str">
        <f>"2799"</f>
        <v>2799</v>
      </c>
      <c r="B264" s="8" t="str">
        <f>"Прочие предоплаты"</f>
        <v>Прочие предоплаты</v>
      </c>
      <c r="C264" s="8" t="str">
        <f>"1"</f>
        <v>1</v>
      </c>
      <c r="D264" s="8" t="str">
        <f>"7"</f>
        <v>7</v>
      </c>
      <c r="E264" s="8" t="str">
        <f t="shared" si="49"/>
        <v>1</v>
      </c>
      <c r="F264" s="9">
        <v>74439225.879999995</v>
      </c>
    </row>
    <row r="265" spans="1:6" x14ac:dyDescent="0.25">
      <c r="A265" s="8" t="str">
        <f>"2799"</f>
        <v>2799</v>
      </c>
      <c r="B265" s="8" t="str">
        <f>"Прочие предоплаты"</f>
        <v>Прочие предоплаты</v>
      </c>
      <c r="C265" s="8" t="str">
        <f>"1"</f>
        <v>1</v>
      </c>
      <c r="D265" s="8" t="str">
        <f>"9"</f>
        <v>9</v>
      </c>
      <c r="E265" s="8" t="str">
        <f t="shared" si="49"/>
        <v>1</v>
      </c>
      <c r="F265" s="9">
        <v>191835345.88999999</v>
      </c>
    </row>
    <row r="266" spans="1:6" x14ac:dyDescent="0.25">
      <c r="A266" s="8" t="str">
        <f>"2799"</f>
        <v>2799</v>
      </c>
      <c r="B266" s="8" t="str">
        <f>"Прочие предоплаты"</f>
        <v>Прочие предоплаты</v>
      </c>
      <c r="C266" s="8" t="str">
        <f>"2"</f>
        <v>2</v>
      </c>
      <c r="D266" s="8" t="str">
        <f>"9"</f>
        <v>9</v>
      </c>
      <c r="E266" s="8" t="str">
        <f t="shared" si="49"/>
        <v>1</v>
      </c>
      <c r="F266" s="9">
        <v>19001.48</v>
      </c>
    </row>
    <row r="267" spans="1:6" x14ac:dyDescent="0.25">
      <c r="A267" s="8" t="str">
        <f>"2811"</f>
        <v>2811</v>
      </c>
      <c r="B267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267" s="8" t="str">
        <f>"1"</f>
        <v>1</v>
      </c>
      <c r="D267" s="8" t="str">
        <f>""</f>
        <v/>
      </c>
      <c r="E267" s="8" t="str">
        <f t="shared" si="49"/>
        <v>1</v>
      </c>
      <c r="F267" s="9">
        <v>4343347.0199999996</v>
      </c>
    </row>
    <row r="268" spans="1:6" x14ac:dyDescent="0.25">
      <c r="A268" s="8" t="str">
        <f>"2811"</f>
        <v>2811</v>
      </c>
      <c r="B268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268" s="8" t="str">
        <f>"2"</f>
        <v>2</v>
      </c>
      <c r="D268" s="8" t="str">
        <f>""</f>
        <v/>
      </c>
      <c r="E268" s="8" t="str">
        <f t="shared" si="49"/>
        <v>1</v>
      </c>
      <c r="F268" s="9">
        <v>714373.17</v>
      </c>
    </row>
    <row r="269" spans="1:6" x14ac:dyDescent="0.25">
      <c r="A269" s="8" t="str">
        <f>"2811"</f>
        <v>2811</v>
      </c>
      <c r="B269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269" s="8" t="str">
        <f>"2"</f>
        <v>2</v>
      </c>
      <c r="D269" s="8" t="str">
        <f>""</f>
        <v/>
      </c>
      <c r="E269" s="8" t="str">
        <f>"2"</f>
        <v>2</v>
      </c>
      <c r="F269" s="9">
        <v>1845891.66</v>
      </c>
    </row>
    <row r="270" spans="1:6" x14ac:dyDescent="0.25">
      <c r="A270" s="8" t="str">
        <f>"2812"</f>
        <v>2812</v>
      </c>
      <c r="B270" s="8" t="str">
        <f>"Начисленные комиссионные расходы по агентским услугам"</f>
        <v>Начисленные комиссионные расходы по агентским услугам</v>
      </c>
      <c r="C270" s="8" t="str">
        <f>"1"</f>
        <v>1</v>
      </c>
      <c r="D270" s="8" t="str">
        <f>""</f>
        <v/>
      </c>
      <c r="E270" s="8" t="str">
        <f>"1"</f>
        <v>1</v>
      </c>
      <c r="F270" s="9">
        <v>36209453.979999997</v>
      </c>
    </row>
    <row r="271" spans="1:6" x14ac:dyDescent="0.25">
      <c r="A271" s="8" t="str">
        <f>"2818"</f>
        <v>2818</v>
      </c>
      <c r="B271" s="8" t="str">
        <f>"Начисленные прочие комиссионные расходы"</f>
        <v>Начисленные прочие комиссионные расходы</v>
      </c>
      <c r="C271" s="8" t="str">
        <f>"2"</f>
        <v>2</v>
      </c>
      <c r="D271" s="8" t="str">
        <f>""</f>
        <v/>
      </c>
      <c r="E271" s="8" t="str">
        <f>"1"</f>
        <v>1</v>
      </c>
      <c r="F271" s="9">
        <v>24534761.359999999</v>
      </c>
    </row>
    <row r="272" spans="1:6" x14ac:dyDescent="0.25">
      <c r="A272" s="8" t="str">
        <f>"2819"</f>
        <v>2819</v>
      </c>
      <c r="B272" s="8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C272" s="8" t="str">
        <f>"1"</f>
        <v>1</v>
      </c>
      <c r="D272" s="8" t="str">
        <f>""</f>
        <v/>
      </c>
      <c r="E272" s="8" t="str">
        <f>"1"</f>
        <v>1</v>
      </c>
      <c r="F272" s="9">
        <v>10149727.220000001</v>
      </c>
    </row>
    <row r="273" spans="1:6" x14ac:dyDescent="0.25">
      <c r="A273" s="8" t="str">
        <f>"2820"</f>
        <v>2820</v>
      </c>
      <c r="B273" s="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C273" s="8" t="str">
        <f>"1"</f>
        <v>1</v>
      </c>
      <c r="D273" s="8" t="str">
        <f>""</f>
        <v/>
      </c>
      <c r="E273" s="8" t="str">
        <f>"1"</f>
        <v>1</v>
      </c>
      <c r="F273" s="9">
        <v>23587200</v>
      </c>
    </row>
    <row r="274" spans="1:6" x14ac:dyDescent="0.25">
      <c r="A274" s="8" t="str">
        <f>"2851"</f>
        <v>2851</v>
      </c>
      <c r="B274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274" s="8" t="str">
        <f>"1"</f>
        <v>1</v>
      </c>
      <c r="D274" s="8" t="str">
        <f>"1"</f>
        <v>1</v>
      </c>
      <c r="E274" s="8" t="str">
        <f>"1"</f>
        <v>1</v>
      </c>
      <c r="F274" s="9">
        <v>578599291.33000004</v>
      </c>
    </row>
    <row r="275" spans="1:6" x14ac:dyDescent="0.25">
      <c r="A275" s="8" t="str">
        <f>"2854"</f>
        <v>2854</v>
      </c>
      <c r="B275" s="8" t="str">
        <f>"Расчеты с работниками"</f>
        <v>Расчеты с работниками</v>
      </c>
      <c r="C275" s="8" t="str">
        <f>""</f>
        <v/>
      </c>
      <c r="D275" s="8" t="str">
        <f>""</f>
        <v/>
      </c>
      <c r="E275" s="8" t="str">
        <f>""</f>
        <v/>
      </c>
      <c r="F275" s="9">
        <v>318011500.27999997</v>
      </c>
    </row>
    <row r="276" spans="1:6" x14ac:dyDescent="0.25">
      <c r="A276" s="8" t="str">
        <f t="shared" ref="A276:A285" si="52">"2860"</f>
        <v>2860</v>
      </c>
      <c r="B276" s="8" t="str">
        <f t="shared" ref="B276:B285" si="53">"Прочие кредиторы по банковской деятельности"</f>
        <v>Прочие кредиторы по банковской деятельности</v>
      </c>
      <c r="C276" s="8" t="str">
        <f>"1"</f>
        <v>1</v>
      </c>
      <c r="D276" s="8" t="str">
        <f>"1"</f>
        <v>1</v>
      </c>
      <c r="E276" s="8" t="str">
        <f>"1"</f>
        <v>1</v>
      </c>
      <c r="F276" s="9">
        <v>26000</v>
      </c>
    </row>
    <row r="277" spans="1:6" x14ac:dyDescent="0.25">
      <c r="A277" s="8" t="str">
        <f t="shared" si="52"/>
        <v>2860</v>
      </c>
      <c r="B277" s="8" t="str">
        <f t="shared" si="53"/>
        <v>Прочие кредиторы по банковской деятельности</v>
      </c>
      <c r="C277" s="8" t="str">
        <f>"1"</f>
        <v>1</v>
      </c>
      <c r="D277" s="8" t="str">
        <f>"5"</f>
        <v>5</v>
      </c>
      <c r="E277" s="8" t="str">
        <f>"1"</f>
        <v>1</v>
      </c>
      <c r="F277" s="9">
        <v>4689821.3</v>
      </c>
    </row>
    <row r="278" spans="1:6" x14ac:dyDescent="0.25">
      <c r="A278" s="8" t="str">
        <f t="shared" si="52"/>
        <v>2860</v>
      </c>
      <c r="B278" s="8" t="str">
        <f t="shared" si="53"/>
        <v>Прочие кредиторы по банковской деятельности</v>
      </c>
      <c r="C278" s="8" t="str">
        <f>"1"</f>
        <v>1</v>
      </c>
      <c r="D278" s="8" t="str">
        <f>"7"</f>
        <v>7</v>
      </c>
      <c r="E278" s="8" t="str">
        <f>"1"</f>
        <v>1</v>
      </c>
      <c r="F278" s="9">
        <v>711964.29</v>
      </c>
    </row>
    <row r="279" spans="1:6" x14ac:dyDescent="0.25">
      <c r="A279" s="8" t="str">
        <f t="shared" si="52"/>
        <v>2860</v>
      </c>
      <c r="B279" s="8" t="str">
        <f t="shared" si="53"/>
        <v>Прочие кредиторы по банковской деятельности</v>
      </c>
      <c r="C279" s="8" t="str">
        <f>"1"</f>
        <v>1</v>
      </c>
      <c r="D279" s="8" t="str">
        <f>"9"</f>
        <v>9</v>
      </c>
      <c r="E279" s="8" t="str">
        <f>"1"</f>
        <v>1</v>
      </c>
      <c r="F279" s="9">
        <v>412992</v>
      </c>
    </row>
    <row r="280" spans="1:6" x14ac:dyDescent="0.25">
      <c r="A280" s="8" t="str">
        <f t="shared" si="52"/>
        <v>2860</v>
      </c>
      <c r="B280" s="8" t="str">
        <f t="shared" si="53"/>
        <v>Прочие кредиторы по банковской деятельности</v>
      </c>
      <c r="C280" s="8" t="str">
        <f t="shared" ref="C280:C285" si="54">"2"</f>
        <v>2</v>
      </c>
      <c r="D280" s="8" t="str">
        <f>"4"</f>
        <v>4</v>
      </c>
      <c r="E280" s="8" t="str">
        <f>"1"</f>
        <v>1</v>
      </c>
      <c r="F280" s="9">
        <v>6980.04</v>
      </c>
    </row>
    <row r="281" spans="1:6" x14ac:dyDescent="0.25">
      <c r="A281" s="8" t="str">
        <f t="shared" si="52"/>
        <v>2860</v>
      </c>
      <c r="B281" s="8" t="str">
        <f t="shared" si="53"/>
        <v>Прочие кредиторы по банковской деятельности</v>
      </c>
      <c r="C281" s="8" t="str">
        <f t="shared" si="54"/>
        <v>2</v>
      </c>
      <c r="D281" s="8" t="str">
        <f>"4"</f>
        <v>4</v>
      </c>
      <c r="E281" s="8" t="str">
        <f>"2"</f>
        <v>2</v>
      </c>
      <c r="F281" s="9">
        <v>367852.5</v>
      </c>
    </row>
    <row r="282" spans="1:6" x14ac:dyDescent="0.25">
      <c r="A282" s="8" t="str">
        <f t="shared" si="52"/>
        <v>2860</v>
      </c>
      <c r="B282" s="8" t="str">
        <f t="shared" si="53"/>
        <v>Прочие кредиторы по банковской деятельности</v>
      </c>
      <c r="C282" s="8" t="str">
        <f t="shared" si="54"/>
        <v>2</v>
      </c>
      <c r="D282" s="8" t="str">
        <f>"5"</f>
        <v>5</v>
      </c>
      <c r="E282" s="8" t="str">
        <f>"1"</f>
        <v>1</v>
      </c>
      <c r="F282" s="9">
        <v>45828899.409999996</v>
      </c>
    </row>
    <row r="283" spans="1:6" x14ac:dyDescent="0.25">
      <c r="A283" s="8" t="str">
        <f t="shared" si="52"/>
        <v>2860</v>
      </c>
      <c r="B283" s="8" t="str">
        <f t="shared" si="53"/>
        <v>Прочие кредиторы по банковской деятельности</v>
      </c>
      <c r="C283" s="8" t="str">
        <f t="shared" si="54"/>
        <v>2</v>
      </c>
      <c r="D283" s="8" t="str">
        <f>"5"</f>
        <v>5</v>
      </c>
      <c r="E283" s="8" t="str">
        <f>"2"</f>
        <v>2</v>
      </c>
      <c r="F283" s="9">
        <v>2652882.2200000002</v>
      </c>
    </row>
    <row r="284" spans="1:6" x14ac:dyDescent="0.25">
      <c r="A284" s="8" t="str">
        <f t="shared" si="52"/>
        <v>2860</v>
      </c>
      <c r="B284" s="8" t="str">
        <f t="shared" si="53"/>
        <v>Прочие кредиторы по банковской деятельности</v>
      </c>
      <c r="C284" s="8" t="str">
        <f t="shared" si="54"/>
        <v>2</v>
      </c>
      <c r="D284" s="8" t="str">
        <f>"5"</f>
        <v>5</v>
      </c>
      <c r="E284" s="8" t="str">
        <f>"3"</f>
        <v>3</v>
      </c>
      <c r="F284" s="9">
        <v>3380019.11</v>
      </c>
    </row>
    <row r="285" spans="1:6" x14ac:dyDescent="0.25">
      <c r="A285" s="8" t="str">
        <f t="shared" si="52"/>
        <v>2860</v>
      </c>
      <c r="B285" s="8" t="str">
        <f t="shared" si="53"/>
        <v>Прочие кредиторы по банковской деятельности</v>
      </c>
      <c r="C285" s="8" t="str">
        <f t="shared" si="54"/>
        <v>2</v>
      </c>
      <c r="D285" s="8" t="str">
        <f>"9"</f>
        <v>9</v>
      </c>
      <c r="E285" s="8" t="str">
        <f>"1"</f>
        <v>1</v>
      </c>
      <c r="F285" s="9">
        <v>1000</v>
      </c>
    </row>
    <row r="286" spans="1:6" x14ac:dyDescent="0.25">
      <c r="A286" s="8" t="str">
        <f>"2861"</f>
        <v>2861</v>
      </c>
      <c r="B286" s="8" t="str">
        <f>"Резерв на отпускные выплаты"</f>
        <v>Резерв на отпускные выплаты</v>
      </c>
      <c r="C286" s="8" t="str">
        <f>""</f>
        <v/>
      </c>
      <c r="D286" s="8" t="str">
        <f>""</f>
        <v/>
      </c>
      <c r="E286" s="8" t="str">
        <f>""</f>
        <v/>
      </c>
      <c r="F286" s="9">
        <v>159212865.75</v>
      </c>
    </row>
    <row r="287" spans="1:6" x14ac:dyDescent="0.25">
      <c r="A287" s="8" t="str">
        <f>"2867"</f>
        <v>2867</v>
      </c>
      <c r="B287" s="8" t="str">
        <f>"Прочие кредиторы по неосновной деятельности"</f>
        <v>Прочие кредиторы по неосновной деятельности</v>
      </c>
      <c r="C287" s="8" t="str">
        <f>"1"</f>
        <v>1</v>
      </c>
      <c r="D287" s="8" t="str">
        <f>"7"</f>
        <v>7</v>
      </c>
      <c r="E287" s="8" t="str">
        <f t="shared" ref="E287:E292" si="55">"1"</f>
        <v>1</v>
      </c>
      <c r="F287" s="9">
        <v>5563000</v>
      </c>
    </row>
    <row r="288" spans="1:6" x14ac:dyDescent="0.25">
      <c r="A288" s="8" t="str">
        <f>"2867"</f>
        <v>2867</v>
      </c>
      <c r="B288" s="8" t="str">
        <f>"Прочие кредиторы по неосновной деятельности"</f>
        <v>Прочие кредиторы по неосновной деятельности</v>
      </c>
      <c r="C288" s="8" t="str">
        <f>"1"</f>
        <v>1</v>
      </c>
      <c r="D288" s="8" t="str">
        <f>"9"</f>
        <v>9</v>
      </c>
      <c r="E288" s="8" t="str">
        <f t="shared" si="55"/>
        <v>1</v>
      </c>
      <c r="F288" s="9">
        <v>1440961</v>
      </c>
    </row>
    <row r="289" spans="1:6" x14ac:dyDescent="0.25">
      <c r="A289" s="8" t="str">
        <f>"2867"</f>
        <v>2867</v>
      </c>
      <c r="B289" s="8" t="str">
        <f>"Прочие кредиторы по неосновной деятельности"</f>
        <v>Прочие кредиторы по неосновной деятельности</v>
      </c>
      <c r="C289" s="8" t="str">
        <f>"2"</f>
        <v>2</v>
      </c>
      <c r="D289" s="8" t="str">
        <f>"5"</f>
        <v>5</v>
      </c>
      <c r="E289" s="8" t="str">
        <f t="shared" si="55"/>
        <v>1</v>
      </c>
      <c r="F289" s="9">
        <v>7143255.71</v>
      </c>
    </row>
    <row r="290" spans="1:6" x14ac:dyDescent="0.25">
      <c r="A290" s="8" t="str">
        <f>"2867"</f>
        <v>2867</v>
      </c>
      <c r="B290" s="8" t="str">
        <f>"Прочие кредиторы по неосновной деятельности"</f>
        <v>Прочие кредиторы по неосновной деятельности</v>
      </c>
      <c r="C290" s="8" t="str">
        <f>"2"</f>
        <v>2</v>
      </c>
      <c r="D290" s="8" t="str">
        <f>"7"</f>
        <v>7</v>
      </c>
      <c r="E290" s="8" t="str">
        <f t="shared" si="55"/>
        <v>1</v>
      </c>
      <c r="F290" s="9">
        <v>30673133.16</v>
      </c>
    </row>
    <row r="291" spans="1:6" x14ac:dyDescent="0.25">
      <c r="A291" s="8" t="str">
        <f>"2869"</f>
        <v>2869</v>
      </c>
      <c r="B291" s="8" t="str">
        <f>"Выданные гарантии"</f>
        <v>Выданные гарантии</v>
      </c>
      <c r="C291" s="8" t="str">
        <f t="shared" ref="C291:C301" si="56">"1"</f>
        <v>1</v>
      </c>
      <c r="D291" s="8" t="str">
        <f>"7"</f>
        <v>7</v>
      </c>
      <c r="E291" s="8" t="str">
        <f t="shared" si="55"/>
        <v>1</v>
      </c>
      <c r="F291" s="9">
        <v>410676959.19999999</v>
      </c>
    </row>
    <row r="292" spans="1:6" x14ac:dyDescent="0.25">
      <c r="A292" s="8" t="str">
        <f t="shared" ref="A292:A297" si="57">"2870"</f>
        <v>2870</v>
      </c>
      <c r="B292" s="8" t="str">
        <f t="shared" ref="B292:B297" si="58">"Прочие транзитные счета"</f>
        <v>Прочие транзитные счета</v>
      </c>
      <c r="C292" s="8" t="str">
        <f t="shared" si="56"/>
        <v>1</v>
      </c>
      <c r="D292" s="8" t="str">
        <f>"4"</f>
        <v>4</v>
      </c>
      <c r="E292" s="8" t="str">
        <f t="shared" si="55"/>
        <v>1</v>
      </c>
      <c r="F292" s="9">
        <v>862975.54</v>
      </c>
    </row>
    <row r="293" spans="1:6" x14ac:dyDescent="0.25">
      <c r="A293" s="8" t="str">
        <f t="shared" si="57"/>
        <v>2870</v>
      </c>
      <c r="B293" s="8" t="str">
        <f t="shared" si="58"/>
        <v>Прочие транзитные счета</v>
      </c>
      <c r="C293" s="8" t="str">
        <f t="shared" si="56"/>
        <v>1</v>
      </c>
      <c r="D293" s="8" t="str">
        <f>"4"</f>
        <v>4</v>
      </c>
      <c r="E293" s="8" t="str">
        <f>"3"</f>
        <v>3</v>
      </c>
      <c r="F293" s="9">
        <v>13343759.16</v>
      </c>
    </row>
    <row r="294" spans="1:6" x14ac:dyDescent="0.25">
      <c r="A294" s="8" t="str">
        <f t="shared" si="57"/>
        <v>2870</v>
      </c>
      <c r="B294" s="8" t="str">
        <f t="shared" si="58"/>
        <v>Прочие транзитные счета</v>
      </c>
      <c r="C294" s="8" t="str">
        <f t="shared" si="56"/>
        <v>1</v>
      </c>
      <c r="D294" s="8" t="str">
        <f>"5"</f>
        <v>5</v>
      </c>
      <c r="E294" s="8" t="str">
        <f>"1"</f>
        <v>1</v>
      </c>
      <c r="F294" s="9">
        <v>19257855.829999998</v>
      </c>
    </row>
    <row r="295" spans="1:6" x14ac:dyDescent="0.25">
      <c r="A295" s="8" t="str">
        <f t="shared" si="57"/>
        <v>2870</v>
      </c>
      <c r="B295" s="8" t="str">
        <f t="shared" si="58"/>
        <v>Прочие транзитные счета</v>
      </c>
      <c r="C295" s="8" t="str">
        <f t="shared" si="56"/>
        <v>1</v>
      </c>
      <c r="D295" s="8" t="str">
        <f>"7"</f>
        <v>7</v>
      </c>
      <c r="E295" s="8" t="str">
        <f>"1"</f>
        <v>1</v>
      </c>
      <c r="F295" s="9">
        <v>95452.3</v>
      </c>
    </row>
    <row r="296" spans="1:6" x14ac:dyDescent="0.25">
      <c r="A296" s="8" t="str">
        <f t="shared" si="57"/>
        <v>2870</v>
      </c>
      <c r="B296" s="8" t="str">
        <f t="shared" si="58"/>
        <v>Прочие транзитные счета</v>
      </c>
      <c r="C296" s="8" t="str">
        <f t="shared" si="56"/>
        <v>1</v>
      </c>
      <c r="D296" s="8" t="str">
        <f>"7"</f>
        <v>7</v>
      </c>
      <c r="E296" s="8" t="str">
        <f>"3"</f>
        <v>3</v>
      </c>
      <c r="F296" s="9">
        <v>19366391.48</v>
      </c>
    </row>
    <row r="297" spans="1:6" x14ac:dyDescent="0.25">
      <c r="A297" s="8" t="str">
        <f t="shared" si="57"/>
        <v>2870</v>
      </c>
      <c r="B297" s="8" t="str">
        <f t="shared" si="58"/>
        <v>Прочие транзитные счета</v>
      </c>
      <c r="C297" s="8" t="str">
        <f t="shared" si="56"/>
        <v>1</v>
      </c>
      <c r="D297" s="8" t="str">
        <f>"9"</f>
        <v>9</v>
      </c>
      <c r="E297" s="8" t="str">
        <f>"3"</f>
        <v>3</v>
      </c>
      <c r="F297" s="9">
        <v>520840</v>
      </c>
    </row>
    <row r="298" spans="1:6" x14ac:dyDescent="0.25">
      <c r="A298" s="8" t="str">
        <f>"2875"</f>
        <v>2875</v>
      </c>
      <c r="B298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298" s="8" t="str">
        <f t="shared" si="56"/>
        <v>1</v>
      </c>
      <c r="D298" s="8" t="str">
        <f>"7"</f>
        <v>7</v>
      </c>
      <c r="E298" s="8" t="str">
        <f>"1"</f>
        <v>1</v>
      </c>
      <c r="F298" s="9">
        <v>4321789.1399999997</v>
      </c>
    </row>
    <row r="299" spans="1:6" x14ac:dyDescent="0.25">
      <c r="A299" s="8" t="str">
        <f>"2875"</f>
        <v>2875</v>
      </c>
      <c r="B299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299" s="8" t="str">
        <f t="shared" si="56"/>
        <v>1</v>
      </c>
      <c r="D299" s="8" t="str">
        <f>"9"</f>
        <v>9</v>
      </c>
      <c r="E299" s="8" t="str">
        <f>"1"</f>
        <v>1</v>
      </c>
      <c r="F299" s="9">
        <v>1034638.41</v>
      </c>
    </row>
    <row r="300" spans="1:6" x14ac:dyDescent="0.25">
      <c r="A300" s="8" t="str">
        <f>"2892"</f>
        <v>2892</v>
      </c>
      <c r="B300" s="8" t="str">
        <f>"Обязательства по операциям форвард"</f>
        <v>Обязательства по операциям форвард</v>
      </c>
      <c r="C300" s="8" t="str">
        <f t="shared" si="56"/>
        <v>1</v>
      </c>
      <c r="D300" s="8" t="str">
        <f>"7"</f>
        <v>7</v>
      </c>
      <c r="E300" s="8" t="str">
        <f>"1"</f>
        <v>1</v>
      </c>
      <c r="F300" s="9">
        <v>0.12</v>
      </c>
    </row>
    <row r="301" spans="1:6" x14ac:dyDescent="0.25">
      <c r="A301" s="8" t="str">
        <f>"2894"</f>
        <v>2894</v>
      </c>
      <c r="B301" s="8" t="str">
        <f>"Обязательства по операциям спот"</f>
        <v>Обязательства по операциям спот</v>
      </c>
      <c r="C301" s="8" t="str">
        <f t="shared" si="56"/>
        <v>1</v>
      </c>
      <c r="D301" s="8" t="str">
        <f>"5"</f>
        <v>5</v>
      </c>
      <c r="E301" s="8" t="str">
        <f>"1"</f>
        <v>1</v>
      </c>
      <c r="F301" s="9">
        <v>700500</v>
      </c>
    </row>
    <row r="302" spans="1:6" x14ac:dyDescent="0.25">
      <c r="A302" s="8" t="str">
        <f>"2895"</f>
        <v>2895</v>
      </c>
      <c r="B302" s="8" t="str">
        <f>"Обязательства по операциям своп"</f>
        <v>Обязательства по операциям своп</v>
      </c>
      <c r="C302" s="8" t="str">
        <f>"2"</f>
        <v>2</v>
      </c>
      <c r="D302" s="8" t="str">
        <f>"4"</f>
        <v>4</v>
      </c>
      <c r="E302" s="8" t="str">
        <f>"1"</f>
        <v>1</v>
      </c>
      <c r="F302" s="9">
        <v>60148173.939999998</v>
      </c>
    </row>
    <row r="303" spans="1:6" x14ac:dyDescent="0.25">
      <c r="A303" s="8" t="str">
        <f>"3001"</f>
        <v>3001</v>
      </c>
      <c r="B303" s="8" t="str">
        <f>"Уставный капитал – простые акции"</f>
        <v>Уставный капитал – простые акции</v>
      </c>
      <c r="C303" s="8" t="str">
        <f>""</f>
        <v/>
      </c>
      <c r="D303" s="8" t="str">
        <f>""</f>
        <v/>
      </c>
      <c r="E303" s="8" t="str">
        <f>""</f>
        <v/>
      </c>
      <c r="F303" s="9">
        <v>73757000000</v>
      </c>
    </row>
    <row r="304" spans="1:6" x14ac:dyDescent="0.25">
      <c r="A304" s="8" t="str">
        <f>"3580"</f>
        <v>3580</v>
      </c>
      <c r="B304" s="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C304" s="8" t="str">
        <f>""</f>
        <v/>
      </c>
      <c r="D304" s="8" t="str">
        <f>""</f>
        <v/>
      </c>
      <c r="E304" s="8" t="str">
        <f>""</f>
        <v/>
      </c>
      <c r="F304" s="9">
        <v>4783746873.8100004</v>
      </c>
    </row>
    <row r="305" spans="1:6" x14ac:dyDescent="0.25">
      <c r="A305" s="8" t="str">
        <f>"3599"</f>
        <v>3599</v>
      </c>
      <c r="B305" s="8" t="str">
        <f>"Нераспределенная чистая прибыль (непокрытый убыток)"</f>
        <v>Нераспределенная чистая прибыль (непокрытый убыток)</v>
      </c>
      <c r="C305" s="8" t="str">
        <f>""</f>
        <v/>
      </c>
      <c r="D305" s="8" t="str">
        <f>""</f>
        <v/>
      </c>
      <c r="E305" s="8" t="str">
        <f>""</f>
        <v/>
      </c>
      <c r="F305" s="9">
        <v>-44488898209.330002</v>
      </c>
    </row>
    <row r="306" spans="1:6" x14ac:dyDescent="0.25">
      <c r="A306" s="8" t="str">
        <f>"4052"</f>
        <v>4052</v>
      </c>
      <c r="B306" s="8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C306" s="8" t="str">
        <f>""</f>
        <v/>
      </c>
      <c r="D306" s="8" t="str">
        <f>""</f>
        <v/>
      </c>
      <c r="E306" s="8" t="str">
        <f>""</f>
        <v/>
      </c>
      <c r="F306" s="9">
        <v>10368001.67</v>
      </c>
    </row>
    <row r="307" spans="1:6" x14ac:dyDescent="0.25">
      <c r="A307" s="8" t="str">
        <f>"4101"</f>
        <v>4101</v>
      </c>
      <c r="B307" s="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C307" s="8" t="str">
        <f>""</f>
        <v/>
      </c>
      <c r="D307" s="8" t="str">
        <f>""</f>
        <v/>
      </c>
      <c r="E307" s="8" t="str">
        <f>""</f>
        <v/>
      </c>
      <c r="F307" s="9">
        <v>203208333.34</v>
      </c>
    </row>
    <row r="308" spans="1:6" x14ac:dyDescent="0.25">
      <c r="A308" s="8" t="str">
        <f>"4103"</f>
        <v>4103</v>
      </c>
      <c r="B308" s="8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C308" s="8" t="str">
        <f>""</f>
        <v/>
      </c>
      <c r="D308" s="8" t="str">
        <f>""</f>
        <v/>
      </c>
      <c r="E308" s="8" t="str">
        <f>""</f>
        <v/>
      </c>
      <c r="F308" s="9">
        <v>135138888.88999999</v>
      </c>
    </row>
    <row r="309" spans="1:6" x14ac:dyDescent="0.25">
      <c r="A309" s="8" t="str">
        <f>"4202"</f>
        <v>4202</v>
      </c>
      <c r="B309" s="8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C309" s="8" t="str">
        <f>""</f>
        <v/>
      </c>
      <c r="D309" s="8" t="str">
        <f>""</f>
        <v/>
      </c>
      <c r="E309" s="8" t="str">
        <f>""</f>
        <v/>
      </c>
      <c r="F309" s="9">
        <v>729301564.82000005</v>
      </c>
    </row>
    <row r="310" spans="1:6" x14ac:dyDescent="0.25">
      <c r="A310" s="8" t="str">
        <f>"4251"</f>
        <v>4251</v>
      </c>
      <c r="B310" s="8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C310" s="8" t="str">
        <f>""</f>
        <v/>
      </c>
      <c r="D310" s="8" t="str">
        <f>""</f>
        <v/>
      </c>
      <c r="E310" s="8" t="str">
        <f>""</f>
        <v/>
      </c>
      <c r="F310" s="9">
        <v>429129.12</v>
      </c>
    </row>
    <row r="311" spans="1:6" x14ac:dyDescent="0.25">
      <c r="A311" s="8" t="str">
        <f>"4265"</f>
        <v>4265</v>
      </c>
      <c r="B311" s="8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C311" s="8" t="str">
        <f>""</f>
        <v/>
      </c>
      <c r="D311" s="8" t="str">
        <f>""</f>
        <v/>
      </c>
      <c r="E311" s="8" t="str">
        <f>""</f>
        <v/>
      </c>
      <c r="F311" s="9">
        <v>40364.36</v>
      </c>
    </row>
    <row r="312" spans="1:6" x14ac:dyDescent="0.25">
      <c r="A312" s="8" t="str">
        <f>"4302"</f>
        <v>4302</v>
      </c>
      <c r="B312" s="8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C312" s="8" t="str">
        <f>""</f>
        <v/>
      </c>
      <c r="D312" s="8" t="str">
        <f>""</f>
        <v/>
      </c>
      <c r="E312" s="8" t="str">
        <f>""</f>
        <v/>
      </c>
      <c r="F312" s="9">
        <v>64689533.909999996</v>
      </c>
    </row>
    <row r="313" spans="1:6" x14ac:dyDescent="0.25">
      <c r="A313" s="8" t="str">
        <f>"4303"</f>
        <v>4303</v>
      </c>
      <c r="B313" s="8" t="str">
        <f>"Доходы, связанные с получением вознаграждения по займам овернайт, предоставленным другим банкам"</f>
        <v>Доходы, связанные с получением вознаграждения по займам овернайт, предоставленным другим банкам</v>
      </c>
      <c r="C313" s="8" t="str">
        <f>""</f>
        <v/>
      </c>
      <c r="D313" s="8" t="str">
        <f>""</f>
        <v/>
      </c>
      <c r="E313" s="8" t="str">
        <f>""</f>
        <v/>
      </c>
      <c r="F313" s="9">
        <v>889615.66</v>
      </c>
    </row>
    <row r="314" spans="1:6" x14ac:dyDescent="0.25">
      <c r="A314" s="8" t="str">
        <f>"4304"</f>
        <v>4304</v>
      </c>
      <c r="B314" s="8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C314" s="8" t="str">
        <f>""</f>
        <v/>
      </c>
      <c r="D314" s="8" t="str">
        <f>""</f>
        <v/>
      </c>
      <c r="E314" s="8" t="str">
        <f>""</f>
        <v/>
      </c>
      <c r="F314" s="9">
        <v>168493150.69</v>
      </c>
    </row>
    <row r="315" spans="1:6" x14ac:dyDescent="0.25">
      <c r="A315" s="8" t="str">
        <f>"4306"</f>
        <v>4306</v>
      </c>
      <c r="B315" s="8" t="str">
        <f>"Доходы, связанные с получением вознаграждения по просроченной задолженности других банков по займам"</f>
        <v>Доходы, связанные с получением вознаграждения по просроченной задолженности других банков по займам</v>
      </c>
      <c r="C315" s="8" t="str">
        <f>""</f>
        <v/>
      </c>
      <c r="D315" s="8" t="str">
        <f>""</f>
        <v/>
      </c>
      <c r="E315" s="8" t="str">
        <f>""</f>
        <v/>
      </c>
      <c r="F315" s="9">
        <v>45205479.450000003</v>
      </c>
    </row>
    <row r="316" spans="1:6" x14ac:dyDescent="0.25">
      <c r="A316" s="8" t="str">
        <f>"4312"</f>
        <v>4312</v>
      </c>
      <c r="B316" s="8" t="str">
        <f>"Доходы по амортизации дисконта по займам, предоставленным другим банкам"</f>
        <v>Доходы по амортизации дисконта по займам, предоставленным другим банкам</v>
      </c>
      <c r="C316" s="8" t="str">
        <f>""</f>
        <v/>
      </c>
      <c r="D316" s="8" t="str">
        <f>""</f>
        <v/>
      </c>
      <c r="E316" s="8" t="str">
        <f>""</f>
        <v/>
      </c>
      <c r="F316" s="9">
        <v>12296202.76</v>
      </c>
    </row>
    <row r="317" spans="1:6" x14ac:dyDescent="0.25">
      <c r="A317" s="8" t="str">
        <f>"4401"</f>
        <v>4401</v>
      </c>
      <c r="B317" s="8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C317" s="8" t="str">
        <f>""</f>
        <v/>
      </c>
      <c r="D317" s="8" t="str">
        <f>""</f>
        <v/>
      </c>
      <c r="E317" s="8" t="str">
        <f>""</f>
        <v/>
      </c>
      <c r="F317" s="9">
        <v>21687203.219999999</v>
      </c>
    </row>
    <row r="318" spans="1:6" x14ac:dyDescent="0.25">
      <c r="A318" s="8" t="str">
        <f>"4403"</f>
        <v>4403</v>
      </c>
      <c r="B318" s="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C318" s="8" t="str">
        <f>""</f>
        <v/>
      </c>
      <c r="D318" s="8" t="str">
        <f>""</f>
        <v/>
      </c>
      <c r="E318" s="8" t="str">
        <f>""</f>
        <v/>
      </c>
      <c r="F318" s="9">
        <v>1629591.74</v>
      </c>
    </row>
    <row r="319" spans="1:6" x14ac:dyDescent="0.25">
      <c r="A319" s="8" t="str">
        <f>"4411"</f>
        <v>4411</v>
      </c>
      <c r="B319" s="8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C319" s="8" t="str">
        <f>""</f>
        <v/>
      </c>
      <c r="D319" s="8" t="str">
        <f>""</f>
        <v/>
      </c>
      <c r="E319" s="8" t="str">
        <f>""</f>
        <v/>
      </c>
      <c r="F319" s="9">
        <v>1018189787.9</v>
      </c>
    </row>
    <row r="320" spans="1:6" x14ac:dyDescent="0.25">
      <c r="A320" s="8" t="str">
        <f>"4417"</f>
        <v>4417</v>
      </c>
      <c r="B320" s="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C320" s="8" t="str">
        <f>""</f>
        <v/>
      </c>
      <c r="D320" s="8" t="str">
        <f>""</f>
        <v/>
      </c>
      <c r="E320" s="8" t="str">
        <f>""</f>
        <v/>
      </c>
      <c r="F320" s="9">
        <v>9889881310.0400009</v>
      </c>
    </row>
    <row r="321" spans="1:6" x14ac:dyDescent="0.25">
      <c r="A321" s="8" t="str">
        <f>"4424"</f>
        <v>4424</v>
      </c>
      <c r="B321" s="8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C321" s="8" t="str">
        <f>""</f>
        <v/>
      </c>
      <c r="D321" s="8" t="str">
        <f>""</f>
        <v/>
      </c>
      <c r="E321" s="8" t="str">
        <f>""</f>
        <v/>
      </c>
      <c r="F321" s="9">
        <v>351778869.56</v>
      </c>
    </row>
    <row r="322" spans="1:6" x14ac:dyDescent="0.25">
      <c r="A322" s="8" t="str">
        <f>"4429"</f>
        <v>4429</v>
      </c>
      <c r="B322" s="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C322" s="8" t="str">
        <f>""</f>
        <v/>
      </c>
      <c r="D322" s="8" t="str">
        <f>""</f>
        <v/>
      </c>
      <c r="E322" s="8" t="str">
        <f>""</f>
        <v/>
      </c>
      <c r="F322" s="9">
        <v>39748647.490000002</v>
      </c>
    </row>
    <row r="323" spans="1:6" x14ac:dyDescent="0.25">
      <c r="A323" s="8" t="str">
        <f>"4434"</f>
        <v>4434</v>
      </c>
      <c r="B323" s="8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C323" s="8" t="str">
        <f>""</f>
        <v/>
      </c>
      <c r="D323" s="8" t="str">
        <f>""</f>
        <v/>
      </c>
      <c r="E323" s="8" t="str">
        <f>""</f>
        <v/>
      </c>
      <c r="F323" s="9">
        <v>4333296669.3299999</v>
      </c>
    </row>
    <row r="324" spans="1:6" x14ac:dyDescent="0.25">
      <c r="A324" s="8" t="str">
        <f>"4465"</f>
        <v>4465</v>
      </c>
      <c r="B324" s="8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C324" s="8" t="str">
        <f>""</f>
        <v/>
      </c>
      <c r="D324" s="8" t="str">
        <f>""</f>
        <v/>
      </c>
      <c r="E324" s="8" t="str">
        <f>""</f>
        <v/>
      </c>
      <c r="F324" s="9">
        <v>2024001.26</v>
      </c>
    </row>
    <row r="325" spans="1:6" x14ac:dyDescent="0.25">
      <c r="A325" s="8" t="str">
        <f>"4492"</f>
        <v>4492</v>
      </c>
      <c r="B325" s="8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C325" s="8" t="str">
        <f>""</f>
        <v/>
      </c>
      <c r="D325" s="8" t="str">
        <f>""</f>
        <v/>
      </c>
      <c r="E325" s="8" t="str">
        <f>""</f>
        <v/>
      </c>
      <c r="F325" s="9">
        <v>2152519.66</v>
      </c>
    </row>
    <row r="326" spans="1:6" x14ac:dyDescent="0.25">
      <c r="A326" s="8" t="str">
        <f>"4530"</f>
        <v>4530</v>
      </c>
      <c r="B326" s="8" t="str">
        <f>"Доходы по купле-продаже иностранной валюты"</f>
        <v>Доходы по купле-продаже иностранной валюты</v>
      </c>
      <c r="C326" s="8" t="str">
        <f>""</f>
        <v/>
      </c>
      <c r="D326" s="8" t="str">
        <f>""</f>
        <v/>
      </c>
      <c r="E326" s="8" t="str">
        <f>""</f>
        <v/>
      </c>
      <c r="F326" s="9">
        <v>14895998242.15</v>
      </c>
    </row>
    <row r="327" spans="1:6" x14ac:dyDescent="0.25">
      <c r="A327" s="8" t="str">
        <f>"4601"</f>
        <v>4601</v>
      </c>
      <c r="B327" s="8" t="str">
        <f>"Комиссионные доходы за услуги по переводным операциям"</f>
        <v>Комиссионные доходы за услуги по переводным операциям</v>
      </c>
      <c r="C327" s="8" t="str">
        <f>""</f>
        <v/>
      </c>
      <c r="D327" s="8" t="str">
        <f>""</f>
        <v/>
      </c>
      <c r="E327" s="8" t="str">
        <f>""</f>
        <v/>
      </c>
      <c r="F327" s="9">
        <v>895785200.35000002</v>
      </c>
    </row>
    <row r="328" spans="1:6" x14ac:dyDescent="0.25">
      <c r="A328" s="8" t="str">
        <f>"4602"</f>
        <v>4602</v>
      </c>
      <c r="B328" s="8" t="str">
        <f>"Комиссионные доходы за агентские услуги"</f>
        <v>Комиссионные доходы за агентские услуги</v>
      </c>
      <c r="C328" s="8" t="str">
        <f>""</f>
        <v/>
      </c>
      <c r="D328" s="8" t="str">
        <f>""</f>
        <v/>
      </c>
      <c r="E328" s="8" t="str">
        <f>""</f>
        <v/>
      </c>
      <c r="F328" s="9">
        <v>279987690.19999999</v>
      </c>
    </row>
    <row r="329" spans="1:6" x14ac:dyDescent="0.25">
      <c r="A329" s="8" t="str">
        <f>"4604"</f>
        <v>4604</v>
      </c>
      <c r="B329" s="8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C329" s="8" t="str">
        <f>""</f>
        <v/>
      </c>
      <c r="D329" s="8" t="str">
        <f>""</f>
        <v/>
      </c>
      <c r="E329" s="8" t="str">
        <f>""</f>
        <v/>
      </c>
      <c r="F329" s="9">
        <v>30498960.140000001</v>
      </c>
    </row>
    <row r="330" spans="1:6" x14ac:dyDescent="0.25">
      <c r="A330" s="8" t="str">
        <f>"4606"</f>
        <v>4606</v>
      </c>
      <c r="B330" s="8" t="str">
        <f>"Комиссионные доходы за услуги по операциям с гарантиями"</f>
        <v>Комиссионные доходы за услуги по операциям с гарантиями</v>
      </c>
      <c r="C330" s="8" t="str">
        <f>""</f>
        <v/>
      </c>
      <c r="D330" s="8" t="str">
        <f>""</f>
        <v/>
      </c>
      <c r="E330" s="8" t="str">
        <f>""</f>
        <v/>
      </c>
      <c r="F330" s="9">
        <v>40500639.039999999</v>
      </c>
    </row>
    <row r="331" spans="1:6" x14ac:dyDescent="0.25">
      <c r="A331" s="8" t="str">
        <f>"4607"</f>
        <v>4607</v>
      </c>
      <c r="B331" s="8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C331" s="8" t="str">
        <f>""</f>
        <v/>
      </c>
      <c r="D331" s="8" t="str">
        <f>""</f>
        <v/>
      </c>
      <c r="E331" s="8" t="str">
        <f>""</f>
        <v/>
      </c>
      <c r="F331" s="9">
        <v>33454375.379999999</v>
      </c>
    </row>
    <row r="332" spans="1:6" x14ac:dyDescent="0.25">
      <c r="A332" s="8" t="str">
        <f>"4608"</f>
        <v>4608</v>
      </c>
      <c r="B332" s="8" t="str">
        <f>"Прочие комиссионные доходы"</f>
        <v>Прочие комиссионные доходы</v>
      </c>
      <c r="C332" s="8" t="str">
        <f>""</f>
        <v/>
      </c>
      <c r="D332" s="8" t="str">
        <f>""</f>
        <v/>
      </c>
      <c r="E332" s="8" t="str">
        <f>""</f>
        <v/>
      </c>
      <c r="F332" s="9">
        <v>47213396.310000002</v>
      </c>
    </row>
    <row r="333" spans="1:6" x14ac:dyDescent="0.25">
      <c r="A333" s="8" t="str">
        <f>"4609"</f>
        <v>4609</v>
      </c>
      <c r="B333" s="8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C333" s="8" t="str">
        <f>""</f>
        <v/>
      </c>
      <c r="D333" s="8" t="str">
        <f>""</f>
        <v/>
      </c>
      <c r="E333" s="8" t="str">
        <f>""</f>
        <v/>
      </c>
      <c r="F333" s="9">
        <v>12398.51</v>
      </c>
    </row>
    <row r="334" spans="1:6" x14ac:dyDescent="0.25">
      <c r="A334" s="8" t="str">
        <f>"4611"</f>
        <v>4611</v>
      </c>
      <c r="B334" s="8" t="str">
        <f>"Комиссионные доходы за услуги по кассовым операциям"</f>
        <v>Комиссионные доходы за услуги по кассовым операциям</v>
      </c>
      <c r="C334" s="8" t="str">
        <f>""</f>
        <v/>
      </c>
      <c r="D334" s="8" t="str">
        <f>""</f>
        <v/>
      </c>
      <c r="E334" s="8" t="str">
        <f>""</f>
        <v/>
      </c>
      <c r="F334" s="9">
        <v>192098018.46000001</v>
      </c>
    </row>
    <row r="335" spans="1:6" x14ac:dyDescent="0.25">
      <c r="A335" s="8" t="str">
        <f>"4612"</f>
        <v>4612</v>
      </c>
      <c r="B335" s="8" t="str">
        <f>"Комиссионные доходы по документарным расчетам"</f>
        <v>Комиссионные доходы по документарным расчетам</v>
      </c>
      <c r="C335" s="8" t="str">
        <f>""</f>
        <v/>
      </c>
      <c r="D335" s="8" t="str">
        <f>""</f>
        <v/>
      </c>
      <c r="E335" s="8" t="str">
        <f>""</f>
        <v/>
      </c>
      <c r="F335" s="9">
        <v>1930494.1</v>
      </c>
    </row>
    <row r="336" spans="1:6" x14ac:dyDescent="0.25">
      <c r="A336" s="8" t="str">
        <f>"4617"</f>
        <v>4617</v>
      </c>
      <c r="B336" s="8" t="str">
        <f>"Комиссионные доходы за услуги по сейфовым операциям"</f>
        <v>Комиссионные доходы за услуги по сейфовым операциям</v>
      </c>
      <c r="C336" s="8" t="str">
        <f>""</f>
        <v/>
      </c>
      <c r="D336" s="8" t="str">
        <f>""</f>
        <v/>
      </c>
      <c r="E336" s="8" t="str">
        <f>""</f>
        <v/>
      </c>
      <c r="F336" s="9">
        <v>2869285.71</v>
      </c>
    </row>
    <row r="337" spans="1:6" x14ac:dyDescent="0.25">
      <c r="A337" s="8" t="str">
        <f>"4619"</f>
        <v>4619</v>
      </c>
      <c r="B337" s="8" t="str">
        <f>"Комиссионные доходы за обслуживание платежных карточек"</f>
        <v>Комиссионные доходы за обслуживание платежных карточек</v>
      </c>
      <c r="C337" s="8" t="str">
        <f>""</f>
        <v/>
      </c>
      <c r="D337" s="8" t="str">
        <f>""</f>
        <v/>
      </c>
      <c r="E337" s="8" t="str">
        <f>""</f>
        <v/>
      </c>
      <c r="F337" s="9">
        <v>40581696.799999997</v>
      </c>
    </row>
    <row r="338" spans="1:6" x14ac:dyDescent="0.25">
      <c r="A338" s="8" t="str">
        <f>"4703"</f>
        <v>4703</v>
      </c>
      <c r="B338" s="8" t="str">
        <f>"Доход от переоценки иностранной валюты"</f>
        <v>Доход от переоценки иностранной валюты</v>
      </c>
      <c r="C338" s="8" t="str">
        <f>""</f>
        <v/>
      </c>
      <c r="D338" s="8" t="str">
        <f>""</f>
        <v/>
      </c>
      <c r="E338" s="8" t="str">
        <f>""</f>
        <v/>
      </c>
      <c r="F338" s="9">
        <v>2147657138990.9299</v>
      </c>
    </row>
    <row r="339" spans="1:6" x14ac:dyDescent="0.25">
      <c r="A339" s="8" t="str">
        <f>"4709"</f>
        <v>4709</v>
      </c>
      <c r="B339" s="8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C339" s="8" t="str">
        <f>""</f>
        <v/>
      </c>
      <c r="D339" s="8" t="str">
        <f>""</f>
        <v/>
      </c>
      <c r="E339" s="8" t="str">
        <f>""</f>
        <v/>
      </c>
      <c r="F339" s="9">
        <v>109901324.09999999</v>
      </c>
    </row>
    <row r="340" spans="1:6" x14ac:dyDescent="0.25">
      <c r="A340" s="8" t="str">
        <f>"4852"</f>
        <v>4852</v>
      </c>
      <c r="B340" s="8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C340" s="8" t="str">
        <f>""</f>
        <v/>
      </c>
      <c r="D340" s="8" t="str">
        <f>""</f>
        <v/>
      </c>
      <c r="E340" s="8" t="str">
        <f>""</f>
        <v/>
      </c>
      <c r="F340" s="9">
        <v>4032830.35</v>
      </c>
    </row>
    <row r="341" spans="1:6" x14ac:dyDescent="0.25">
      <c r="A341" s="8" t="str">
        <f>"4854"</f>
        <v>4854</v>
      </c>
      <c r="B341" s="8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C341" s="8" t="str">
        <f>""</f>
        <v/>
      </c>
      <c r="D341" s="8" t="str">
        <f>""</f>
        <v/>
      </c>
      <c r="E341" s="8" t="str">
        <f>""</f>
        <v/>
      </c>
      <c r="F341" s="9">
        <v>62500000</v>
      </c>
    </row>
    <row r="342" spans="1:6" x14ac:dyDescent="0.25">
      <c r="A342" s="8" t="str">
        <f>"4892"</f>
        <v>4892</v>
      </c>
      <c r="B342" s="8" t="str">
        <f>"Доходы по операциям форвард"</f>
        <v>Доходы по операциям форвард</v>
      </c>
      <c r="C342" s="8" t="str">
        <f>""</f>
        <v/>
      </c>
      <c r="D342" s="8" t="str">
        <f>""</f>
        <v/>
      </c>
      <c r="E342" s="8" t="str">
        <f>""</f>
        <v/>
      </c>
      <c r="F342" s="9">
        <v>114521647.36</v>
      </c>
    </row>
    <row r="343" spans="1:6" x14ac:dyDescent="0.25">
      <c r="A343" s="8" t="str">
        <f>"4895"</f>
        <v>4895</v>
      </c>
      <c r="B343" s="8" t="str">
        <f>"Доходы по операциям своп"</f>
        <v>Доходы по операциям своп</v>
      </c>
      <c r="C343" s="8" t="str">
        <f>""</f>
        <v/>
      </c>
      <c r="D343" s="8" t="str">
        <f>""</f>
        <v/>
      </c>
      <c r="E343" s="8" t="str">
        <f>""</f>
        <v/>
      </c>
      <c r="F343" s="9">
        <v>61002214299.110001</v>
      </c>
    </row>
    <row r="344" spans="1:6" x14ac:dyDescent="0.25">
      <c r="A344" s="8" t="str">
        <f>"4900"</f>
        <v>4900</v>
      </c>
      <c r="B344" s="8" t="str">
        <f>"Неустойка (штраф, пеня)"</f>
        <v>Неустойка (штраф, пеня)</v>
      </c>
      <c r="C344" s="8" t="str">
        <f>""</f>
        <v/>
      </c>
      <c r="D344" s="8" t="str">
        <f>""</f>
        <v/>
      </c>
      <c r="E344" s="8" t="str">
        <f>""</f>
        <v/>
      </c>
      <c r="F344" s="9">
        <v>75214804.780000001</v>
      </c>
    </row>
    <row r="345" spans="1:6" x14ac:dyDescent="0.25">
      <c r="A345" s="8" t="str">
        <f>"4921"</f>
        <v>4921</v>
      </c>
      <c r="B345" s="8" t="str">
        <f>"Прочие доходы от банковской деятельности"</f>
        <v>Прочие доходы от банковской деятельности</v>
      </c>
      <c r="C345" s="8" t="str">
        <f>""</f>
        <v/>
      </c>
      <c r="D345" s="8" t="str">
        <f>""</f>
        <v/>
      </c>
      <c r="E345" s="8" t="str">
        <f>""</f>
        <v/>
      </c>
      <c r="F345" s="9">
        <v>229469198.72999999</v>
      </c>
    </row>
    <row r="346" spans="1:6" x14ac:dyDescent="0.25">
      <c r="A346" s="8" t="str">
        <f>"4922"</f>
        <v>4922</v>
      </c>
      <c r="B346" s="8" t="str">
        <f>"Прочие доходы от неосновной деятельности"</f>
        <v>Прочие доходы от неосновной деятельности</v>
      </c>
      <c r="C346" s="8" t="str">
        <f>""</f>
        <v/>
      </c>
      <c r="D346" s="8" t="str">
        <f>""</f>
        <v/>
      </c>
      <c r="E346" s="8" t="str">
        <f>""</f>
        <v/>
      </c>
      <c r="F346" s="9">
        <v>1447426845.6900001</v>
      </c>
    </row>
    <row r="347" spans="1:6" x14ac:dyDescent="0.25">
      <c r="A347" s="8" t="str">
        <f>"4951"</f>
        <v>4951</v>
      </c>
      <c r="B347" s="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C347" s="8" t="str">
        <f>""</f>
        <v/>
      </c>
      <c r="D347" s="8" t="str">
        <f>""</f>
        <v/>
      </c>
      <c r="E347" s="8" t="str">
        <f>""</f>
        <v/>
      </c>
      <c r="F347" s="9">
        <v>63769365.229999997</v>
      </c>
    </row>
    <row r="348" spans="1:6" x14ac:dyDescent="0.25">
      <c r="A348" s="8" t="str">
        <f>"4952"</f>
        <v>4952</v>
      </c>
      <c r="B348" s="8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C348" s="8" t="str">
        <f>""</f>
        <v/>
      </c>
      <c r="D348" s="8" t="str">
        <f>""</f>
        <v/>
      </c>
      <c r="E348" s="8" t="str">
        <f>""</f>
        <v/>
      </c>
      <c r="F348" s="9">
        <v>85891195.030000001</v>
      </c>
    </row>
    <row r="349" spans="1:6" x14ac:dyDescent="0.25">
      <c r="A349" s="8" t="str">
        <f>"4953"</f>
        <v>4953</v>
      </c>
      <c r="B349" s="8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C349" s="8" t="str">
        <f>""</f>
        <v/>
      </c>
      <c r="D349" s="8" t="str">
        <f>""</f>
        <v/>
      </c>
      <c r="E349" s="8" t="str">
        <f>""</f>
        <v/>
      </c>
      <c r="F349" s="9">
        <v>31659219.100000001</v>
      </c>
    </row>
    <row r="350" spans="1:6" x14ac:dyDescent="0.25">
      <c r="A350" s="8" t="str">
        <f>"4955"</f>
        <v>4955</v>
      </c>
      <c r="B350" s="8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C350" s="8" t="str">
        <f>""</f>
        <v/>
      </c>
      <c r="D350" s="8" t="str">
        <f>""</f>
        <v/>
      </c>
      <c r="E350" s="8" t="str">
        <f>""</f>
        <v/>
      </c>
      <c r="F350" s="9">
        <v>1937335495.3299999</v>
      </c>
    </row>
    <row r="351" spans="1:6" x14ac:dyDescent="0.25">
      <c r="A351" s="8" t="str">
        <f>"4956"</f>
        <v>4956</v>
      </c>
      <c r="B351" s="8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C351" s="8" t="str">
        <f>""</f>
        <v/>
      </c>
      <c r="D351" s="8" t="str">
        <f>""</f>
        <v/>
      </c>
      <c r="E351" s="8" t="str">
        <f>""</f>
        <v/>
      </c>
      <c r="F351" s="9">
        <v>1277193.31</v>
      </c>
    </row>
    <row r="352" spans="1:6" x14ac:dyDescent="0.25">
      <c r="A352" s="8" t="str">
        <f>"4957"</f>
        <v>4957</v>
      </c>
      <c r="B352" s="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C352" s="8" t="str">
        <f>""</f>
        <v/>
      </c>
      <c r="D352" s="8" t="str">
        <f>""</f>
        <v/>
      </c>
      <c r="E352" s="8" t="str">
        <f>""</f>
        <v/>
      </c>
      <c r="F352" s="9">
        <v>7880122.5099999998</v>
      </c>
    </row>
    <row r="353" spans="1:6" x14ac:dyDescent="0.25">
      <c r="A353" s="8" t="str">
        <f>"4958"</f>
        <v>4958</v>
      </c>
      <c r="B353" s="8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C353" s="8" t="str">
        <f>""</f>
        <v/>
      </c>
      <c r="D353" s="8" t="str">
        <f>""</f>
        <v/>
      </c>
      <c r="E353" s="8" t="str">
        <f>""</f>
        <v/>
      </c>
      <c r="F353" s="9">
        <v>82384301.680000007</v>
      </c>
    </row>
    <row r="354" spans="1:6" x14ac:dyDescent="0.25">
      <c r="A354" s="8" t="str">
        <f>"4959"</f>
        <v>4959</v>
      </c>
      <c r="B354" s="8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C354" s="8" t="str">
        <f>""</f>
        <v/>
      </c>
      <c r="D354" s="8" t="str">
        <f>""</f>
        <v/>
      </c>
      <c r="E354" s="8" t="str">
        <f>""</f>
        <v/>
      </c>
      <c r="F354" s="9">
        <v>190000</v>
      </c>
    </row>
    <row r="355" spans="1:6" x14ac:dyDescent="0.25">
      <c r="A355" s="8" t="str">
        <f>"4960"</f>
        <v>4960</v>
      </c>
      <c r="B355" s="8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C355" s="8" t="str">
        <f>""</f>
        <v/>
      </c>
      <c r="D355" s="8" t="str">
        <f>""</f>
        <v/>
      </c>
      <c r="E355" s="8" t="str">
        <f>""</f>
        <v/>
      </c>
      <c r="F355" s="9">
        <v>727256.94</v>
      </c>
    </row>
    <row r="356" spans="1:6" x14ac:dyDescent="0.25">
      <c r="A356" s="8" t="str">
        <f>"5023"</f>
        <v>5023</v>
      </c>
      <c r="B356" s="8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C356" s="8" t="str">
        <f>""</f>
        <v/>
      </c>
      <c r="D356" s="8" t="str">
        <f>""</f>
        <v/>
      </c>
      <c r="E356" s="8" t="str">
        <f>""</f>
        <v/>
      </c>
      <c r="F356" s="9">
        <v>108798718.81999999</v>
      </c>
    </row>
    <row r="357" spans="1:6" x14ac:dyDescent="0.25">
      <c r="A357" s="8" t="str">
        <f>"5054"</f>
        <v>5054</v>
      </c>
      <c r="B357" s="8" t="str">
        <f>"Расходы, связанные с выплатой вознаграждения по краткосрочным займам, полученным от других банков"</f>
        <v>Расходы, связанные с выплатой вознаграждения по краткосрочным займам, полученным от других банков</v>
      </c>
      <c r="C357" s="8" t="str">
        <f>""</f>
        <v/>
      </c>
      <c r="D357" s="8" t="str">
        <f>""</f>
        <v/>
      </c>
      <c r="E357" s="8" t="str">
        <f>""</f>
        <v/>
      </c>
      <c r="F357" s="9">
        <v>3910868972.77</v>
      </c>
    </row>
    <row r="358" spans="1:6" x14ac:dyDescent="0.25">
      <c r="A358" s="8" t="str">
        <f>"5056"</f>
        <v>5056</v>
      </c>
      <c r="B358" s="8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C358" s="8" t="str">
        <f>""</f>
        <v/>
      </c>
      <c r="D358" s="8" t="str">
        <f>""</f>
        <v/>
      </c>
      <c r="E358" s="8" t="str">
        <f>""</f>
        <v/>
      </c>
      <c r="F358" s="9">
        <v>23638888.859999999</v>
      </c>
    </row>
    <row r="359" spans="1:6" x14ac:dyDescent="0.25">
      <c r="A359" s="8" t="str">
        <f>"5066"</f>
        <v>5066</v>
      </c>
      <c r="B359" s="8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C359" s="8" t="str">
        <f>""</f>
        <v/>
      </c>
      <c r="D359" s="8" t="str">
        <f>""</f>
        <v/>
      </c>
      <c r="E359" s="8" t="str">
        <f>""</f>
        <v/>
      </c>
      <c r="F359" s="9">
        <v>60161251.200000003</v>
      </c>
    </row>
    <row r="360" spans="1:6" x14ac:dyDescent="0.25">
      <c r="A360" s="8" t="str">
        <f>"5069"</f>
        <v>5069</v>
      </c>
      <c r="B360" s="8" t="str">
        <f>"Расходы по амортизации дисконта по полученным займам"</f>
        <v>Расходы по амортизации дисконта по полученным займам</v>
      </c>
      <c r="C360" s="8" t="str">
        <f>""</f>
        <v/>
      </c>
      <c r="D360" s="8" t="str">
        <f>""</f>
        <v/>
      </c>
      <c r="E360" s="8" t="str">
        <f>""</f>
        <v/>
      </c>
      <c r="F360" s="9">
        <v>5343617395</v>
      </c>
    </row>
    <row r="361" spans="1:6" x14ac:dyDescent="0.25">
      <c r="A361" s="8" t="str">
        <f>"5091"</f>
        <v>5091</v>
      </c>
      <c r="B361" s="8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C361" s="8" t="str">
        <f>""</f>
        <v/>
      </c>
      <c r="D361" s="8" t="str">
        <f>""</f>
        <v/>
      </c>
      <c r="E361" s="8" t="str">
        <f>""</f>
        <v/>
      </c>
      <c r="F361" s="9">
        <v>23541075.010000002</v>
      </c>
    </row>
    <row r="362" spans="1:6" x14ac:dyDescent="0.25">
      <c r="A362" s="8" t="str">
        <f>"5124"</f>
        <v>5124</v>
      </c>
      <c r="B362" s="8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C362" s="8" t="str">
        <f>""</f>
        <v/>
      </c>
      <c r="D362" s="8" t="str">
        <f>""</f>
        <v/>
      </c>
      <c r="E362" s="8" t="str">
        <f>""</f>
        <v/>
      </c>
      <c r="F362" s="9">
        <v>584726.29</v>
      </c>
    </row>
    <row r="363" spans="1:6" x14ac:dyDescent="0.25">
      <c r="A363" s="8" t="str">
        <f>"5126"</f>
        <v>5126</v>
      </c>
      <c r="B363" s="8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C363" s="8" t="str">
        <f>""</f>
        <v/>
      </c>
      <c r="D363" s="8" t="str">
        <f>""</f>
        <v/>
      </c>
      <c r="E363" s="8" t="str">
        <f>""</f>
        <v/>
      </c>
      <c r="F363" s="9">
        <v>1046507.67</v>
      </c>
    </row>
    <row r="364" spans="1:6" x14ac:dyDescent="0.25">
      <c r="A364" s="8" t="str">
        <f>"5215"</f>
        <v>5215</v>
      </c>
      <c r="B364" s="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C364" s="8" t="str">
        <f>""</f>
        <v/>
      </c>
      <c r="D364" s="8" t="str">
        <f>""</f>
        <v/>
      </c>
      <c r="E364" s="8" t="str">
        <f>""</f>
        <v/>
      </c>
      <c r="F364" s="9">
        <v>1819871834.6700001</v>
      </c>
    </row>
    <row r="365" spans="1:6" x14ac:dyDescent="0.25">
      <c r="A365" s="8" t="str">
        <f>"5217"</f>
        <v>5217</v>
      </c>
      <c r="B365" s="8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C365" s="8" t="str">
        <f>""</f>
        <v/>
      </c>
      <c r="D365" s="8" t="str">
        <f>""</f>
        <v/>
      </c>
      <c r="E365" s="8" t="str">
        <f>""</f>
        <v/>
      </c>
      <c r="F365" s="9">
        <v>418845370.52999997</v>
      </c>
    </row>
    <row r="366" spans="1:6" x14ac:dyDescent="0.25">
      <c r="A366" s="8" t="str">
        <f>"5218"</f>
        <v>5218</v>
      </c>
      <c r="B366" s="8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C366" s="8" t="str">
        <f>""</f>
        <v/>
      </c>
      <c r="D366" s="8" t="str">
        <f>""</f>
        <v/>
      </c>
      <c r="E366" s="8" t="str">
        <f>""</f>
        <v/>
      </c>
      <c r="F366" s="9">
        <v>381273072.18000001</v>
      </c>
    </row>
    <row r="367" spans="1:6" x14ac:dyDescent="0.25">
      <c r="A367" s="8" t="str">
        <f>"5219"</f>
        <v>5219</v>
      </c>
      <c r="B367" s="8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C367" s="8" t="str">
        <f>""</f>
        <v/>
      </c>
      <c r="D367" s="8" t="str">
        <f>""</f>
        <v/>
      </c>
      <c r="E367" s="8" t="str">
        <f>""</f>
        <v/>
      </c>
      <c r="F367" s="9">
        <v>11335906.51</v>
      </c>
    </row>
    <row r="368" spans="1:6" x14ac:dyDescent="0.25">
      <c r="A368" s="8" t="str">
        <f>"5220"</f>
        <v>5220</v>
      </c>
      <c r="B368" s="8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C368" s="8" t="str">
        <f>""</f>
        <v/>
      </c>
      <c r="D368" s="8" t="str">
        <f>""</f>
        <v/>
      </c>
      <c r="E368" s="8" t="str">
        <f>""</f>
        <v/>
      </c>
      <c r="F368" s="9">
        <v>37663105.939999998</v>
      </c>
    </row>
    <row r="369" spans="1:6" x14ac:dyDescent="0.25">
      <c r="A369" s="8" t="str">
        <f>"5223"</f>
        <v>5223</v>
      </c>
      <c r="B369" s="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C369" s="8" t="str">
        <f>""</f>
        <v/>
      </c>
      <c r="D369" s="8" t="str">
        <f>""</f>
        <v/>
      </c>
      <c r="E369" s="8" t="str">
        <f>""</f>
        <v/>
      </c>
      <c r="F369" s="9">
        <v>35163738.149999999</v>
      </c>
    </row>
    <row r="370" spans="1:6" x14ac:dyDescent="0.25">
      <c r="A370" s="8" t="str">
        <f>"5227"</f>
        <v>5227</v>
      </c>
      <c r="B370" s="8" t="str">
        <f>"Процентные расходы по обязательствам по аренде"</f>
        <v>Процентные расходы по обязательствам по аренде</v>
      </c>
      <c r="C370" s="8" t="str">
        <f>""</f>
        <v/>
      </c>
      <c r="D370" s="8" t="str">
        <f>""</f>
        <v/>
      </c>
      <c r="E370" s="8" t="str">
        <f>""</f>
        <v/>
      </c>
      <c r="F370" s="9">
        <v>95453253.739999995</v>
      </c>
    </row>
    <row r="371" spans="1:6" x14ac:dyDescent="0.25">
      <c r="A371" s="8" t="str">
        <f>"5240"</f>
        <v>5240</v>
      </c>
      <c r="B371" s="8" t="str">
        <f>"Расходы по амортизации премии по займам, предоставленным клиентам"</f>
        <v>Расходы по амортизации премии по займам, предоставленным клиентам</v>
      </c>
      <c r="C371" s="8" t="str">
        <f>""</f>
        <v/>
      </c>
      <c r="D371" s="8" t="str">
        <f>""</f>
        <v/>
      </c>
      <c r="E371" s="8" t="str">
        <f>""</f>
        <v/>
      </c>
      <c r="F371" s="9">
        <v>63667339.789999999</v>
      </c>
    </row>
    <row r="372" spans="1:6" x14ac:dyDescent="0.25">
      <c r="A372" s="8" t="str">
        <f>"5250"</f>
        <v>5250</v>
      </c>
      <c r="B372" s="8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C372" s="8" t="str">
        <f>""</f>
        <v/>
      </c>
      <c r="D372" s="8" t="str">
        <f>""</f>
        <v/>
      </c>
      <c r="E372" s="8" t="str">
        <f>""</f>
        <v/>
      </c>
      <c r="F372" s="9">
        <v>306331738.01999998</v>
      </c>
    </row>
    <row r="373" spans="1:6" x14ac:dyDescent="0.25">
      <c r="A373" s="8" t="str">
        <f>"5301"</f>
        <v>5301</v>
      </c>
      <c r="B373" s="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C373" s="8" t="str">
        <f>""</f>
        <v/>
      </c>
      <c r="D373" s="8" t="str">
        <f>""</f>
        <v/>
      </c>
      <c r="E373" s="8" t="str">
        <f>""</f>
        <v/>
      </c>
      <c r="F373" s="9">
        <v>1291673862.25</v>
      </c>
    </row>
    <row r="374" spans="1:6" x14ac:dyDescent="0.25">
      <c r="A374" s="8" t="str">
        <f>"5303"</f>
        <v>5303</v>
      </c>
      <c r="B374" s="8" t="str">
        <f>"Расходы, связанные с выплатой вознаграждения по выпущенным в обращение прочим ценным бумагам"</f>
        <v>Расходы, связанные с выплатой вознаграждения по выпущенным в обращение прочим ценным бумагам</v>
      </c>
      <c r="C374" s="8" t="str">
        <f>""</f>
        <v/>
      </c>
      <c r="D374" s="8" t="str">
        <f>""</f>
        <v/>
      </c>
      <c r="E374" s="8" t="str">
        <f>""</f>
        <v/>
      </c>
      <c r="F374" s="9">
        <v>36347859.609999999</v>
      </c>
    </row>
    <row r="375" spans="1:6" x14ac:dyDescent="0.25">
      <c r="A375" s="8" t="str">
        <f>"5307"</f>
        <v>5307</v>
      </c>
      <c r="B375" s="8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C375" s="8" t="str">
        <f>""</f>
        <v/>
      </c>
      <c r="D375" s="8" t="str">
        <f>""</f>
        <v/>
      </c>
      <c r="E375" s="8" t="str">
        <f>""</f>
        <v/>
      </c>
      <c r="F375" s="9">
        <v>260214454.96000001</v>
      </c>
    </row>
    <row r="376" spans="1:6" x14ac:dyDescent="0.25">
      <c r="A376" s="8" t="str">
        <f>"5309"</f>
        <v>5309</v>
      </c>
      <c r="B376" s="8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C376" s="8" t="str">
        <f>""</f>
        <v/>
      </c>
      <c r="D376" s="8" t="str">
        <f>""</f>
        <v/>
      </c>
      <c r="E376" s="8" t="str">
        <f>""</f>
        <v/>
      </c>
      <c r="F376" s="9">
        <v>11906498</v>
      </c>
    </row>
    <row r="377" spans="1:6" x14ac:dyDescent="0.25">
      <c r="A377" s="8" t="str">
        <f>"5402"</f>
        <v>5402</v>
      </c>
      <c r="B377" s="8" t="str">
        <f>"Расходы, связанные с выплатой вознаграждения по субординированному долгу со сроком погашения более пяти лет"</f>
        <v>Расходы, связанные с выплатой вознаграждения по субординированному долгу со сроком погашения более пяти лет</v>
      </c>
      <c r="C377" s="8" t="str">
        <f>""</f>
        <v/>
      </c>
      <c r="D377" s="8" t="str">
        <f>""</f>
        <v/>
      </c>
      <c r="E377" s="8" t="str">
        <f>""</f>
        <v/>
      </c>
      <c r="F377" s="9">
        <v>402594982.05000001</v>
      </c>
    </row>
    <row r="378" spans="1:6" x14ac:dyDescent="0.25">
      <c r="A378" s="8" t="str">
        <f>"5451"</f>
        <v>5451</v>
      </c>
      <c r="B378" s="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C378" s="8" t="str">
        <f>""</f>
        <v/>
      </c>
      <c r="D378" s="8" t="str">
        <f>""</f>
        <v/>
      </c>
      <c r="E378" s="8" t="str">
        <f>""</f>
        <v/>
      </c>
      <c r="F378" s="9">
        <v>63924554.799999997</v>
      </c>
    </row>
    <row r="379" spans="1:6" x14ac:dyDescent="0.25">
      <c r="A379" s="8" t="str">
        <f>"5452"</f>
        <v>5452</v>
      </c>
      <c r="B379" s="8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C379" s="8" t="str">
        <f>""</f>
        <v/>
      </c>
      <c r="D379" s="8" t="str">
        <f>""</f>
        <v/>
      </c>
      <c r="E379" s="8" t="str">
        <f>""</f>
        <v/>
      </c>
      <c r="F379" s="9">
        <v>1764019.18</v>
      </c>
    </row>
    <row r="380" spans="1:6" x14ac:dyDescent="0.25">
      <c r="A380" s="8" t="str">
        <f>"5453"</f>
        <v>5453</v>
      </c>
      <c r="B380" s="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C380" s="8" t="str">
        <f>""</f>
        <v/>
      </c>
      <c r="D380" s="8" t="str">
        <f>""</f>
        <v/>
      </c>
      <c r="E380" s="8" t="str">
        <f>""</f>
        <v/>
      </c>
      <c r="F380" s="9">
        <v>69512051.390000001</v>
      </c>
    </row>
    <row r="381" spans="1:6" x14ac:dyDescent="0.25">
      <c r="A381" s="8" t="str">
        <f>"5455"</f>
        <v>5455</v>
      </c>
      <c r="B381" s="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C381" s="8" t="str">
        <f>""</f>
        <v/>
      </c>
      <c r="D381" s="8" t="str">
        <f>""</f>
        <v/>
      </c>
      <c r="E381" s="8" t="str">
        <f>""</f>
        <v/>
      </c>
      <c r="F381" s="9">
        <v>3897565061.1799998</v>
      </c>
    </row>
    <row r="382" spans="1:6" x14ac:dyDescent="0.25">
      <c r="A382" s="8" t="str">
        <f>"5456"</f>
        <v>5456</v>
      </c>
      <c r="B382" s="8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C382" s="8" t="str">
        <f>""</f>
        <v/>
      </c>
      <c r="D382" s="8" t="str">
        <f>""</f>
        <v/>
      </c>
      <c r="E382" s="8" t="str">
        <f>""</f>
        <v/>
      </c>
      <c r="F382" s="9">
        <v>359717.36</v>
      </c>
    </row>
    <row r="383" spans="1:6" x14ac:dyDescent="0.25">
      <c r="A383" s="8" t="str">
        <f>"5457"</f>
        <v>5457</v>
      </c>
      <c r="B383" s="8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C383" s="8" t="str">
        <f>""</f>
        <v/>
      </c>
      <c r="D383" s="8" t="str">
        <f>""</f>
        <v/>
      </c>
      <c r="E383" s="8" t="str">
        <f>""</f>
        <v/>
      </c>
      <c r="F383" s="9">
        <v>17299379.789999999</v>
      </c>
    </row>
    <row r="384" spans="1:6" x14ac:dyDescent="0.25">
      <c r="A384" s="8" t="str">
        <f>"5461"</f>
        <v>5461</v>
      </c>
      <c r="B384" s="8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C384" s="8" t="str">
        <f>""</f>
        <v/>
      </c>
      <c r="D384" s="8" t="str">
        <f>""</f>
        <v/>
      </c>
      <c r="E384" s="8" t="str">
        <f>""</f>
        <v/>
      </c>
      <c r="F384" s="9">
        <v>483769.76</v>
      </c>
    </row>
    <row r="385" spans="1:6" x14ac:dyDescent="0.25">
      <c r="A385" s="8" t="str">
        <f>"5465"</f>
        <v>5465</v>
      </c>
      <c r="B385" s="8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C385" s="8" t="str">
        <f>""</f>
        <v/>
      </c>
      <c r="D385" s="8" t="str">
        <f>""</f>
        <v/>
      </c>
      <c r="E385" s="8" t="str">
        <f>""</f>
        <v/>
      </c>
      <c r="F385" s="9">
        <v>34898484.270000003</v>
      </c>
    </row>
    <row r="386" spans="1:6" x14ac:dyDescent="0.25">
      <c r="A386" s="8" t="str">
        <f>"5469"</f>
        <v>5469</v>
      </c>
      <c r="B386" s="8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C386" s="8" t="str">
        <f>""</f>
        <v/>
      </c>
      <c r="D386" s="8" t="str">
        <f>""</f>
        <v/>
      </c>
      <c r="E386" s="8" t="str">
        <f>""</f>
        <v/>
      </c>
      <c r="F386" s="9">
        <v>727810.56000000006</v>
      </c>
    </row>
    <row r="387" spans="1:6" x14ac:dyDescent="0.25">
      <c r="A387" s="8" t="str">
        <f>"5510"</f>
        <v>5510</v>
      </c>
      <c r="B387" s="8" t="str">
        <f>"Расходы по купле-продаже ценных бумаг"</f>
        <v>Расходы по купле-продаже ценных бумаг</v>
      </c>
      <c r="C387" s="8" t="str">
        <f>""</f>
        <v/>
      </c>
      <c r="D387" s="8" t="str">
        <f>""</f>
        <v/>
      </c>
      <c r="E387" s="8" t="str">
        <f>""</f>
        <v/>
      </c>
      <c r="F387" s="9">
        <v>108804400</v>
      </c>
    </row>
    <row r="388" spans="1:6" x14ac:dyDescent="0.25">
      <c r="A388" s="8" t="str">
        <f>"5530"</f>
        <v>5530</v>
      </c>
      <c r="B388" s="8" t="str">
        <f>"Расходы по купле-продаже иностранной валюты"</f>
        <v>Расходы по купле-продаже иностранной валюты</v>
      </c>
      <c r="C388" s="8" t="str">
        <f>""</f>
        <v/>
      </c>
      <c r="D388" s="8" t="str">
        <f>""</f>
        <v/>
      </c>
      <c r="E388" s="8" t="str">
        <f>""</f>
        <v/>
      </c>
      <c r="F388" s="9">
        <v>6990819166.8400002</v>
      </c>
    </row>
    <row r="389" spans="1:6" x14ac:dyDescent="0.25">
      <c r="A389" s="8" t="str">
        <f>"5601"</f>
        <v>5601</v>
      </c>
      <c r="B389" s="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C389" s="8" t="str">
        <f>""</f>
        <v/>
      </c>
      <c r="D389" s="8" t="str">
        <f>""</f>
        <v/>
      </c>
      <c r="E389" s="8" t="str">
        <f>""</f>
        <v/>
      </c>
      <c r="F389" s="9">
        <v>50559612.399999999</v>
      </c>
    </row>
    <row r="390" spans="1:6" x14ac:dyDescent="0.25">
      <c r="A390" s="8" t="str">
        <f>"5602"</f>
        <v>5602</v>
      </c>
      <c r="B390" s="8" t="str">
        <f>"Комиссионные расходы по полученным агентским услугам"</f>
        <v>Комиссионные расходы по полученным агентским услугам</v>
      </c>
      <c r="C390" s="8" t="str">
        <f>""</f>
        <v/>
      </c>
      <c r="D390" s="8" t="str">
        <f>""</f>
        <v/>
      </c>
      <c r="E390" s="8" t="str">
        <f>""</f>
        <v/>
      </c>
      <c r="F390" s="9">
        <v>115265142.48</v>
      </c>
    </row>
    <row r="391" spans="1:6" x14ac:dyDescent="0.25">
      <c r="A391" s="8" t="str">
        <f>"5608"</f>
        <v>5608</v>
      </c>
      <c r="B391" s="8" t="str">
        <f>"Прочие комиссионные расходы"</f>
        <v>Прочие комиссионные расходы</v>
      </c>
      <c r="C391" s="8" t="str">
        <f>""</f>
        <v/>
      </c>
      <c r="D391" s="8" t="str">
        <f>""</f>
        <v/>
      </c>
      <c r="E391" s="8" t="str">
        <f>""</f>
        <v/>
      </c>
      <c r="F391" s="9">
        <v>155913434.81</v>
      </c>
    </row>
    <row r="392" spans="1:6" x14ac:dyDescent="0.25">
      <c r="A392" s="8" t="str">
        <f>"5609"</f>
        <v>5609</v>
      </c>
      <c r="B392" s="8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C392" s="8" t="str">
        <f>""</f>
        <v/>
      </c>
      <c r="D392" s="8" t="str">
        <f>""</f>
        <v/>
      </c>
      <c r="E392" s="8" t="str">
        <f>""</f>
        <v/>
      </c>
      <c r="F392" s="9">
        <v>26369713.59</v>
      </c>
    </row>
    <row r="393" spans="1:6" x14ac:dyDescent="0.25">
      <c r="A393" s="8" t="str">
        <f>"5703"</f>
        <v>5703</v>
      </c>
      <c r="B393" s="8" t="str">
        <f>"Расходы от переоценки иностранной валюты"</f>
        <v>Расходы от переоценки иностранной валюты</v>
      </c>
      <c r="C393" s="8" t="str">
        <f>""</f>
        <v/>
      </c>
      <c r="D393" s="8" t="str">
        <f>""</f>
        <v/>
      </c>
      <c r="E393" s="8" t="str">
        <f>""</f>
        <v/>
      </c>
      <c r="F393" s="9">
        <v>2197747294071.49</v>
      </c>
    </row>
    <row r="394" spans="1:6" x14ac:dyDescent="0.25">
      <c r="A394" s="8" t="str">
        <f>"5709"</f>
        <v>5709</v>
      </c>
      <c r="B394" s="8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C394" s="8" t="str">
        <f>""</f>
        <v/>
      </c>
      <c r="D394" s="8" t="str">
        <f>""</f>
        <v/>
      </c>
      <c r="E394" s="8" t="str">
        <f>""</f>
        <v/>
      </c>
      <c r="F394" s="9">
        <v>117575488.94</v>
      </c>
    </row>
    <row r="395" spans="1:6" x14ac:dyDescent="0.25">
      <c r="A395" s="8" t="str">
        <f>"5721"</f>
        <v>5721</v>
      </c>
      <c r="B395" s="8" t="str">
        <f>"Расходы по оплате труда"</f>
        <v>Расходы по оплате труда</v>
      </c>
      <c r="C395" s="8" t="str">
        <f>""</f>
        <v/>
      </c>
      <c r="D395" s="8" t="str">
        <f>""</f>
        <v/>
      </c>
      <c r="E395" s="8" t="str">
        <f>""</f>
        <v/>
      </c>
      <c r="F395" s="9">
        <v>3773377826.7600002</v>
      </c>
    </row>
    <row r="396" spans="1:6" x14ac:dyDescent="0.25">
      <c r="A396" s="8" t="str">
        <f>"5722"</f>
        <v>5722</v>
      </c>
      <c r="B396" s="8" t="str">
        <f>"Социальные отчисления"</f>
        <v>Социальные отчисления</v>
      </c>
      <c r="C396" s="8" t="str">
        <f>""</f>
        <v/>
      </c>
      <c r="D396" s="8" t="str">
        <f>""</f>
        <v/>
      </c>
      <c r="E396" s="8" t="str">
        <f>""</f>
        <v/>
      </c>
      <c r="F396" s="9">
        <v>136409347</v>
      </c>
    </row>
    <row r="397" spans="1:6" x14ac:dyDescent="0.25">
      <c r="A397" s="8" t="str">
        <f>"5729"</f>
        <v>5729</v>
      </c>
      <c r="B397" s="8" t="str">
        <f>"Прочие выплаты"</f>
        <v>Прочие выплаты</v>
      </c>
      <c r="C397" s="8" t="str">
        <f>""</f>
        <v/>
      </c>
      <c r="D397" s="8" t="str">
        <f>""</f>
        <v/>
      </c>
      <c r="E397" s="8" t="str">
        <f>""</f>
        <v/>
      </c>
      <c r="F397" s="9">
        <v>590644877.01999998</v>
      </c>
    </row>
    <row r="398" spans="1:6" x14ac:dyDescent="0.25">
      <c r="A398" s="8" t="str">
        <f>"5741"</f>
        <v>5741</v>
      </c>
      <c r="B398" s="8" t="str">
        <f>"Транспортные расходы"</f>
        <v>Транспортные расходы</v>
      </c>
      <c r="C398" s="8" t="str">
        <f>""</f>
        <v/>
      </c>
      <c r="D398" s="8" t="str">
        <f>""</f>
        <v/>
      </c>
      <c r="E398" s="8" t="str">
        <f>""</f>
        <v/>
      </c>
      <c r="F398" s="9">
        <v>39204099.880000003</v>
      </c>
    </row>
    <row r="399" spans="1:6" x14ac:dyDescent="0.25">
      <c r="A399" s="8" t="str">
        <f>"5742"</f>
        <v>5742</v>
      </c>
      <c r="B399" s="8" t="str">
        <f>"Административные расходы"</f>
        <v>Административные расходы</v>
      </c>
      <c r="C399" s="8" t="str">
        <f>""</f>
        <v/>
      </c>
      <c r="D399" s="8" t="str">
        <f>""</f>
        <v/>
      </c>
      <c r="E399" s="8" t="str">
        <f>""</f>
        <v/>
      </c>
      <c r="F399" s="9">
        <v>738549009.94000006</v>
      </c>
    </row>
    <row r="400" spans="1:6" x14ac:dyDescent="0.25">
      <c r="A400" s="8" t="str">
        <f>"5743"</f>
        <v>5743</v>
      </c>
      <c r="B400" s="8" t="str">
        <f>"Расходы на инкассацию"</f>
        <v>Расходы на инкассацию</v>
      </c>
      <c r="C400" s="8" t="str">
        <f>""</f>
        <v/>
      </c>
      <c r="D400" s="8" t="str">
        <f>""</f>
        <v/>
      </c>
      <c r="E400" s="8" t="str">
        <f>""</f>
        <v/>
      </c>
      <c r="F400" s="9">
        <v>30699835.510000002</v>
      </c>
    </row>
    <row r="401" spans="1:6" x14ac:dyDescent="0.25">
      <c r="A401" s="8" t="str">
        <f>"5744"</f>
        <v>5744</v>
      </c>
      <c r="B401" s="8" t="str">
        <f>"Расходы на ремонт"</f>
        <v>Расходы на ремонт</v>
      </c>
      <c r="C401" s="8" t="str">
        <f>""</f>
        <v/>
      </c>
      <c r="D401" s="8" t="str">
        <f>""</f>
        <v/>
      </c>
      <c r="E401" s="8" t="str">
        <f>""</f>
        <v/>
      </c>
      <c r="F401" s="9">
        <v>5074954</v>
      </c>
    </row>
    <row r="402" spans="1:6" x14ac:dyDescent="0.25">
      <c r="A402" s="8" t="str">
        <f>"5745"</f>
        <v>5745</v>
      </c>
      <c r="B402" s="8" t="str">
        <f>"Расходы на рекламу"</f>
        <v>Расходы на рекламу</v>
      </c>
      <c r="C402" s="8" t="str">
        <f>""</f>
        <v/>
      </c>
      <c r="D402" s="8" t="str">
        <f>""</f>
        <v/>
      </c>
      <c r="E402" s="8" t="str">
        <f>""</f>
        <v/>
      </c>
      <c r="F402" s="9">
        <v>54285890.079999998</v>
      </c>
    </row>
    <row r="403" spans="1:6" x14ac:dyDescent="0.25">
      <c r="A403" s="8" t="str">
        <f>"5746"</f>
        <v>5746</v>
      </c>
      <c r="B403" s="8" t="str">
        <f>"Расходы на охрану и сигнализацию"</f>
        <v>Расходы на охрану и сигнализацию</v>
      </c>
      <c r="C403" s="8" t="str">
        <f>""</f>
        <v/>
      </c>
      <c r="D403" s="8" t="str">
        <f>""</f>
        <v/>
      </c>
      <c r="E403" s="8" t="str">
        <f>""</f>
        <v/>
      </c>
      <c r="F403" s="9">
        <v>106162677.98999999</v>
      </c>
    </row>
    <row r="404" spans="1:6" x14ac:dyDescent="0.25">
      <c r="A404" s="8" t="str">
        <f>"5747"</f>
        <v>5747</v>
      </c>
      <c r="B404" s="8" t="str">
        <f>"Представительские расходы"</f>
        <v>Представительские расходы</v>
      </c>
      <c r="C404" s="8" t="str">
        <f>""</f>
        <v/>
      </c>
      <c r="D404" s="8" t="str">
        <f>""</f>
        <v/>
      </c>
      <c r="E404" s="8" t="str">
        <f>""</f>
        <v/>
      </c>
      <c r="F404" s="9">
        <v>7607905.0700000003</v>
      </c>
    </row>
    <row r="405" spans="1:6" x14ac:dyDescent="0.25">
      <c r="A405" s="8" t="str">
        <f>"5748"</f>
        <v>5748</v>
      </c>
      <c r="B405" s="8" t="str">
        <f>"Прочие общехозяйственные расходы"</f>
        <v>Прочие общехозяйственные расходы</v>
      </c>
      <c r="C405" s="8" t="str">
        <f>""</f>
        <v/>
      </c>
      <c r="D405" s="8" t="str">
        <f>""</f>
        <v/>
      </c>
      <c r="E405" s="8" t="str">
        <f>""</f>
        <v/>
      </c>
      <c r="F405" s="9">
        <v>68186573.939999998</v>
      </c>
    </row>
    <row r="406" spans="1:6" x14ac:dyDescent="0.25">
      <c r="A406" s="8" t="str">
        <f>"5749"</f>
        <v>5749</v>
      </c>
      <c r="B406" s="8" t="str">
        <f>"Расходы на служебные командировки"</f>
        <v>Расходы на служебные командировки</v>
      </c>
      <c r="C406" s="8" t="str">
        <f>""</f>
        <v/>
      </c>
      <c r="D406" s="8" t="str">
        <f>""</f>
        <v/>
      </c>
      <c r="E406" s="8" t="str">
        <f>""</f>
        <v/>
      </c>
      <c r="F406" s="9">
        <v>51091873.25</v>
      </c>
    </row>
    <row r="407" spans="1:6" x14ac:dyDescent="0.25">
      <c r="A407" s="8" t="str">
        <f>"5750"</f>
        <v>5750</v>
      </c>
      <c r="B407" s="8" t="str">
        <f>"Расходы по аудиту и консультационным услугам"</f>
        <v>Расходы по аудиту и консультационным услугам</v>
      </c>
      <c r="C407" s="8" t="str">
        <f>""</f>
        <v/>
      </c>
      <c r="D407" s="8" t="str">
        <f>""</f>
        <v/>
      </c>
      <c r="E407" s="8" t="str">
        <f>""</f>
        <v/>
      </c>
      <c r="F407" s="9">
        <v>65529488.68</v>
      </c>
    </row>
    <row r="408" spans="1:6" x14ac:dyDescent="0.25">
      <c r="A408" s="8" t="str">
        <f>"5752"</f>
        <v>5752</v>
      </c>
      <c r="B408" s="8" t="str">
        <f>"Расходы по страхованию"</f>
        <v>Расходы по страхованию</v>
      </c>
      <c r="C408" s="8" t="str">
        <f>""</f>
        <v/>
      </c>
      <c r="D408" s="8" t="str">
        <f>""</f>
        <v/>
      </c>
      <c r="E408" s="8" t="str">
        <f>""</f>
        <v/>
      </c>
      <c r="F408" s="9">
        <v>10116914.67</v>
      </c>
    </row>
    <row r="409" spans="1:6" x14ac:dyDescent="0.25">
      <c r="A409" s="8" t="str">
        <f>"5753"</f>
        <v>5753</v>
      </c>
      <c r="B409" s="8" t="str">
        <f>"Расходы по услугам связи"</f>
        <v>Расходы по услугам связи</v>
      </c>
      <c r="C409" s="8" t="str">
        <f>""</f>
        <v/>
      </c>
      <c r="D409" s="8" t="str">
        <f>""</f>
        <v/>
      </c>
      <c r="E409" s="8" t="str">
        <f>""</f>
        <v/>
      </c>
      <c r="F409" s="9">
        <v>172936700.62</v>
      </c>
    </row>
    <row r="410" spans="1:6" x14ac:dyDescent="0.25">
      <c r="A410" s="8" t="str">
        <f>"5754"</f>
        <v>5754</v>
      </c>
      <c r="B410" s="8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C410" s="8" t="str">
        <f>""</f>
        <v/>
      </c>
      <c r="D410" s="8" t="str">
        <f>""</f>
        <v/>
      </c>
      <c r="E410" s="8" t="str">
        <f>""</f>
        <v/>
      </c>
      <c r="F410" s="9">
        <v>85220844.569999993</v>
      </c>
    </row>
    <row r="411" spans="1:6" x14ac:dyDescent="0.25">
      <c r="A411" s="8" t="str">
        <f>"5761"</f>
        <v>5761</v>
      </c>
      <c r="B411" s="8" t="str">
        <f>"Налог на добавленную стоимость"</f>
        <v>Налог на добавленную стоимость</v>
      </c>
      <c r="C411" s="8" t="str">
        <f>""</f>
        <v/>
      </c>
      <c r="D411" s="8" t="str">
        <f>""</f>
        <v/>
      </c>
      <c r="E411" s="8" t="str">
        <f>""</f>
        <v/>
      </c>
      <c r="F411" s="9">
        <v>32309396.719999999</v>
      </c>
    </row>
    <row r="412" spans="1:6" x14ac:dyDescent="0.25">
      <c r="A412" s="8" t="str">
        <f>"5763"</f>
        <v>5763</v>
      </c>
      <c r="B412" s="8" t="str">
        <f>"Социальный налог"</f>
        <v>Социальный налог</v>
      </c>
      <c r="C412" s="8" t="str">
        <f>""</f>
        <v/>
      </c>
      <c r="D412" s="8" t="str">
        <f>""</f>
        <v/>
      </c>
      <c r="E412" s="8" t="str">
        <f>""</f>
        <v/>
      </c>
      <c r="F412" s="9">
        <v>286579831.11000001</v>
      </c>
    </row>
    <row r="413" spans="1:6" x14ac:dyDescent="0.25">
      <c r="A413" s="8" t="str">
        <f>"5764"</f>
        <v>5764</v>
      </c>
      <c r="B413" s="8" t="str">
        <f>"Земельный налог"</f>
        <v>Земельный налог</v>
      </c>
      <c r="C413" s="8" t="str">
        <f>""</f>
        <v/>
      </c>
      <c r="D413" s="8" t="str">
        <f>""</f>
        <v/>
      </c>
      <c r="E413" s="8" t="str">
        <f>""</f>
        <v/>
      </c>
      <c r="F413" s="9">
        <v>120936</v>
      </c>
    </row>
    <row r="414" spans="1:6" x14ac:dyDescent="0.25">
      <c r="A414" s="8" t="str">
        <f>"5765"</f>
        <v>5765</v>
      </c>
      <c r="B414" s="8" t="str">
        <f>"Налог на имущество юридических лиц"</f>
        <v>Налог на имущество юридических лиц</v>
      </c>
      <c r="C414" s="8" t="str">
        <f>""</f>
        <v/>
      </c>
      <c r="D414" s="8" t="str">
        <f>""</f>
        <v/>
      </c>
      <c r="E414" s="8" t="str">
        <f>""</f>
        <v/>
      </c>
      <c r="F414" s="9">
        <v>8500444</v>
      </c>
    </row>
    <row r="415" spans="1:6" x14ac:dyDescent="0.25">
      <c r="A415" s="8" t="str">
        <f>"5768"</f>
        <v>5768</v>
      </c>
      <c r="B415" s="8" t="str">
        <f>"Прочие налоги и обязательные платежи в бюджет"</f>
        <v>Прочие налоги и обязательные платежи в бюджет</v>
      </c>
      <c r="C415" s="8" t="str">
        <f>""</f>
        <v/>
      </c>
      <c r="D415" s="8" t="str">
        <f>""</f>
        <v/>
      </c>
      <c r="E415" s="8" t="str">
        <f>""</f>
        <v/>
      </c>
      <c r="F415" s="9">
        <v>1179359.24</v>
      </c>
    </row>
    <row r="416" spans="1:6" x14ac:dyDescent="0.25">
      <c r="A416" s="8" t="str">
        <f>"5781"</f>
        <v>5781</v>
      </c>
      <c r="B416" s="8" t="str">
        <f>"Расходы по амортизации зданий и сооружений"</f>
        <v>Расходы по амортизации зданий и сооружений</v>
      </c>
      <c r="C416" s="8" t="str">
        <f>""</f>
        <v/>
      </c>
      <c r="D416" s="8" t="str">
        <f>""</f>
        <v/>
      </c>
      <c r="E416" s="8" t="str">
        <f>""</f>
        <v/>
      </c>
      <c r="F416" s="9">
        <v>5277307.26</v>
      </c>
    </row>
    <row r="417" spans="1:6" x14ac:dyDescent="0.25">
      <c r="A417" s="8" t="str">
        <f>"5782"</f>
        <v>5782</v>
      </c>
      <c r="B417" s="8" t="str">
        <f>"Расходы по амортизации компьютерного оборудования"</f>
        <v>Расходы по амортизации компьютерного оборудования</v>
      </c>
      <c r="C417" s="8" t="str">
        <f>""</f>
        <v/>
      </c>
      <c r="D417" s="8" t="str">
        <f>""</f>
        <v/>
      </c>
      <c r="E417" s="8" t="str">
        <f>""</f>
        <v/>
      </c>
      <c r="F417" s="9">
        <v>90841362.480000004</v>
      </c>
    </row>
    <row r="418" spans="1:6" x14ac:dyDescent="0.25">
      <c r="A418" s="8" t="str">
        <f>"5783"</f>
        <v>5783</v>
      </c>
      <c r="B418" s="8" t="str">
        <f>"Расходы по амортизации прочих основных средств"</f>
        <v>Расходы по амортизации прочих основных средств</v>
      </c>
      <c r="C418" s="8" t="str">
        <f>""</f>
        <v/>
      </c>
      <c r="D418" s="8" t="str">
        <f>""</f>
        <v/>
      </c>
      <c r="E418" s="8" t="str">
        <f>""</f>
        <v/>
      </c>
      <c r="F418" s="9">
        <v>132622434.13</v>
      </c>
    </row>
    <row r="419" spans="1:6" x14ac:dyDescent="0.25">
      <c r="A419" s="8" t="str">
        <f>"5784"</f>
        <v>5784</v>
      </c>
      <c r="B419" s="8" t="str">
        <f>"Расходы по амортизации активов в форме права пользования"</f>
        <v>Расходы по амортизации активов в форме права пользования</v>
      </c>
      <c r="C419" s="8" t="str">
        <f>""</f>
        <v/>
      </c>
      <c r="D419" s="8" t="str">
        <f>""</f>
        <v/>
      </c>
      <c r="E419" s="8" t="str">
        <f>""</f>
        <v/>
      </c>
      <c r="F419" s="9">
        <v>159054006.65000001</v>
      </c>
    </row>
    <row r="420" spans="1:6" x14ac:dyDescent="0.25">
      <c r="A420" s="8" t="str">
        <f>"5786"</f>
        <v>5786</v>
      </c>
      <c r="B420" s="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C420" s="8" t="str">
        <f>""</f>
        <v/>
      </c>
      <c r="D420" s="8" t="str">
        <f>""</f>
        <v/>
      </c>
      <c r="E420" s="8" t="str">
        <f>""</f>
        <v/>
      </c>
      <c r="F420" s="9">
        <v>48398168.719999999</v>
      </c>
    </row>
    <row r="421" spans="1:6" x14ac:dyDescent="0.25">
      <c r="A421" s="8" t="str">
        <f>"5787"</f>
        <v>5787</v>
      </c>
      <c r="B421" s="8" t="str">
        <f>"Расходы по амортизации транспортных средств"</f>
        <v>Расходы по амортизации транспортных средств</v>
      </c>
      <c r="C421" s="8" t="str">
        <f>""</f>
        <v/>
      </c>
      <c r="D421" s="8" t="str">
        <f>""</f>
        <v/>
      </c>
      <c r="E421" s="8" t="str">
        <f>""</f>
        <v/>
      </c>
      <c r="F421" s="9">
        <v>2463978.1800000002</v>
      </c>
    </row>
    <row r="422" spans="1:6" x14ac:dyDescent="0.25">
      <c r="A422" s="8" t="str">
        <f>"5788"</f>
        <v>5788</v>
      </c>
      <c r="B422" s="8" t="str">
        <f>"Расходы по амортизации нематериальных активов"</f>
        <v>Расходы по амортизации нематериальных активов</v>
      </c>
      <c r="C422" s="8" t="str">
        <f>""</f>
        <v/>
      </c>
      <c r="D422" s="8" t="str">
        <f>""</f>
        <v/>
      </c>
      <c r="E422" s="8" t="str">
        <f>""</f>
        <v/>
      </c>
      <c r="F422" s="9">
        <v>173175385.84</v>
      </c>
    </row>
    <row r="423" spans="1:6" x14ac:dyDescent="0.25">
      <c r="A423" s="8" t="str">
        <f>"5857"</f>
        <v>5857</v>
      </c>
      <c r="B423" s="8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C423" s="8" t="str">
        <f>""</f>
        <v/>
      </c>
      <c r="D423" s="8" t="str">
        <f>""</f>
        <v/>
      </c>
      <c r="E423" s="8" t="str">
        <f>""</f>
        <v/>
      </c>
      <c r="F423" s="9">
        <v>73172044</v>
      </c>
    </row>
    <row r="424" spans="1:6" x14ac:dyDescent="0.25">
      <c r="A424" s="8" t="str">
        <f>"5892"</f>
        <v>5892</v>
      </c>
      <c r="B424" s="8" t="str">
        <f>"Расходы по операциям форвард"</f>
        <v>Расходы по операциям форвард</v>
      </c>
      <c r="C424" s="8" t="str">
        <f>""</f>
        <v/>
      </c>
      <c r="D424" s="8" t="str">
        <f>""</f>
        <v/>
      </c>
      <c r="E424" s="8" t="str">
        <f>""</f>
        <v/>
      </c>
      <c r="F424" s="9">
        <v>106513006.43000001</v>
      </c>
    </row>
    <row r="425" spans="1:6" x14ac:dyDescent="0.25">
      <c r="A425" s="8" t="str">
        <f>"5895"</f>
        <v>5895</v>
      </c>
      <c r="B425" s="8" t="str">
        <f>"Расходы по операциям своп"</f>
        <v>Расходы по операциям своп</v>
      </c>
      <c r="C425" s="8" t="str">
        <f>""</f>
        <v/>
      </c>
      <c r="D425" s="8" t="str">
        <f>""</f>
        <v/>
      </c>
      <c r="E425" s="8" t="str">
        <f>""</f>
        <v/>
      </c>
      <c r="F425" s="9">
        <v>69443569784.759995</v>
      </c>
    </row>
    <row r="426" spans="1:6" x14ac:dyDescent="0.25">
      <c r="A426" s="8" t="str">
        <f>"5900"</f>
        <v>5900</v>
      </c>
      <c r="B426" s="8" t="str">
        <f>"Неустойка (штраф, пеня)"</f>
        <v>Неустойка (штраф, пеня)</v>
      </c>
      <c r="C426" s="8" t="str">
        <f>""</f>
        <v/>
      </c>
      <c r="D426" s="8" t="str">
        <f>""</f>
        <v/>
      </c>
      <c r="E426" s="8" t="str">
        <f>""</f>
        <v/>
      </c>
      <c r="F426" s="9">
        <v>2472789.65</v>
      </c>
    </row>
    <row r="427" spans="1:6" x14ac:dyDescent="0.25">
      <c r="A427" s="8" t="str">
        <f>"5921"</f>
        <v>5921</v>
      </c>
      <c r="B427" s="8" t="str">
        <f>"Прочие расходы от банковской деятельности"</f>
        <v>Прочие расходы от банковской деятельности</v>
      </c>
      <c r="C427" s="8" t="str">
        <f>""</f>
        <v/>
      </c>
      <c r="D427" s="8" t="str">
        <f>""</f>
        <v/>
      </c>
      <c r="E427" s="8" t="str">
        <f>""</f>
        <v/>
      </c>
      <c r="F427" s="9">
        <v>17462186.210000001</v>
      </c>
    </row>
    <row r="428" spans="1:6" x14ac:dyDescent="0.25">
      <c r="A428" s="8" t="str">
        <f>"5922"</f>
        <v>5922</v>
      </c>
      <c r="B428" s="8" t="str">
        <f>"Прочие расходы от неосновной деятельности"</f>
        <v>Прочие расходы от неосновной деятельности</v>
      </c>
      <c r="C428" s="8" t="str">
        <f>""</f>
        <v/>
      </c>
      <c r="D428" s="8" t="str">
        <f>""</f>
        <v/>
      </c>
      <c r="E428" s="8" t="str">
        <f>""</f>
        <v/>
      </c>
      <c r="F428" s="9">
        <v>26660507.640000001</v>
      </c>
    </row>
    <row r="429" spans="1:6" x14ac:dyDescent="0.25">
      <c r="A429" s="8" t="str">
        <f>"5923"</f>
        <v>5923</v>
      </c>
      <c r="B429" s="8" t="str">
        <f>"Расходы по аренде"</f>
        <v>Расходы по аренде</v>
      </c>
      <c r="C429" s="8" t="str">
        <f>""</f>
        <v/>
      </c>
      <c r="D429" s="8" t="str">
        <f>""</f>
        <v/>
      </c>
      <c r="E429" s="8" t="str">
        <f>""</f>
        <v/>
      </c>
      <c r="F429" s="9">
        <v>190610430.41</v>
      </c>
    </row>
    <row r="430" spans="1:6" x14ac:dyDescent="0.25">
      <c r="A430" s="8" t="str">
        <f>"5999"</f>
        <v>5999</v>
      </c>
      <c r="B430" s="8" t="str">
        <f>"Корпоративный подоходный налог"</f>
        <v>Корпоративный подоходный налог</v>
      </c>
      <c r="C430" s="8" t="str">
        <f>""</f>
        <v/>
      </c>
      <c r="D430" s="8" t="str">
        <f>""</f>
        <v/>
      </c>
      <c r="E430" s="8" t="str">
        <f>""</f>
        <v/>
      </c>
      <c r="F430" s="9">
        <v>-9886007047.7399998</v>
      </c>
    </row>
    <row r="431" spans="1:6" x14ac:dyDescent="0.25">
      <c r="A431" s="8" t="str">
        <f>"6055"</f>
        <v>6055</v>
      </c>
      <c r="B431" s="8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C431" s="8" t="str">
        <f>""</f>
        <v/>
      </c>
      <c r="D431" s="8" t="str">
        <f>""</f>
        <v/>
      </c>
      <c r="E431" s="8" t="str">
        <f>""</f>
        <v/>
      </c>
      <c r="F431" s="9">
        <v>2793482164.4099998</v>
      </c>
    </row>
    <row r="432" spans="1:6" x14ac:dyDescent="0.25">
      <c r="A432" s="8" t="str">
        <f>"6075"</f>
        <v>6075</v>
      </c>
      <c r="B432" s="8" t="str">
        <f>"Возможные требования по принятым гарантиям"</f>
        <v>Возможные требования по принятым гарантиям</v>
      </c>
      <c r="C432" s="8" t="str">
        <f>""</f>
        <v/>
      </c>
      <c r="D432" s="8" t="str">
        <f>""</f>
        <v/>
      </c>
      <c r="E432" s="8" t="str">
        <f>""</f>
        <v/>
      </c>
      <c r="F432" s="9">
        <v>294165190691.23999</v>
      </c>
    </row>
    <row r="433" spans="1:6" x14ac:dyDescent="0.25">
      <c r="A433" s="8" t="str">
        <f>"6126"</f>
        <v>6126</v>
      </c>
      <c r="B433" s="8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C433" s="8" t="str">
        <f>""</f>
        <v/>
      </c>
      <c r="D433" s="8" t="str">
        <f>""</f>
        <v/>
      </c>
      <c r="E433" s="8" t="str">
        <f>""</f>
        <v/>
      </c>
      <c r="F433" s="9">
        <v>4027068515.6799998</v>
      </c>
    </row>
    <row r="434" spans="1:6" x14ac:dyDescent="0.25">
      <c r="A434" s="8" t="str">
        <f>"6405"</f>
        <v>6405</v>
      </c>
      <c r="B434" s="8" t="str">
        <f>"Условные требования по купле-продаже иностранной валюты"</f>
        <v>Условные требования по купле-продаже иностранной валюты</v>
      </c>
      <c r="C434" s="8" t="str">
        <f>""</f>
        <v/>
      </c>
      <c r="D434" s="8" t="str">
        <f>""</f>
        <v/>
      </c>
      <c r="E434" s="8" t="str">
        <f>""</f>
        <v/>
      </c>
      <c r="F434" s="9">
        <v>34449999631.830002</v>
      </c>
    </row>
    <row r="435" spans="1:6" x14ac:dyDescent="0.25">
      <c r="A435" s="8" t="str">
        <f>"6555"</f>
        <v>6555</v>
      </c>
      <c r="B435" s="8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C435" s="8" t="str">
        <f>""</f>
        <v/>
      </c>
      <c r="D435" s="8" t="str">
        <f>""</f>
        <v/>
      </c>
      <c r="E435" s="8" t="str">
        <f>""</f>
        <v/>
      </c>
      <c r="F435" s="9">
        <v>2793482164.4099998</v>
      </c>
    </row>
    <row r="436" spans="1:6" x14ac:dyDescent="0.25">
      <c r="A436" s="8" t="str">
        <f>"6575"</f>
        <v>6575</v>
      </c>
      <c r="B436" s="8" t="str">
        <f>"Возможное уменьшение требований по принятым гарантиям"</f>
        <v>Возможное уменьшение требований по принятым гарантиям</v>
      </c>
      <c r="C436" s="8" t="str">
        <f>""</f>
        <v/>
      </c>
      <c r="D436" s="8" t="str">
        <f>""</f>
        <v/>
      </c>
      <c r="E436" s="8" t="str">
        <f>""</f>
        <v/>
      </c>
      <c r="F436" s="9">
        <v>294165190691.23999</v>
      </c>
    </row>
    <row r="437" spans="1:6" x14ac:dyDescent="0.25">
      <c r="A437" s="8" t="str">
        <f>"6626"</f>
        <v>6626</v>
      </c>
      <c r="B437" s="8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C437" s="8" t="str">
        <f>""</f>
        <v/>
      </c>
      <c r="D437" s="8" t="str">
        <f>""</f>
        <v/>
      </c>
      <c r="E437" s="8" t="str">
        <f>""</f>
        <v/>
      </c>
      <c r="F437" s="9">
        <v>4027068515.6799998</v>
      </c>
    </row>
    <row r="438" spans="1:6" x14ac:dyDescent="0.25">
      <c r="A438" s="8" t="str">
        <f>"6905"</f>
        <v>6905</v>
      </c>
      <c r="B438" s="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C438" s="8" t="str">
        <f>""</f>
        <v/>
      </c>
      <c r="D438" s="8" t="str">
        <f>""</f>
        <v/>
      </c>
      <c r="E438" s="8" t="str">
        <f>""</f>
        <v/>
      </c>
      <c r="F438" s="9">
        <v>34490158910.400002</v>
      </c>
    </row>
    <row r="439" spans="1:6" x14ac:dyDescent="0.25">
      <c r="A439" s="8" t="str">
        <f>"6999"</f>
        <v>6999</v>
      </c>
      <c r="B439" s="8" t="str">
        <f>"Позиция по сделкам с иностранной валютой"</f>
        <v>Позиция по сделкам с иностранной валютой</v>
      </c>
      <c r="C439" s="8" t="str">
        <f>""</f>
        <v/>
      </c>
      <c r="D439" s="8" t="str">
        <f>""</f>
        <v/>
      </c>
      <c r="E439" s="8" t="str">
        <f>""</f>
        <v/>
      </c>
      <c r="F439" s="9">
        <v>-40159278.57</v>
      </c>
    </row>
    <row r="440" spans="1:6" x14ac:dyDescent="0.25">
      <c r="A440" s="8" t="str">
        <f>"7220"</f>
        <v>7220</v>
      </c>
      <c r="B440" s="8" t="str">
        <f>"Арендованные активы"</f>
        <v>Арендованные активы</v>
      </c>
      <c r="C440" s="8" t="str">
        <f>""</f>
        <v/>
      </c>
      <c r="D440" s="8" t="str">
        <f>""</f>
        <v/>
      </c>
      <c r="E440" s="8" t="str">
        <f>""</f>
        <v/>
      </c>
      <c r="F440" s="9">
        <v>21298219.140000001</v>
      </c>
    </row>
    <row r="441" spans="1:6" x14ac:dyDescent="0.25">
      <c r="A441" s="8" t="str">
        <f>"7250"</f>
        <v>7250</v>
      </c>
      <c r="B441" s="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C441" s="8" t="str">
        <f>""</f>
        <v/>
      </c>
      <c r="D441" s="8" t="str">
        <f>""</f>
        <v/>
      </c>
      <c r="E441" s="8" t="str">
        <f>""</f>
        <v/>
      </c>
      <c r="F441" s="9">
        <v>152014597745.39999</v>
      </c>
    </row>
    <row r="442" spans="1:6" x14ac:dyDescent="0.25">
      <c r="A442" s="8" t="str">
        <f>"7303"</f>
        <v>7303</v>
      </c>
      <c r="B442" s="8" t="str">
        <f>"Платежные документы, не оплаченные в срок"</f>
        <v>Платежные документы, не оплаченные в срок</v>
      </c>
      <c r="C442" s="8" t="str">
        <f>""</f>
        <v/>
      </c>
      <c r="D442" s="8" t="str">
        <f>""</f>
        <v/>
      </c>
      <c r="E442" s="8" t="str">
        <f>""</f>
        <v/>
      </c>
      <c r="F442" s="9">
        <v>499576375072.82001</v>
      </c>
    </row>
    <row r="443" spans="1:6" x14ac:dyDescent="0.25">
      <c r="A443" s="8" t="str">
        <f>"7339"</f>
        <v>7339</v>
      </c>
      <c r="B443" s="8" t="str">
        <f>"Разные ценности и документы"</f>
        <v>Разные ценности и документы</v>
      </c>
      <c r="C443" s="8" t="str">
        <f>""</f>
        <v/>
      </c>
      <c r="D443" s="8" t="str">
        <f>""</f>
        <v/>
      </c>
      <c r="E443" s="8" t="str">
        <f>""</f>
        <v/>
      </c>
      <c r="F443" s="9">
        <v>283139</v>
      </c>
    </row>
    <row r="444" spans="1:6" x14ac:dyDescent="0.25">
      <c r="A444" s="8" t="str">
        <f>"7342"</f>
        <v>7342</v>
      </c>
      <c r="B444" s="8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C444" s="8" t="str">
        <f>""</f>
        <v/>
      </c>
      <c r="D444" s="8" t="str">
        <f>""</f>
        <v/>
      </c>
      <c r="E444" s="8" t="str">
        <f>""</f>
        <v/>
      </c>
      <c r="F444" s="9">
        <v>32016</v>
      </c>
    </row>
  </sheetData>
  <sortState ref="A2:I439">
    <sortCondition ref="A2:A439"/>
    <sortCondition ref="C2:C439"/>
    <sortCondition ref="D2:D439"/>
    <sortCondition ref="E2:E439"/>
  </sortState>
  <mergeCells count="5">
    <mergeCell ref="B1:C1"/>
    <mergeCell ref="E1:F1"/>
    <mergeCell ref="A2:F2"/>
    <mergeCell ref="A3:F3"/>
    <mergeCell ref="A4:F4"/>
  </mergeCell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Клецовская Марианна Николаевна</dc:creator>
  <cp:lastModifiedBy>Ногайбаев Серик Чабденович</cp:lastModifiedBy>
  <dcterms:created xsi:type="dcterms:W3CDTF">2022-07-07T04:02:30Z</dcterms:created>
  <dcterms:modified xsi:type="dcterms:W3CDTF">2022-07-14T09:16:39Z</dcterms:modified>
</cp:coreProperties>
</file>