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kbenkala-my.sharepoint.com/personal/almagul_kurmangaliyeva_benkala_kz/Documents/Рабочий стол/мои документы/ФО/3 кв 2024г/"/>
    </mc:Choice>
  </mc:AlternateContent>
  <xr:revisionPtr revIDLastSave="4" documentId="8_{F21FF46B-3D50-45D2-BD37-3728238E2E74}" xr6:coauthVersionLast="47" xr6:coauthVersionMax="47" xr10:uidLastSave="{C042D645-516D-4E0B-BD34-5B16117CAD5F}"/>
  <bookViews>
    <workbookView xWindow="28680" yWindow="-120" windowWidth="29040" windowHeight="15720" tabRatio="574" activeTab="5" xr2:uid="{7A91306D-1A52-4F02-891D-526B79E580FC}"/>
  </bookViews>
  <sheets>
    <sheet name="ОФП" sheetId="2" r:id="rId1"/>
    <sheet name="ОДР и ПСД" sheetId="1" r:id="rId2"/>
    <sheet name="ОДДС-К" sheetId="3" state="hidden" r:id="rId3"/>
    <sheet name="ОДДС_К" sheetId="5" r:id="rId4"/>
    <sheet name="Ф.3-ДДС-П" sheetId="7" state="hidden" r:id="rId5"/>
    <sheet name="ОИК" sheetId="4" r:id="rId6"/>
    <sheet name="ОС" sheetId="10" state="hidden" r:id="rId7"/>
  </sheets>
  <definedNames>
    <definedName name="_bookmark10" localSheetId="6">ОС!$A$1</definedName>
    <definedName name="_Hlk104297275" localSheetId="6">ОС!$A$16</definedName>
    <definedName name="AS2DocOpenMode" hidden="1">"AS2DocumentEdit"</definedName>
    <definedName name="AS2HasNoAutoHeaderFooter" hidden="1">" "</definedName>
    <definedName name="_xlnm.Print_Area" localSheetId="4">'Ф.3-ДДС-П'!$A$1:$D$97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C39" i="5"/>
  <c r="D35" i="5"/>
  <c r="D30" i="5"/>
  <c r="D24" i="5"/>
  <c r="D20" i="5"/>
  <c r="D14" i="5"/>
  <c r="C35" i="5"/>
  <c r="C30" i="5"/>
  <c r="C24" i="5"/>
  <c r="C14" i="5"/>
  <c r="C20" i="5" s="1"/>
  <c r="D42" i="2" l="1"/>
  <c r="D41" i="2"/>
  <c r="D40" i="2"/>
  <c r="C40" i="2"/>
  <c r="C41" i="2" s="1"/>
  <c r="C42" i="2" s="1"/>
  <c r="D32" i="2"/>
  <c r="C32" i="2"/>
  <c r="D27" i="2"/>
  <c r="C27" i="2"/>
  <c r="D22" i="2"/>
  <c r="D21" i="2"/>
  <c r="C21" i="2"/>
  <c r="C22" i="2" s="1"/>
  <c r="D13" i="2"/>
  <c r="C13" i="2"/>
  <c r="E9" i="4"/>
  <c r="C10" i="1"/>
  <c r="C7" i="1"/>
  <c r="C11" i="1" s="1"/>
  <c r="C15" i="1" s="1"/>
  <c r="C17" i="1" s="1"/>
  <c r="C19" i="1" s="1"/>
  <c r="C11" i="4"/>
  <c r="E10" i="4"/>
  <c r="E8" i="4"/>
  <c r="C7" i="4"/>
  <c r="D7" i="1"/>
  <c r="D11" i="4" l="1"/>
  <c r="E11" i="4" s="1"/>
  <c r="M25" i="10" l="1"/>
  <c r="N26" i="10"/>
  <c r="K25" i="10"/>
  <c r="J25" i="10"/>
  <c r="M24" i="10"/>
  <c r="J23" i="10"/>
  <c r="J24" i="10"/>
  <c r="J22" i="10" s="1"/>
  <c r="I25" i="10"/>
  <c r="L27" i="10"/>
  <c r="M23" i="10"/>
  <c r="L22" i="10"/>
  <c r="I23" i="10"/>
  <c r="K24" i="10"/>
  <c r="I24" i="10"/>
  <c r="I27" i="10" s="1"/>
  <c r="O19" i="10"/>
  <c r="N16" i="10"/>
  <c r="N17" i="10"/>
  <c r="M13" i="10"/>
  <c r="M29" i="10" s="1"/>
  <c r="J13" i="10"/>
  <c r="L13" i="10"/>
  <c r="L12" i="10" s="1"/>
  <c r="M15" i="10"/>
  <c r="M14" i="10"/>
  <c r="L18" i="10"/>
  <c r="L14" i="10"/>
  <c r="K18" i="10"/>
  <c r="J15" i="10"/>
  <c r="N15" i="10" s="1"/>
  <c r="J18" i="10"/>
  <c r="J14" i="10"/>
  <c r="K13" i="10"/>
  <c r="K29" i="10" s="1"/>
  <c r="I13" i="10"/>
  <c r="I12" i="10" s="1"/>
  <c r="I14" i="10"/>
  <c r="N25" i="10" l="1"/>
  <c r="N24" i="10"/>
  <c r="M19" i="10"/>
  <c r="I22" i="10"/>
  <c r="J29" i="10"/>
  <c r="I29" i="10"/>
  <c r="K12" i="10"/>
  <c r="K27" i="10"/>
  <c r="J12" i="10"/>
  <c r="N18" i="10"/>
  <c r="K19" i="10"/>
  <c r="I19" i="10"/>
  <c r="I30" i="10" s="1"/>
  <c r="K22" i="10"/>
  <c r="J27" i="10"/>
  <c r="M27" i="10"/>
  <c r="M30" i="10" s="1"/>
  <c r="L19" i="10"/>
  <c r="L30" i="10" s="1"/>
  <c r="N14" i="10"/>
  <c r="M22" i="10"/>
  <c r="N23" i="10"/>
  <c r="L29" i="10"/>
  <c r="N13" i="10"/>
  <c r="M12" i="10"/>
  <c r="J19" i="10"/>
  <c r="N29" i="10" l="1"/>
  <c r="N22" i="10"/>
  <c r="K30" i="10"/>
  <c r="N19" i="10"/>
  <c r="N27" i="10"/>
  <c r="P27" i="10" s="1"/>
  <c r="J30" i="10"/>
  <c r="N30" i="10"/>
  <c r="F13" i="1"/>
  <c r="G13" i="1"/>
  <c r="C29" i="7" l="1"/>
  <c r="C28" i="7"/>
  <c r="D38" i="7"/>
  <c r="D32" i="7"/>
  <c r="C38" i="7" l="1"/>
  <c r="C33" i="7"/>
  <c r="C32" i="7"/>
  <c r="C57" i="7"/>
  <c r="C37" i="7"/>
  <c r="C34" i="7"/>
  <c r="C26" i="7"/>
  <c r="C24" i="7"/>
  <c r="D22" i="7" l="1"/>
  <c r="C89" i="7"/>
  <c r="D78" i="7"/>
  <c r="C78" i="7"/>
  <c r="D72" i="7"/>
  <c r="C72" i="7"/>
  <c r="C55" i="7"/>
  <c r="D55" i="7"/>
  <c r="D41" i="7"/>
  <c r="C41" i="7"/>
  <c r="D30" i="7"/>
  <c r="D85" i="7" l="1"/>
  <c r="C30" i="7"/>
  <c r="C22" i="7"/>
  <c r="D39" i="7"/>
  <c r="C70" i="7"/>
  <c r="C85" i="7"/>
  <c r="D70" i="7"/>
  <c r="C39" i="7" l="1"/>
  <c r="D88" i="7"/>
  <c r="D90" i="7" s="1"/>
  <c r="C88" i="7" l="1"/>
  <c r="C90" i="7" s="1"/>
  <c r="C31" i="3" l="1"/>
  <c r="C32" i="3"/>
  <c r="C34" i="3"/>
  <c r="K31" i="3"/>
  <c r="C33" i="3" l="1"/>
  <c r="C35" i="3" s="1"/>
  <c r="J27" i="3"/>
  <c r="C25" i="3" s="1"/>
  <c r="K21" i="3"/>
  <c r="J21" i="3"/>
  <c r="J22" i="3" s="1"/>
  <c r="C15" i="3" s="1"/>
  <c r="C43" i="3" s="1"/>
  <c r="J15" i="3" l="1"/>
  <c r="C11" i="3" s="1"/>
  <c r="D17" i="3" l="1"/>
  <c r="D24" i="3" s="1"/>
  <c r="D28" i="3" s="1"/>
  <c r="C40" i="3"/>
  <c r="D40" i="3"/>
  <c r="D35" i="3"/>
  <c r="D42" i="3" l="1"/>
  <c r="D45" i="3"/>
  <c r="C44" i="3" s="1"/>
  <c r="C19" i="3" l="1"/>
  <c r="C9" i="3" l="1"/>
  <c r="C20" i="3" l="1"/>
  <c r="C10" i="3"/>
  <c r="C18" i="3"/>
  <c r="C22" i="3"/>
  <c r="C21" i="3" l="1"/>
  <c r="C7" i="3" l="1"/>
  <c r="C17" i="3" s="1"/>
  <c r="C24" i="3" s="1"/>
  <c r="C28" i="3" s="1"/>
  <c r="C42" i="3" s="1"/>
  <c r="C45" i="3" s="1"/>
</calcChain>
</file>

<file path=xl/sharedStrings.xml><?xml version="1.0" encoding="utf-8"?>
<sst xmlns="http://schemas.openxmlformats.org/spreadsheetml/2006/main" count="483" uniqueCount="331">
  <si>
    <t>тыс. тенге (если не указано иное)</t>
  </si>
  <si>
    <t>Прим.</t>
  </si>
  <si>
    <t>Доходы от реализации</t>
  </si>
  <si>
    <t>Себестоимость реализации</t>
  </si>
  <si>
    <t>Валовой доход</t>
  </si>
  <si>
    <t>Расходы по реализации</t>
  </si>
  <si>
    <t>Общеадминистративные расходы</t>
  </si>
  <si>
    <t>Прочие операционные расходы, нетто</t>
  </si>
  <si>
    <t>Убытки от обесценения</t>
  </si>
  <si>
    <t>-</t>
  </si>
  <si>
    <t>Операционный доход (убыток)</t>
  </si>
  <si>
    <t>Финансовые доходы</t>
  </si>
  <si>
    <t>9(а)</t>
  </si>
  <si>
    <t>Финансовые расходы</t>
  </si>
  <si>
    <t>9(б)</t>
  </si>
  <si>
    <t>Доход (убыток) до налогообложения</t>
  </si>
  <si>
    <t>10(а)</t>
  </si>
  <si>
    <t>Прочий совокупный доход</t>
  </si>
  <si>
    <t>–</t>
  </si>
  <si>
    <t>Базовый и разводненный доход (убыток) на акцию, тенге</t>
  </si>
  <si>
    <t>18(б)</t>
  </si>
  <si>
    <t xml:space="preserve">      _______________________________________                             ______________________________________________</t>
  </si>
  <si>
    <t xml:space="preserve">  </t>
  </si>
  <si>
    <t xml:space="preserve">     Акжолов Б.Ж.</t>
  </si>
  <si>
    <t xml:space="preserve">     Генеральный директор</t>
  </si>
  <si>
    <t xml:space="preserve">            Главный бухгалтер</t>
  </si>
  <si>
    <t>АКТИВЫ</t>
  </si>
  <si>
    <t>Внеоборотные активы</t>
  </si>
  <si>
    <t>Основные средства</t>
  </si>
  <si>
    <t>Актив в форме права пользования</t>
  </si>
  <si>
    <t>Горнодобывающие активы</t>
  </si>
  <si>
    <t>Нематериальные активы</t>
  </si>
  <si>
    <t>Отложенный налоговый актив</t>
  </si>
  <si>
    <t>10(б)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</si>
  <si>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</si>
  <si>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</si>
  <si>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</si>
  <si>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</si>
  <si>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Предоплата по подоходному налогу</t>
  </si>
  <si>
    <t>Торговая и прочая дебиторская задолженность</t>
  </si>
  <si>
    <t>Денежные средства</t>
  </si>
  <si>
    <t>ВСЕГО АКТИВЫ</t>
  </si>
  <si>
    <t>КАПИТАЛ И ОБЯЗАТЕЛЬСТВА</t>
  </si>
  <si>
    <t>Капитал</t>
  </si>
  <si>
    <t>Акционерный капитал</t>
  </si>
  <si>
    <t>18(а)</t>
  </si>
  <si>
    <t>Нераспределенный доход (непокрытый убыток)</t>
  </si>
  <si>
    <t>Долгосрочные обязательства</t>
  </si>
  <si>
    <t>Обязательства по контрактам на недропользование</t>
  </si>
  <si>
    <t>Арендные обязательства</t>
  </si>
  <si>
    <t>20(б)</t>
  </si>
  <si>
    <t>Текущие обязательства</t>
  </si>
  <si>
    <t>Торговая и прочая кредиторская задолженность</t>
  </si>
  <si>
    <t>Прочие налоги к уплате</t>
  </si>
  <si>
    <t>ИТОГО ОБЯЗАТЕЛЬСТВА</t>
  </si>
  <si>
    <t>ВСЕГО КАПИТАЛ И ОБЯЗАТЕЛЬСТВА</t>
  </si>
  <si>
    <t>тыс. тенге</t>
  </si>
  <si>
    <t>ОПЕРАЦИОННАЯ ДЕЯТЕЛЬНОСТЬ</t>
  </si>
  <si>
    <t>Корректировки:</t>
  </si>
  <si>
    <t>Износ, истощение и амортизация</t>
  </si>
  <si>
    <t>Убыток от выбытия основных средств</t>
  </si>
  <si>
    <t>Нереализованный доход от курсовой разницы</t>
  </si>
  <si>
    <t>Движение денежных средств от операционной деятельности до изменений оборотного капитала</t>
  </si>
  <si>
    <t>Увеличение товарно-материальных запасов</t>
  </si>
  <si>
    <t>Увеличение авансов выданных и прочих текущих активов</t>
  </si>
  <si>
    <t>Увеличение торговой и прочей дебиторской задолженности</t>
  </si>
  <si>
    <t>Увеличение прочих налогов к уплате</t>
  </si>
  <si>
    <t>Денежные средства от операционной деятельности до получения процентов и уплаты подоходного налога</t>
  </si>
  <si>
    <t>Проценты полученные</t>
  </si>
  <si>
    <t>Подоходный налог уплаченный</t>
  </si>
  <si>
    <t>Чистые денежные средства (использованные в) от операционной деятельности</t>
  </si>
  <si>
    <t>ИНВЕСТИЦИОННАЯ ДЕЯТЕЛЬНОСТЬ</t>
  </si>
  <si>
    <t>Приобретение основных средств</t>
  </si>
  <si>
    <t>Приобретение нематериальных активов</t>
  </si>
  <si>
    <t>Пополнение ликвидационного фонда</t>
  </si>
  <si>
    <t>Платежи по контракту на недропользование</t>
  </si>
  <si>
    <t>Чистые денежные средства использованные в инвестиционной деятельности</t>
  </si>
  <si>
    <t>ФИНАНСОВАЯ ДЕЯТЕЛЬНОСТЬ</t>
  </si>
  <si>
    <t>Взносы в акционерный капитал</t>
  </si>
  <si>
    <t>Арендные платежи</t>
  </si>
  <si>
    <t>Чистые денежные средства от финансовой деятельности</t>
  </si>
  <si>
    <t>Чистое увеличение денежных средств</t>
  </si>
  <si>
    <t>Эффект изменения обменного курса на денежные средства</t>
  </si>
  <si>
    <t>Денежные средства на начало периода</t>
  </si>
  <si>
    <t>Денежные средства на конец периода</t>
  </si>
  <si>
    <t>Неденежные операции</t>
  </si>
  <si>
    <t>Признание обязательств по контрактным обязательствам</t>
  </si>
  <si>
    <t>Изменение оценок по контрактным обязательствам</t>
  </si>
  <si>
    <t>Признание обязательств по аренде</t>
  </si>
  <si>
    <t>Изменение оценок по аренде</t>
  </si>
  <si>
    <t>Удержание налога у источника выплаты с процентов полученных</t>
  </si>
  <si>
    <t>Вознаграждения работникам</t>
  </si>
  <si>
    <t>Изменения в торговой и прочей кредиторской задолженности</t>
  </si>
  <si>
    <t>Итого</t>
  </si>
  <si>
    <t>Чистый доход за год</t>
  </si>
  <si>
    <t>Аморт.ИИ</t>
  </si>
  <si>
    <t>Аморт.ОС</t>
  </si>
  <si>
    <t>Аморт Права</t>
  </si>
  <si>
    <t>Аморт.НМА</t>
  </si>
  <si>
    <t>Расчет амортизации</t>
  </si>
  <si>
    <t>Расчет нереализованной курсовой разницы</t>
  </si>
  <si>
    <t>Доход</t>
  </si>
  <si>
    <t>Убыток</t>
  </si>
  <si>
    <t>тенге</t>
  </si>
  <si>
    <t>Нереализ.доход</t>
  </si>
  <si>
    <t>% полученные</t>
  </si>
  <si>
    <t>Расшифровки</t>
  </si>
  <si>
    <t>Приобретение ФА</t>
  </si>
  <si>
    <t>ОС</t>
  </si>
  <si>
    <t>НМА</t>
  </si>
  <si>
    <t>НЗС</t>
  </si>
  <si>
    <t>Пополнение ЛФ</t>
  </si>
  <si>
    <t xml:space="preserve">АО "Горнорудная Компания "Бенкала"  </t>
  </si>
  <si>
    <t>3310 без НДС</t>
  </si>
  <si>
    <t>Приложение 4</t>
  </si>
  <si>
    <t>к приказу Министра финансов</t>
  </si>
  <si>
    <t>Республики Казахстан</t>
  </si>
  <si>
    <t>от 28 июня 2017 года № 404</t>
  </si>
  <si>
    <t>Форма</t>
  </si>
  <si>
    <t>Отчет о движении денежных средств (прямой метод)</t>
  </si>
  <si>
    <t>Индекс: № 3 - ДДС-П</t>
  </si>
  <si>
    <t>Периодичность: годовая</t>
  </si>
  <si>
    <t>Представляют: организации публичного интереса по результатам финансового года</t>
  </si>
  <si>
    <t>Куда представляется: в депозитарий финансовой отчетности в электронном формате посредством программного обеспечения</t>
  </si>
  <si>
    <t>Срок представления: ежегодно не позднее 31 августа года, следующего за отчетным</t>
  </si>
  <si>
    <t>Примечание: пояснение по заполнению отчета приведено в приложении к форме, предназначенной для сбора административных данных «Отчет о движении денежных средств (прямой метод)»</t>
  </si>
  <si>
    <t>в 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</si>
  <si>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</si>
  <si>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</si>
  <si>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</si>
  <si>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</si>
  <si>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</si>
  <si>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</si>
  <si>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</si>
  <si>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</si>
  <si>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</si>
  <si>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</si>
  <si>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</si>
  <si>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</si>
  <si>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</si>
  <si>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</si>
  <si>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</si>
  <si>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</si>
  <si>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</si>
  <si>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</si>
  <si>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</si>
  <si>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</si>
  <si>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</si>
  <si>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</si>
  <si>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</si>
  <si>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</si>
  <si>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</si>
  <si>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</si>
  <si>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</si>
  <si>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</si>
  <si>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</si>
  <si>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</si>
  <si>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</si>
  <si>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</si>
  <si>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</si>
  <si>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</si>
  <si>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</si>
  <si>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</si>
  <si>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</si>
  <si>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</si>
  <si>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</si>
  <si>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</si>
  <si>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</si>
  <si>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</si>
  <si>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</si>
  <si>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</si>
  <si>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</si>
  <si>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</si>
  <si>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</si>
  <si>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</si>
  <si>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</si>
  <si>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</si>
  <si>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</si>
  <si>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</si>
  <si>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</si>
  <si>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изъятие денежных вкладов</t>
  </si>
  <si>
    <t>047</t>
  </si>
  <si>
    <t>реализация прочих финансовых активов</t>
  </si>
  <si>
    <t>048</t>
  </si>
  <si>
    <t>фьючерсные и форвардные контракты, опционы и свопы</t>
  </si>
  <si>
    <t>049</t>
  </si>
  <si>
    <t>полученные дивиденды</t>
  </si>
  <si>
    <t>050</t>
  </si>
  <si>
    <t>051</t>
  </si>
  <si>
    <t>052</t>
  </si>
  <si>
    <t>2. Выбытие денежных средств, всего (сумма строк с 061 по 073)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</si>
  <si>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</si>
  <si>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</si>
  <si>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</si>
  <si>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</si>
  <si>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</si>
  <si>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</si>
  <si>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</si>
  <si>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</si>
  <si>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</si>
  <si>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</si>
  <si>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</si>
  <si>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</si>
  <si>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</si>
  <si>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размещение денежных вкладов</t>
  </si>
  <si>
    <t>067</t>
  </si>
  <si>
    <t>068</t>
  </si>
  <si>
    <t>приобретение прочих финансовых активов</t>
  </si>
  <si>
    <t>069</t>
  </si>
  <si>
    <t>предоставление займов</t>
  </si>
  <si>
    <t>070</t>
  </si>
  <si>
    <t>071</t>
  </si>
  <si>
    <t>инвестиции в ассоциированные и дочерние организации</t>
  </si>
  <si>
    <t>072</t>
  </si>
  <si>
    <t>073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</si>
  <si>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</si>
  <si>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</si>
  <si>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</si>
  <si>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</si>
  <si>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</si>
  <si>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</si>
  <si>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</si>
  <si>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</si>
  <si>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</si>
  <si>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</si>
  <si>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</si>
  <si>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</si>
  <si>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</si>
  <si>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</si>
  <si>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</si>
  <si>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</si>
  <si>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</si>
  <si>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</si>
  <si>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</si>
  <si>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</si>
  <si>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</si>
  <si>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</si>
  <si>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                                          (фамилия, имя, отчество (при его наличии))                           (подпись)</t>
  </si>
  <si>
    <t>                                                   (фамилия, имя, отчество (при его наличии))                   (подпись)</t>
  </si>
  <si>
    <t>Место печати (при наличии)</t>
  </si>
  <si>
    <t>Отчет о движении денежных средств                                                                                                                                              за период,   закончившийся 31 марта 2022 года</t>
  </si>
  <si>
    <t>На 31 декабря 2021</t>
  </si>
  <si>
    <t>долгоср.фин.актив</t>
  </si>
  <si>
    <t>Чистый доход за период</t>
  </si>
  <si>
    <t>Наименование организации АО "Горнорудная Компания "Бенкала"</t>
  </si>
  <si>
    <t>Руководитель ___________Акжолов Б.Ж.________________________________ _____________</t>
  </si>
  <si>
    <t>Главный бухгалтер _____________Кустанова А.Е.________________________ _____________</t>
  </si>
  <si>
    <t>АО «Горнорудная Компания «Бенкала»</t>
  </si>
  <si>
    <t>аренда</t>
  </si>
  <si>
    <t>Прочее</t>
  </si>
  <si>
    <t>провизии</t>
  </si>
  <si>
    <t>за период, заканчивающийся 30 июня 2022 года</t>
  </si>
  <si>
    <t xml:space="preserve">Обязательства по займам </t>
  </si>
  <si>
    <t>Чистый доход (убыток) за период</t>
  </si>
  <si>
    <t>Общий совокупный доход (убыток) за период</t>
  </si>
  <si>
    <t>отчетный период за 1-полугодие 2022 года</t>
  </si>
  <si>
    <t>На 30 сентября 2022</t>
  </si>
  <si>
    <t>Земля, здания и сооружения</t>
  </si>
  <si>
    <t>Машины и оборудование</t>
  </si>
  <si>
    <t>Транспортные</t>
  </si>
  <si>
    <t>средства</t>
  </si>
  <si>
    <t>Незавершенное капитальное строительство</t>
  </si>
  <si>
    <t>Стоимость</t>
  </si>
  <si>
    <t>На 1 января 2021</t>
  </si>
  <si>
    <t>Поступление</t>
  </si>
  <si>
    <t>Внутреннее перемещение</t>
  </si>
  <si>
    <t>Изменения в оценочных обязательствах</t>
  </si>
  <si>
    <t>Выбытие</t>
  </si>
  <si>
    <t xml:space="preserve">–   </t>
  </si>
  <si>
    <t xml:space="preserve">                 –        </t>
  </si>
  <si>
    <t>Износ и обесценение</t>
  </si>
  <si>
    <t>Начисление износа</t>
  </si>
  <si>
    <t>Балансовая стоимость</t>
  </si>
  <si>
    <t>рекласс.авансов на 2910</t>
  </si>
  <si>
    <t>рекласс авансов по аудиту</t>
  </si>
  <si>
    <t>Обязательства по займам</t>
  </si>
  <si>
    <t>Главный бухгалтер</t>
  </si>
  <si>
    <t xml:space="preserve">     АО «Горнорудная Компания «Бенкала»                                                          </t>
  </si>
  <si>
    <t>21(а)</t>
  </si>
  <si>
    <t>Обязательства по контрактам на недропользование - краткосрочные</t>
  </si>
  <si>
    <t>Арендные обязательства - краткосрочные</t>
  </si>
  <si>
    <t xml:space="preserve">     АО «Горнорудная Компания «Бенкала»                                                   АО «Горнорудная Компания «Бенкала»</t>
  </si>
  <si>
    <t xml:space="preserve">    АО «Горнорудная Компания «Бенкала»                                                               АО «Горнорудная Компания «Бенкала»</t>
  </si>
  <si>
    <t>Нераспреде-ленный доход</t>
  </si>
  <si>
    <t>На 31 декабря 2022</t>
  </si>
  <si>
    <t xml:space="preserve"> на 31.12.2023</t>
  </si>
  <si>
    <t>Доход (убыток) от курсовой разницы</t>
  </si>
  <si>
    <t>Расходы по подоходному налогу</t>
  </si>
  <si>
    <t>Доход до налогообложения</t>
  </si>
  <si>
    <t>Нереализованный убыток (доход) от курсовой разницы</t>
  </si>
  <si>
    <t>Чистые денежные средства от операционной деятельности</t>
  </si>
  <si>
    <t xml:space="preserve">     АО «Горнорудная Компания «Бенкала»</t>
  </si>
  <si>
    <t>На 31 декабря 2023</t>
  </si>
  <si>
    <t xml:space="preserve">            Курмангалиева А.Е.</t>
  </si>
  <si>
    <t>НДС к возмещению</t>
  </si>
  <si>
    <t>19(а)</t>
  </si>
  <si>
    <t>22(б)</t>
  </si>
  <si>
    <t>Авансы полученные</t>
  </si>
  <si>
    <t xml:space="preserve"> </t>
  </si>
  <si>
    <t>Износ и амортизация</t>
  </si>
  <si>
    <t>Восстановление убытка от обесценения</t>
  </si>
  <si>
    <t>Уменьшение (увеличение) торговой и прочей дебиторской задолженности</t>
  </si>
  <si>
    <t>Уменьшение (увеличение) прочих налогов к уплате</t>
  </si>
  <si>
    <t>Уменьшение торговой и прочей кредиторской задолженности</t>
  </si>
  <si>
    <t>Денежные средства от операционной деятельности до выплаты процентов и подоходного налога</t>
  </si>
  <si>
    <t>Проценты уплаченные</t>
  </si>
  <si>
    <t xml:space="preserve"> -</t>
  </si>
  <si>
    <t>Поступления по займам</t>
  </si>
  <si>
    <t>Погашение займов</t>
  </si>
  <si>
    <t xml:space="preserve">22 (б) </t>
  </si>
  <si>
    <t>Чистые денежные средства от (использованные в) финансовой деятельности</t>
  </si>
  <si>
    <t>Чистое (уменьшение) увеличение денежных средств</t>
  </si>
  <si>
    <t>Приобретение основных средств в счет кредиторской задолженностью</t>
  </si>
  <si>
    <t>Капитализированные затраты по займам</t>
  </si>
  <si>
    <t xml:space="preserve">Изменение оценок по контрактным обязательствам  </t>
  </si>
  <si>
    <t>Реклассификация между подоходным налогом и прочим налогами к уплате</t>
  </si>
  <si>
    <t xml:space="preserve">       -</t>
  </si>
  <si>
    <t>Удержание налога у источника с процентов полученных</t>
  </si>
  <si>
    <t xml:space="preserve">- </t>
  </si>
  <si>
    <t>Взаимозачет дебиторской и кредиторской задолженности</t>
  </si>
  <si>
    <t xml:space="preserve"> на 30.09.2024</t>
  </si>
  <si>
    <t xml:space="preserve">      Данная финансовая отчетность утверждена руководством  Компании 08.11.2024 года и подписана от его имени:</t>
  </si>
  <si>
    <t>Чистые денежные средства, использованные в инвестиционной деятельности</t>
  </si>
  <si>
    <t>На 30 сентября  2024</t>
  </si>
  <si>
    <t>9 мес.2024</t>
  </si>
  <si>
    <t>9 мес.2023</t>
  </si>
  <si>
    <t>9 мес. 2023</t>
  </si>
  <si>
    <t xml:space="preserve"> Отчет о доходах и расходах и прочем совокупном доходе за период,                                                                                          закончившийся  30 сентября  2024 года</t>
  </si>
  <si>
    <t>Отчет о движении денежных средств за период,   закончившийся 30 сентября  2024 года</t>
  </si>
  <si>
    <t xml:space="preserve"> Отчет об изменениях в собственном капитале за период,                                                           закончившийся 30 сентября  2024 года</t>
  </si>
  <si>
    <t xml:space="preserve"> Отчет о финансовом положении по состоянию 30 сентября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</si>
</sst>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66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3"/>
      <color theme="1"/>
      <name val="Arial"/>
      <family val="2"/>
      <charset val="204"/>
    </font>
    <font>
      <b/>
      <sz val="9.5"/>
      <color rgb="FF006FC0"/>
      <name val="Arial"/>
      <family val="2"/>
      <charset val="204"/>
    </font>
    <font>
      <b/>
      <sz val="6.5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b/>
      <sz val="11"/>
      <color rgb="FF000066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  <charset val="204"/>
    </font>
    <font>
      <b/>
      <sz val="7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</font>
    <font>
      <b/>
      <sz val="4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sz val="9"/>
      <color theme="1"/>
      <name val="Times New Roman"/>
      <family val="1"/>
    </font>
    <font>
      <sz val="8"/>
      <color rgb="FFC00000"/>
      <name val="Calibri"/>
      <family val="2"/>
      <charset val="204"/>
      <scheme val="minor"/>
    </font>
    <font>
      <sz val="1"/>
      <color rgb="FF000000"/>
      <name val="Arial"/>
      <family val="2"/>
      <charset val="204"/>
    </font>
    <font>
      <b/>
      <sz val="9"/>
      <color rgb="FF0070C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2" fillId="0" borderId="0"/>
    <xf numFmtId="0" fontId="29" fillId="0" borderId="0"/>
  </cellStyleXfs>
  <cellXfs count="174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/>
    <xf numFmtId="3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4" fontId="2" fillId="0" borderId="0" xfId="0" applyNumberFormat="1" applyFont="1"/>
    <xf numFmtId="0" fontId="1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20" fillId="0" borderId="0" xfId="0" applyFont="1" applyAlignment="1">
      <alignment horizontal="left" vertical="center" wrapText="1"/>
    </xf>
    <xf numFmtId="165" fontId="0" fillId="0" borderId="0" xfId="0" applyNumberFormat="1"/>
    <xf numFmtId="3" fontId="6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0" xfId="1" applyNumberFormat="1" applyFont="1" applyFill="1" applyAlignment="1">
      <alignment horizontal="right" vertical="center" wrapText="1"/>
    </xf>
    <xf numFmtId="3" fontId="17" fillId="0" borderId="0" xfId="0" applyNumberFormat="1" applyFont="1" applyAlignment="1">
      <alignment horizontal="left" vertical="center" wrapText="1"/>
    </xf>
    <xf numFmtId="3" fontId="17" fillId="0" borderId="0" xfId="1" applyNumberFormat="1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/>
    <xf numFmtId="0" fontId="24" fillId="0" borderId="0" xfId="3" applyFont="1"/>
    <xf numFmtId="3" fontId="24" fillId="0" borderId="0" xfId="3" applyNumberFormat="1" applyFont="1"/>
    <xf numFmtId="0" fontId="22" fillId="0" borderId="0" xfId="3"/>
    <xf numFmtId="3" fontId="22" fillId="0" borderId="0" xfId="3" applyNumberFormat="1"/>
    <xf numFmtId="0" fontId="28" fillId="0" borderId="0" xfId="3" applyFont="1"/>
    <xf numFmtId="3" fontId="28" fillId="0" borderId="0" xfId="3" applyNumberFormat="1" applyFont="1"/>
    <xf numFmtId="0" fontId="3" fillId="0" borderId="0" xfId="3" applyFont="1"/>
    <xf numFmtId="3" fontId="3" fillId="0" borderId="0" xfId="3" applyNumberFormat="1" applyFont="1"/>
    <xf numFmtId="0" fontId="6" fillId="0" borderId="5" xfId="3" applyFont="1" applyBorder="1" applyAlignment="1">
      <alignment horizontal="center" vertical="top" wrapText="1"/>
    </xf>
    <xf numFmtId="49" fontId="6" fillId="0" borderId="5" xfId="3" applyNumberFormat="1" applyFont="1" applyBorder="1" applyAlignment="1">
      <alignment horizontal="center" vertical="top" wrapText="1"/>
    </xf>
    <xf numFmtId="3" fontId="3" fillId="0" borderId="5" xfId="3" applyNumberFormat="1" applyFont="1" applyBorder="1" applyAlignment="1">
      <alignment vertical="top" wrapText="1"/>
    </xf>
    <xf numFmtId="49" fontId="3" fillId="0" borderId="5" xfId="3" applyNumberFormat="1" applyFont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horizontal="justify" vertical="center"/>
    </xf>
    <xf numFmtId="0" fontId="6" fillId="0" borderId="5" xfId="3" applyFont="1" applyBorder="1" applyAlignment="1">
      <alignment vertical="top" wrapText="1"/>
    </xf>
    <xf numFmtId="3" fontId="8" fillId="0" borderId="5" xfId="3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" fontId="29" fillId="0" borderId="10" xfId="9" applyNumberFormat="1" applyBorder="1" applyAlignment="1">
      <alignment horizontal="right" vertical="top" wrapText="1"/>
    </xf>
    <xf numFmtId="0" fontId="19" fillId="0" borderId="0" xfId="0" applyFont="1" applyAlignment="1">
      <alignment horizontal="justify" vertical="center"/>
    </xf>
    <xf numFmtId="0" fontId="3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left" vertical="center" wrapText="1" indent="2"/>
    </xf>
    <xf numFmtId="3" fontId="35" fillId="0" borderId="0" xfId="0" applyNumberFormat="1" applyFont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 indent="2"/>
    </xf>
    <xf numFmtId="3" fontId="6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 indent="2"/>
    </xf>
    <xf numFmtId="3" fontId="7" fillId="3" borderId="2" xfId="0" applyNumberFormat="1" applyFont="1" applyFill="1" applyBorder="1" applyAlignment="1">
      <alignment horizontal="right" vertical="center" wrapText="1"/>
    </xf>
    <xf numFmtId="3" fontId="13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164" fontId="36" fillId="0" borderId="0" xfId="1" applyNumberFormat="1" applyFont="1" applyAlignment="1">
      <alignment horizontal="left" vertical="center" wrapText="1"/>
    </xf>
    <xf numFmtId="0" fontId="37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7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left" vertical="center" wrapText="1"/>
    </xf>
    <xf numFmtId="3" fontId="37" fillId="0" borderId="0" xfId="0" applyNumberFormat="1" applyFont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3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3" fontId="6" fillId="3" borderId="12" xfId="0" applyNumberFormat="1" applyFont="1" applyFill="1" applyBorder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Alignment="1">
      <alignment horizontal="right" vertical="center" wrapText="1"/>
    </xf>
    <xf numFmtId="3" fontId="7" fillId="3" borderId="1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3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horizontal="left" vertical="center" wrapText="1"/>
    </xf>
    <xf numFmtId="0" fontId="6" fillId="0" borderId="0" xfId="3" applyFont="1" applyAlignment="1">
      <alignment horizontal="justify" vertical="center"/>
    </xf>
    <xf numFmtId="0" fontId="6" fillId="0" borderId="0" xfId="3" applyFont="1" applyAlignment="1">
      <alignment horizontal="justify" vertical="top"/>
    </xf>
    <xf numFmtId="0" fontId="6" fillId="0" borderId="4" xfId="3" applyFont="1" applyBorder="1" applyAlignment="1">
      <alignment horizontal="right" vertical="top"/>
    </xf>
    <xf numFmtId="0" fontId="6" fillId="0" borderId="7" xfId="3" applyFont="1" applyBorder="1" applyAlignment="1">
      <alignment vertical="top" wrapText="1"/>
    </xf>
    <xf numFmtId="0" fontId="6" fillId="0" borderId="8" xfId="3" applyFont="1" applyBorder="1" applyAlignment="1">
      <alignment vertical="top" wrapText="1"/>
    </xf>
    <xf numFmtId="0" fontId="6" fillId="0" borderId="9" xfId="3" applyFont="1" applyBorder="1" applyAlignment="1">
      <alignment vertical="top" wrapText="1"/>
    </xf>
    <xf numFmtId="0" fontId="6" fillId="0" borderId="6" xfId="3" applyFont="1" applyBorder="1" applyAlignment="1">
      <alignment horizontal="justify" vertical="center"/>
    </xf>
    <xf numFmtId="0" fontId="23" fillId="0" borderId="0" xfId="3" applyFont="1" applyAlignment="1">
      <alignment horizontal="right" vertical="center"/>
    </xf>
    <xf numFmtId="0" fontId="25" fillId="0" borderId="0" xfId="3" applyFont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27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10">
    <cellStyle name="Normal 12" xfId="7" xr:uid="{07D0D54C-5443-4DB6-9294-C9A2B9E25069}"/>
    <cellStyle name="Style 1" xfId="8" xr:uid="{3BC27845-2E16-4E1E-A96D-6C5855424104}"/>
    <cellStyle name="Обычный" xfId="0" builtinId="0"/>
    <cellStyle name="Обычный 2" xfId="4" xr:uid="{09494A0D-EC12-49C9-8EAD-CDBE21C14B2F}"/>
    <cellStyle name="Обычный 2 2" xfId="5" xr:uid="{60D1055A-8797-4F06-9196-C6F3AA61DD36}"/>
    <cellStyle name="Обычный 3" xfId="3" xr:uid="{988C7B93-AAC4-4D61-93E3-A2BE5CF59CF9}"/>
    <cellStyle name="Обычный_ОДР и ПСД" xfId="9" xr:uid="{84025327-E50E-4616-8994-E4977E2F8920}"/>
    <cellStyle name="Стиль 1" xfId="6" xr:uid="{449CA802-BF3C-4683-B286-8B23270FFB5A}"/>
    <cellStyle name="Финансовый" xfId="1" builtinId="3"/>
    <cellStyle name="Финансовый 2" xfId="2" xr:uid="{467AEFDC-49E8-41CC-80E9-CF627553A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91440</xdr:rowOff>
    </xdr:from>
    <xdr:to>
      <xdr:col>1</xdr:col>
      <xdr:colOff>205740</xdr:colOff>
      <xdr:row>0</xdr:row>
      <xdr:rowOff>198120</xdr:rowOff>
    </xdr:to>
    <xdr:pic>
      <xdr:nvPicPr>
        <xdr:cNvPr id="2" name="image41.png">
          <a:extLst>
            <a:ext uri="{FF2B5EF4-FFF2-40B4-BE49-F238E27FC236}">
              <a16:creationId xmlns:a16="http://schemas.microsoft.com/office/drawing/2014/main" id="{06AF8977-6CC1-A600-F325-8CB0F515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91440"/>
          <a:ext cx="1752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A84A-131C-44BE-857C-CE964C5D70BF}">
  <sheetPr>
    <pageSetUpPr fitToPage="1"/>
  </sheetPr>
  <dimension ref="A1:D55"/>
  <sheetViews>
    <sheetView zoomScaleNormal="100" workbookViewId="0">
      <selection activeCell="G10" sqref="G10"/>
    </sheetView>
  </sheetViews>
  <sheetFormatPr defaultRowHeight="14.4" x14ac:dyDescent="0.3"/>
  <cols>
    <col min="1" max="1" width="47.33203125" customWidth="1"/>
    <col min="2" max="2" width="9.44140625" customWidth="1"/>
    <col min="3" max="3" width="18.5546875" customWidth="1"/>
    <col min="4" max="4" width="18.33203125" customWidth="1"/>
    <col min="5" max="5" width="9.6640625" customWidth="1"/>
  </cols>
  <sheetData>
    <row r="1" spans="1:4" ht="24.75" customHeight="1" x14ac:dyDescent="0.3">
      <c r="A1" s="147" t="s">
        <v>112</v>
      </c>
      <c r="B1" s="147"/>
      <c r="C1" s="147"/>
      <c r="D1" s="147"/>
    </row>
    <row r="2" spans="1:4" ht="36.75" customHeight="1" x14ac:dyDescent="0.3">
      <c r="A2" s="146" t="s">
        <v>330</v>
      </c>
      <c r="B2" s="146"/>
      <c r="C2" s="146"/>
      <c r="D2" s="146"/>
    </row>
    <row r="3" spans="1:4" ht="19.5" customHeight="1" x14ac:dyDescent="0.3">
      <c r="A3" s="113"/>
      <c r="B3" s="113"/>
      <c r="C3" s="113"/>
      <c r="D3" s="113"/>
    </row>
    <row r="4" spans="1:4" ht="14.4" customHeight="1" thickBot="1" x14ac:dyDescent="0.35">
      <c r="A4" s="134" t="s">
        <v>0</v>
      </c>
      <c r="B4" s="135" t="s">
        <v>1</v>
      </c>
      <c r="C4" s="17" t="s">
        <v>320</v>
      </c>
      <c r="D4" s="17" t="s">
        <v>285</v>
      </c>
    </row>
    <row r="5" spans="1:4" x14ac:dyDescent="0.3">
      <c r="A5" s="9" t="s">
        <v>26</v>
      </c>
      <c r="B5" s="103"/>
      <c r="C5" s="103"/>
      <c r="D5" s="103"/>
    </row>
    <row r="6" spans="1:4" x14ac:dyDescent="0.3">
      <c r="A6" s="9" t="s">
        <v>27</v>
      </c>
      <c r="B6" s="103"/>
      <c r="C6" s="103"/>
      <c r="D6" s="104"/>
    </row>
    <row r="7" spans="1:4" x14ac:dyDescent="0.3">
      <c r="A7" s="7" t="s">
        <v>28</v>
      </c>
      <c r="B7" s="8">
        <v>11</v>
      </c>
      <c r="C7" s="19">
        <v>9439740</v>
      </c>
      <c r="D7" s="76">
        <v>7347367</v>
      </c>
    </row>
    <row r="8" spans="1:4" x14ac:dyDescent="0.3">
      <c r="A8" s="7" t="s">
        <v>29</v>
      </c>
      <c r="B8" s="8" t="s">
        <v>278</v>
      </c>
      <c r="C8" s="19">
        <v>13937</v>
      </c>
      <c r="D8" s="76">
        <v>24659</v>
      </c>
    </row>
    <row r="9" spans="1:4" x14ac:dyDescent="0.3">
      <c r="A9" s="7" t="s">
        <v>30</v>
      </c>
      <c r="B9" s="8">
        <v>12</v>
      </c>
      <c r="C9" s="19">
        <v>1138241</v>
      </c>
      <c r="D9" s="76">
        <v>1316737</v>
      </c>
    </row>
    <row r="10" spans="1:4" x14ac:dyDescent="0.3">
      <c r="A10" s="7" t="s">
        <v>31</v>
      </c>
      <c r="B10" s="8">
        <v>13</v>
      </c>
      <c r="C10" s="19">
        <v>52004</v>
      </c>
      <c r="D10" s="76">
        <v>84562</v>
      </c>
    </row>
    <row r="11" spans="1:4" x14ac:dyDescent="0.3">
      <c r="A11" s="7" t="s">
        <v>32</v>
      </c>
      <c r="B11" s="8" t="s">
        <v>33</v>
      </c>
      <c r="C11" s="19">
        <v>68376</v>
      </c>
      <c r="D11" s="76">
        <v>68376</v>
      </c>
    </row>
    <row r="12" spans="1:4" ht="15" thickBot="1" x14ac:dyDescent="0.35">
      <c r="A12" s="7" t="s">
        <v>34</v>
      </c>
      <c r="B12" s="8">
        <v>17</v>
      </c>
      <c r="C12" s="19">
        <v>168142</v>
      </c>
      <c r="D12" s="76">
        <v>160216</v>
      </c>
    </row>
    <row r="13" spans="1:4" s="18" customFormat="1" ht="15" thickBot="1" x14ac:dyDescent="0.35">
      <c r="A13" s="128"/>
      <c r="B13" s="128"/>
      <c r="C13" s="136">
        <f>SUM(C7:C12)</f>
        <v>10880440</v>
      </c>
      <c r="D13" s="136">
        <f>SUM(D7:D12)</f>
        <v>9001917</v>
      </c>
    </row>
    <row r="14" spans="1:4" x14ac:dyDescent="0.3">
      <c r="A14" s="9" t="s">
        <v>35</v>
      </c>
      <c r="B14" s="103"/>
      <c r="C14" s="21"/>
      <c r="D14" s="21"/>
    </row>
    <row r="15" spans="1:4" x14ac:dyDescent="0.3">
      <c r="A15" s="7" t="s">
        <v>294</v>
      </c>
      <c r="B15" s="8">
        <v>14</v>
      </c>
      <c r="C15" s="19">
        <v>1466051</v>
      </c>
      <c r="D15" s="76">
        <v>1262505</v>
      </c>
    </row>
    <row r="16" spans="1:4" x14ac:dyDescent="0.3">
      <c r="A16" s="7" t="s">
        <v>36</v>
      </c>
      <c r="B16" s="8">
        <v>15</v>
      </c>
      <c r="C16" s="19">
        <v>5868845.5999999996</v>
      </c>
      <c r="D16" s="76">
        <v>5166484</v>
      </c>
    </row>
    <row r="17" spans="1:4" x14ac:dyDescent="0.3">
      <c r="A17" s="7" t="s">
        <v>37</v>
      </c>
      <c r="B17" s="8">
        <v>16</v>
      </c>
      <c r="C17" s="19">
        <v>52211</v>
      </c>
      <c r="D17" s="76">
        <v>68083</v>
      </c>
    </row>
    <row r="18" spans="1:4" x14ac:dyDescent="0.3">
      <c r="A18" s="7" t="s">
        <v>38</v>
      </c>
      <c r="B18" s="103"/>
      <c r="C18" s="19">
        <v>249578</v>
      </c>
      <c r="D18" s="76">
        <v>223476.7</v>
      </c>
    </row>
    <row r="19" spans="1:4" x14ac:dyDescent="0.3">
      <c r="A19" s="7" t="s">
        <v>39</v>
      </c>
      <c r="B19" s="8">
        <v>17</v>
      </c>
      <c r="C19" s="19">
        <v>3149</v>
      </c>
      <c r="D19" s="76">
        <v>1477</v>
      </c>
    </row>
    <row r="20" spans="1:4" ht="15" thickBot="1" x14ac:dyDescent="0.35">
      <c r="A20" s="7" t="s">
        <v>40</v>
      </c>
      <c r="B20" s="8">
        <v>18</v>
      </c>
      <c r="C20" s="19">
        <v>350193</v>
      </c>
      <c r="D20" s="76">
        <v>383592</v>
      </c>
    </row>
    <row r="21" spans="1:4" ht="15" thickBot="1" x14ac:dyDescent="0.35">
      <c r="A21" s="128"/>
      <c r="B21" s="129"/>
      <c r="C21" s="137">
        <f>SUM(C15:C20)</f>
        <v>7990027.5999999996</v>
      </c>
      <c r="D21" s="137">
        <f>SUM(D15:D20)</f>
        <v>7105617.7000000002</v>
      </c>
    </row>
    <row r="22" spans="1:4" ht="15" thickBot="1" x14ac:dyDescent="0.35">
      <c r="A22" s="132" t="s">
        <v>41</v>
      </c>
      <c r="B22" s="128"/>
      <c r="C22" s="136">
        <f>C13+C21</f>
        <v>18870467.600000001</v>
      </c>
      <c r="D22" s="136">
        <f>D13+D21</f>
        <v>16107534.699999999</v>
      </c>
    </row>
    <row r="23" spans="1:4" x14ac:dyDescent="0.3">
      <c r="A23" s="9" t="s">
        <v>42</v>
      </c>
      <c r="B23" s="103"/>
      <c r="C23" s="19"/>
      <c r="D23" s="19"/>
    </row>
    <row r="24" spans="1:4" x14ac:dyDescent="0.3">
      <c r="A24" s="9" t="s">
        <v>43</v>
      </c>
      <c r="B24" s="103"/>
      <c r="C24" s="19"/>
      <c r="D24" s="19"/>
    </row>
    <row r="25" spans="1:4" x14ac:dyDescent="0.3">
      <c r="A25" s="7" t="s">
        <v>44</v>
      </c>
      <c r="B25" s="8" t="s">
        <v>295</v>
      </c>
      <c r="C25" s="19">
        <v>5500000</v>
      </c>
      <c r="D25" s="19">
        <v>5500000</v>
      </c>
    </row>
    <row r="26" spans="1:4" ht="15" thickBot="1" x14ac:dyDescent="0.35">
      <c r="A26" s="7" t="s">
        <v>46</v>
      </c>
      <c r="B26" s="103"/>
      <c r="C26" s="19">
        <v>6022794</v>
      </c>
      <c r="D26" s="19">
        <v>5117611</v>
      </c>
    </row>
    <row r="27" spans="1:4" ht="15" thickBot="1" x14ac:dyDescent="0.35">
      <c r="A27" s="128"/>
      <c r="B27" s="128"/>
      <c r="C27" s="136">
        <f>SUM(C25:C26)</f>
        <v>11522794</v>
      </c>
      <c r="D27" s="136">
        <f>SUM(D25:D26)</f>
        <v>10617611</v>
      </c>
    </row>
    <row r="28" spans="1:4" x14ac:dyDescent="0.3">
      <c r="A28" s="9" t="s">
        <v>47</v>
      </c>
      <c r="B28" s="103"/>
      <c r="C28" s="19"/>
      <c r="D28" s="19"/>
    </row>
    <row r="29" spans="1:4" x14ac:dyDescent="0.3">
      <c r="A29" s="7" t="s">
        <v>252</v>
      </c>
      <c r="B29" s="8">
        <v>20</v>
      </c>
      <c r="C29" s="19">
        <v>3214933</v>
      </c>
      <c r="D29" s="76">
        <v>2535850</v>
      </c>
    </row>
    <row r="30" spans="1:4" x14ac:dyDescent="0.3">
      <c r="A30" s="7" t="s">
        <v>48</v>
      </c>
      <c r="B30" s="8">
        <v>21</v>
      </c>
      <c r="C30" s="19">
        <v>293134</v>
      </c>
      <c r="D30" s="76">
        <v>264953</v>
      </c>
    </row>
    <row r="31" spans="1:4" ht="15" thickBot="1" x14ac:dyDescent="0.35">
      <c r="A31" s="7" t="s">
        <v>49</v>
      </c>
      <c r="B31" s="8" t="s">
        <v>296</v>
      </c>
      <c r="C31" s="19">
        <v>19241</v>
      </c>
      <c r="D31" s="76">
        <v>19241</v>
      </c>
    </row>
    <row r="32" spans="1:4" ht="15" thickBot="1" x14ac:dyDescent="0.35">
      <c r="A32" s="128"/>
      <c r="B32" s="128"/>
      <c r="C32" s="136">
        <f>SUM(C29:C31)</f>
        <v>3527308</v>
      </c>
      <c r="D32" s="136">
        <f>SUM(D29:D31)</f>
        <v>2820044</v>
      </c>
    </row>
    <row r="33" spans="1:4" x14ac:dyDescent="0.3">
      <c r="A33" s="9" t="s">
        <v>51</v>
      </c>
      <c r="B33" s="103"/>
      <c r="C33" s="19"/>
      <c r="D33" s="19"/>
    </row>
    <row r="34" spans="1:4" x14ac:dyDescent="0.3">
      <c r="A34" s="7" t="s">
        <v>275</v>
      </c>
      <c r="B34" s="8">
        <v>20</v>
      </c>
      <c r="C34" s="19">
        <v>496419</v>
      </c>
      <c r="D34" s="76">
        <v>751999</v>
      </c>
    </row>
    <row r="35" spans="1:4" ht="22.8" x14ac:dyDescent="0.3">
      <c r="A35" s="7" t="s">
        <v>279</v>
      </c>
      <c r="B35" s="8">
        <v>21</v>
      </c>
      <c r="C35" s="19">
        <v>49097</v>
      </c>
      <c r="D35" s="76">
        <v>49500</v>
      </c>
    </row>
    <row r="36" spans="1:4" x14ac:dyDescent="0.3">
      <c r="A36" s="7" t="s">
        <v>280</v>
      </c>
      <c r="B36" s="8" t="s">
        <v>296</v>
      </c>
      <c r="C36" s="19">
        <v>5800</v>
      </c>
      <c r="D36" s="76">
        <v>16276</v>
      </c>
    </row>
    <row r="37" spans="1:4" x14ac:dyDescent="0.3">
      <c r="A37" s="7" t="s">
        <v>52</v>
      </c>
      <c r="B37" s="8">
        <v>23</v>
      </c>
      <c r="C37" s="19">
        <v>2858432</v>
      </c>
      <c r="D37" s="76">
        <v>1378178</v>
      </c>
    </row>
    <row r="38" spans="1:4" x14ac:dyDescent="0.3">
      <c r="A38" s="7" t="s">
        <v>297</v>
      </c>
      <c r="B38" s="8"/>
      <c r="C38" s="19">
        <v>240463</v>
      </c>
      <c r="D38" s="76">
        <v>433999</v>
      </c>
    </row>
    <row r="39" spans="1:4" ht="21.6" customHeight="1" thickBot="1" x14ac:dyDescent="0.35">
      <c r="A39" s="133" t="s">
        <v>53</v>
      </c>
      <c r="B39" s="8">
        <v>24</v>
      </c>
      <c r="C39" s="19">
        <v>170155</v>
      </c>
      <c r="D39" s="76">
        <v>39928</v>
      </c>
    </row>
    <row r="40" spans="1:4" ht="15" thickBot="1" x14ac:dyDescent="0.35">
      <c r="A40" s="130"/>
      <c r="B40" s="128"/>
      <c r="C40" s="136">
        <f>SUM(C34:C39)</f>
        <v>3820366</v>
      </c>
      <c r="D40" s="136">
        <f>SUM(D34:D39)</f>
        <v>2669880</v>
      </c>
    </row>
    <row r="41" spans="1:4" ht="15" thickBot="1" x14ac:dyDescent="0.35">
      <c r="A41" s="132" t="s">
        <v>54</v>
      </c>
      <c r="B41" s="130"/>
      <c r="C41" s="138">
        <f>C32+C40</f>
        <v>7347674</v>
      </c>
      <c r="D41" s="138">
        <f>D32+D40</f>
        <v>5489924</v>
      </c>
    </row>
    <row r="42" spans="1:4" ht="15" thickBot="1" x14ac:dyDescent="0.35">
      <c r="A42" s="132" t="s">
        <v>55</v>
      </c>
      <c r="B42" s="130"/>
      <c r="C42" s="138">
        <f>C41+C27</f>
        <v>18870468</v>
      </c>
      <c r="D42" s="138">
        <f>D41+D27</f>
        <v>16107535</v>
      </c>
    </row>
    <row r="43" spans="1:4" x14ac:dyDescent="0.3">
      <c r="A43" s="11"/>
      <c r="B43" s="11"/>
      <c r="D43" s="37"/>
    </row>
    <row r="44" spans="1:4" x14ac:dyDescent="0.3">
      <c r="A44" s="7"/>
      <c r="B44" s="8"/>
      <c r="C44" s="19"/>
      <c r="D44" s="19"/>
    </row>
    <row r="45" spans="1:4" x14ac:dyDescent="0.3">
      <c r="A45" s="7"/>
      <c r="B45" s="8"/>
      <c r="C45" s="19"/>
      <c r="D45" s="19"/>
    </row>
    <row r="46" spans="1:4" x14ac:dyDescent="0.3">
      <c r="C46" s="28"/>
    </row>
    <row r="47" spans="1:4" x14ac:dyDescent="0.3">
      <c r="A47" s="12" t="s">
        <v>321</v>
      </c>
    </row>
    <row r="48" spans="1:4" x14ac:dyDescent="0.3">
      <c r="A48" s="12"/>
    </row>
    <row r="49" spans="1:3" ht="20.399999999999999" customHeight="1" x14ac:dyDescent="0.3">
      <c r="A49" s="12" t="s">
        <v>21</v>
      </c>
    </row>
    <row r="50" spans="1:3" ht="16.8" x14ac:dyDescent="0.3">
      <c r="A50" s="14" t="s">
        <v>22</v>
      </c>
    </row>
    <row r="51" spans="1:3" x14ac:dyDescent="0.3">
      <c r="A51" s="15" t="s">
        <v>23</v>
      </c>
      <c r="C51" s="15" t="s">
        <v>293</v>
      </c>
    </row>
    <row r="52" spans="1:3" ht="6.6" customHeight="1" x14ac:dyDescent="0.3">
      <c r="A52" s="12"/>
    </row>
    <row r="53" spans="1:3" x14ac:dyDescent="0.3">
      <c r="A53" s="12" t="s">
        <v>24</v>
      </c>
      <c r="C53" s="12" t="s">
        <v>25</v>
      </c>
    </row>
    <row r="54" spans="1:3" ht="9" customHeight="1" x14ac:dyDescent="0.3">
      <c r="A54" s="12"/>
    </row>
    <row r="55" spans="1:3" x14ac:dyDescent="0.3">
      <c r="A55" s="12" t="s">
        <v>281</v>
      </c>
    </row>
  </sheetData>
  <mergeCells count="2">
    <mergeCell ref="A2:D2"/>
    <mergeCell ref="A1:D1"/>
  </mergeCells>
  <pageMargins left="0.70866141732283472" right="0.31496062992125984" top="0.55118110236220474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24FB-F53B-4DC8-AD11-E32B24DC7D1E}">
  <sheetPr>
    <pageSetUpPr fitToPage="1"/>
  </sheetPr>
  <dimension ref="A1:G34"/>
  <sheetViews>
    <sheetView zoomScaleNormal="100" workbookViewId="0">
      <selection activeCell="I13" sqref="I13"/>
    </sheetView>
  </sheetViews>
  <sheetFormatPr defaultRowHeight="14.4" x14ac:dyDescent="0.3"/>
  <cols>
    <col min="1" max="1" width="47.44140625" customWidth="1"/>
    <col min="2" max="2" width="9.33203125" customWidth="1"/>
    <col min="3" max="3" width="20" customWidth="1"/>
    <col min="4" max="4" width="18" customWidth="1"/>
    <col min="6" max="6" width="8.88671875" hidden="1" customWidth="1"/>
    <col min="7" max="7" width="11.6640625" hidden="1" customWidth="1"/>
    <col min="8" max="8" width="0" hidden="1" customWidth="1"/>
  </cols>
  <sheetData>
    <row r="1" spans="1:7" x14ac:dyDescent="0.3">
      <c r="A1" s="147" t="s">
        <v>112</v>
      </c>
      <c r="B1" s="147"/>
      <c r="C1" s="147"/>
      <c r="D1" s="147"/>
    </row>
    <row r="2" spans="1:7" ht="30" customHeight="1" x14ac:dyDescent="0.3">
      <c r="A2" s="146" t="s">
        <v>327</v>
      </c>
      <c r="B2" s="146"/>
      <c r="C2" s="146"/>
      <c r="D2" s="146"/>
    </row>
    <row r="3" spans="1:7" x14ac:dyDescent="0.3">
      <c r="C3" s="113"/>
      <c r="D3" s="113"/>
    </row>
    <row r="4" spans="1:7" ht="15" thickBot="1" x14ac:dyDescent="0.35">
      <c r="A4" s="2" t="s">
        <v>0</v>
      </c>
      <c r="B4" s="4" t="s">
        <v>1</v>
      </c>
      <c r="C4" s="118" t="s">
        <v>324</v>
      </c>
      <c r="D4" s="118" t="s">
        <v>325</v>
      </c>
    </row>
    <row r="5" spans="1:7" x14ac:dyDescent="0.3">
      <c r="A5" s="7" t="s">
        <v>2</v>
      </c>
      <c r="B5" s="8">
        <v>3</v>
      </c>
      <c r="C5" s="19">
        <v>4561062</v>
      </c>
      <c r="D5" s="19">
        <v>5003277</v>
      </c>
    </row>
    <row r="6" spans="1:7" ht="15" thickBot="1" x14ac:dyDescent="0.35">
      <c r="A6" s="7" t="s">
        <v>3</v>
      </c>
      <c r="B6" s="8">
        <v>4</v>
      </c>
      <c r="C6" s="20">
        <v>-2464095</v>
      </c>
      <c r="D6" s="20">
        <v>-2262646</v>
      </c>
    </row>
    <row r="7" spans="1:7" x14ac:dyDescent="0.3">
      <c r="A7" s="9" t="s">
        <v>4</v>
      </c>
      <c r="B7" s="10"/>
      <c r="C7" s="21">
        <f>SUM(C5:C6)</f>
        <v>2096967</v>
      </c>
      <c r="D7" s="21">
        <f>SUM(D5:D6)</f>
        <v>2740631</v>
      </c>
    </row>
    <row r="8" spans="1:7" x14ac:dyDescent="0.3">
      <c r="A8" s="7" t="s">
        <v>5</v>
      </c>
      <c r="B8" s="8">
        <v>5</v>
      </c>
      <c r="C8" s="19">
        <v>-447750</v>
      </c>
      <c r="D8" s="19">
        <v>-1782978</v>
      </c>
    </row>
    <row r="9" spans="1:7" x14ac:dyDescent="0.3">
      <c r="A9" s="7" t="s">
        <v>6</v>
      </c>
      <c r="B9" s="8">
        <v>6</v>
      </c>
      <c r="C9" s="19">
        <v>-362910</v>
      </c>
      <c r="D9" s="19">
        <v>-393197</v>
      </c>
    </row>
    <row r="10" spans="1:7" x14ac:dyDescent="0.3">
      <c r="A10" s="7" t="s">
        <v>7</v>
      </c>
      <c r="B10" s="8">
        <v>7</v>
      </c>
      <c r="C10" s="19">
        <f>-98039+72886</f>
        <v>-25153</v>
      </c>
      <c r="D10" s="19">
        <v>-37284</v>
      </c>
    </row>
    <row r="11" spans="1:7" x14ac:dyDescent="0.3">
      <c r="A11" s="9" t="s">
        <v>10</v>
      </c>
      <c r="B11" s="10"/>
      <c r="C11" s="21">
        <f>SUM(C7:C10)</f>
        <v>1261154</v>
      </c>
      <c r="D11" s="21">
        <v>256869</v>
      </c>
    </row>
    <row r="12" spans="1:7" x14ac:dyDescent="0.3">
      <c r="A12" s="7" t="s">
        <v>11</v>
      </c>
      <c r="B12" s="8" t="s">
        <v>12</v>
      </c>
      <c r="C12" s="19">
        <v>25708</v>
      </c>
      <c r="D12" s="19">
        <v>784041</v>
      </c>
      <c r="F12" t="s">
        <v>248</v>
      </c>
      <c r="G12" t="s">
        <v>250</v>
      </c>
    </row>
    <row r="13" spans="1:7" x14ac:dyDescent="0.3">
      <c r="A13" s="7" t="s">
        <v>13</v>
      </c>
      <c r="B13" s="8" t="s">
        <v>14</v>
      </c>
      <c r="C13" s="19">
        <v>-92184</v>
      </c>
      <c r="D13" s="19">
        <v>29271</v>
      </c>
      <c r="F13" s="77">
        <f>4666507/1000</f>
        <v>4666.5069999999996</v>
      </c>
      <c r="G13" s="77">
        <f>12473103/1000</f>
        <v>12473.102999999999</v>
      </c>
    </row>
    <row r="14" spans="1:7" ht="15" thickBot="1" x14ac:dyDescent="0.35">
      <c r="A14" s="115" t="s">
        <v>286</v>
      </c>
      <c r="B14" s="116"/>
      <c r="C14" s="117">
        <v>-226301</v>
      </c>
      <c r="D14" s="117">
        <v>-18581</v>
      </c>
    </row>
    <row r="15" spans="1:7" x14ac:dyDescent="0.3">
      <c r="A15" s="9" t="s">
        <v>15</v>
      </c>
      <c r="B15" s="10"/>
      <c r="C15" s="21">
        <f>SUM(C11:C14)</f>
        <v>968377</v>
      </c>
      <c r="D15" s="21">
        <v>-369760</v>
      </c>
    </row>
    <row r="16" spans="1:7" ht="15" thickBot="1" x14ac:dyDescent="0.35">
      <c r="A16" s="7" t="s">
        <v>287</v>
      </c>
      <c r="B16" s="8" t="s">
        <v>16</v>
      </c>
      <c r="C16" s="20">
        <v>-63194</v>
      </c>
      <c r="D16" s="20">
        <v>-424971</v>
      </c>
    </row>
    <row r="17" spans="1:4" x14ac:dyDescent="0.3">
      <c r="A17" s="9" t="s">
        <v>253</v>
      </c>
      <c r="B17" s="10"/>
      <c r="C17" s="21">
        <f>SUM(C15:C16)</f>
        <v>905183</v>
      </c>
      <c r="D17" s="21">
        <v>-176202</v>
      </c>
    </row>
    <row r="18" spans="1:4" ht="15" thickBot="1" x14ac:dyDescent="0.35">
      <c r="A18" s="7" t="s">
        <v>17</v>
      </c>
      <c r="B18" s="10"/>
      <c r="C18" s="20">
        <v>0</v>
      </c>
      <c r="D18" s="20">
        <v>248769</v>
      </c>
    </row>
    <row r="19" spans="1:4" ht="15" thickBot="1" x14ac:dyDescent="0.35">
      <c r="A19" s="9" t="s">
        <v>254</v>
      </c>
      <c r="B19" s="10"/>
      <c r="C19" s="22">
        <f>C17</f>
        <v>905183</v>
      </c>
      <c r="D19" s="22">
        <v>248769</v>
      </c>
    </row>
    <row r="20" spans="1:4" ht="15" thickTop="1" x14ac:dyDescent="0.3">
      <c r="A20" s="11"/>
      <c r="B20" s="11"/>
      <c r="C20" s="23"/>
      <c r="D20" s="23"/>
    </row>
    <row r="21" spans="1:4" ht="15" thickBot="1" x14ac:dyDescent="0.35">
      <c r="A21" s="7" t="s">
        <v>19</v>
      </c>
      <c r="B21" s="8" t="s">
        <v>20</v>
      </c>
      <c r="C21" s="20">
        <v>165</v>
      </c>
      <c r="D21" s="20">
        <v>69</v>
      </c>
    </row>
    <row r="22" spans="1:4" x14ac:dyDescent="0.3">
      <c r="A22" s="13"/>
      <c r="C22" s="114"/>
    </row>
    <row r="23" spans="1:4" x14ac:dyDescent="0.3">
      <c r="A23" s="12" t="s">
        <v>321</v>
      </c>
    </row>
    <row r="24" spans="1:4" x14ac:dyDescent="0.3">
      <c r="A24" s="12"/>
      <c r="C24" s="28"/>
    </row>
    <row r="25" spans="1:4" x14ac:dyDescent="0.3">
      <c r="A25" s="12"/>
    </row>
    <row r="26" spans="1:4" x14ac:dyDescent="0.3">
      <c r="A26" s="12"/>
    </row>
    <row r="27" spans="1:4" x14ac:dyDescent="0.3">
      <c r="A27" s="12"/>
    </row>
    <row r="28" spans="1:4" x14ac:dyDescent="0.3">
      <c r="A28" s="12" t="s">
        <v>21</v>
      </c>
    </row>
    <row r="29" spans="1:4" ht="6.6" customHeight="1" x14ac:dyDescent="0.3">
      <c r="A29" s="14" t="s">
        <v>22</v>
      </c>
    </row>
    <row r="30" spans="1:4" x14ac:dyDescent="0.3">
      <c r="A30" s="15" t="s">
        <v>23</v>
      </c>
      <c r="C30" s="15" t="s">
        <v>293</v>
      </c>
    </row>
    <row r="31" spans="1:4" ht="6" customHeight="1" x14ac:dyDescent="0.3">
      <c r="A31" s="12"/>
    </row>
    <row r="32" spans="1:4" x14ac:dyDescent="0.3">
      <c r="A32" s="12" t="s">
        <v>24</v>
      </c>
      <c r="C32" s="12" t="s">
        <v>25</v>
      </c>
    </row>
    <row r="33" spans="1:1" ht="6" customHeight="1" x14ac:dyDescent="0.3">
      <c r="A33" s="12"/>
    </row>
    <row r="34" spans="1:1" x14ac:dyDescent="0.3">
      <c r="A34" s="12" t="s">
        <v>282</v>
      </c>
    </row>
  </sheetData>
  <mergeCells count="2">
    <mergeCell ref="A2:D2"/>
    <mergeCell ref="A1:D1"/>
  </mergeCells>
  <pageMargins left="0.9055118110236221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CF56-CB21-4E1E-98B4-1BEC7A62DF4A}">
  <sheetPr>
    <pageSetUpPr fitToPage="1"/>
  </sheetPr>
  <dimension ref="A1:L56"/>
  <sheetViews>
    <sheetView zoomScaleNormal="100" workbookViewId="0">
      <selection activeCell="D7" sqref="D7"/>
    </sheetView>
  </sheetViews>
  <sheetFormatPr defaultRowHeight="14.4" x14ac:dyDescent="0.3"/>
  <cols>
    <col min="1" max="1" width="60.33203125" customWidth="1"/>
    <col min="3" max="4" width="17.5546875" customWidth="1"/>
    <col min="8" max="8" width="0" hidden="1" customWidth="1"/>
    <col min="9" max="9" width="17" hidden="1" customWidth="1"/>
    <col min="10" max="10" width="16.5546875" hidden="1" customWidth="1"/>
    <col min="11" max="11" width="18" hidden="1" customWidth="1"/>
    <col min="12" max="12" width="9.109375" hidden="1" customWidth="1"/>
    <col min="13" max="14" width="0" hidden="1" customWidth="1"/>
  </cols>
  <sheetData>
    <row r="1" spans="1:10" x14ac:dyDescent="0.3">
      <c r="A1" s="148" t="s">
        <v>112</v>
      </c>
      <c r="B1" s="148"/>
      <c r="C1" s="148"/>
      <c r="D1" s="148"/>
    </row>
    <row r="2" spans="1:10" ht="39.75" customHeight="1" x14ac:dyDescent="0.3">
      <c r="A2" s="146" t="s">
        <v>240</v>
      </c>
      <c r="B2" s="146"/>
      <c r="C2" s="146"/>
      <c r="D2" s="146"/>
    </row>
    <row r="3" spans="1:10" x14ac:dyDescent="0.3">
      <c r="A3" s="1"/>
      <c r="B3" s="1"/>
      <c r="C3" s="1"/>
      <c r="D3" s="4"/>
    </row>
    <row r="4" spans="1:10" x14ac:dyDescent="0.3">
      <c r="A4" s="2" t="s">
        <v>56</v>
      </c>
      <c r="B4" s="4" t="s">
        <v>1</v>
      </c>
      <c r="C4" s="5">
        <v>2022</v>
      </c>
      <c r="D4" s="5">
        <v>2021</v>
      </c>
    </row>
    <row r="5" spans="1:10" ht="15" thickBot="1" x14ac:dyDescent="0.35">
      <c r="A5" s="3"/>
      <c r="B5" s="3"/>
      <c r="C5" s="6"/>
      <c r="D5" s="6"/>
    </row>
    <row r="6" spans="1:10" x14ac:dyDescent="0.3">
      <c r="A6" s="9" t="s">
        <v>57</v>
      </c>
      <c r="B6" s="10"/>
      <c r="C6" s="10"/>
      <c r="D6" s="10"/>
    </row>
    <row r="7" spans="1:10" x14ac:dyDescent="0.3">
      <c r="A7" s="7" t="s">
        <v>15</v>
      </c>
      <c r="B7" s="10"/>
      <c r="C7" s="19">
        <f>'ОДР и ПСД'!C15</f>
        <v>968377</v>
      </c>
      <c r="D7" s="45">
        <v>803404</v>
      </c>
      <c r="I7" t="s">
        <v>106</v>
      </c>
    </row>
    <row r="8" spans="1:10" x14ac:dyDescent="0.3">
      <c r="A8" s="7" t="s">
        <v>58</v>
      </c>
      <c r="B8" s="10"/>
      <c r="C8" s="36"/>
      <c r="D8" s="46"/>
    </row>
    <row r="9" spans="1:10" x14ac:dyDescent="0.3">
      <c r="A9" s="7" t="s">
        <v>11</v>
      </c>
      <c r="B9" s="8" t="s">
        <v>12</v>
      </c>
      <c r="C9" s="19">
        <f>-'ОДР и ПСД'!C12</f>
        <v>-25708</v>
      </c>
      <c r="D9" s="45">
        <v>-6055</v>
      </c>
      <c r="I9" s="18" t="s">
        <v>99</v>
      </c>
    </row>
    <row r="10" spans="1:10" x14ac:dyDescent="0.3">
      <c r="A10" s="7" t="s">
        <v>13</v>
      </c>
      <c r="B10" s="8" t="s">
        <v>14</v>
      </c>
      <c r="C10" s="19">
        <f>-'ОДР и ПСД'!C13</f>
        <v>92184</v>
      </c>
      <c r="D10" s="45">
        <v>24583</v>
      </c>
      <c r="I10" t="s">
        <v>103</v>
      </c>
      <c r="J10" s="41">
        <v>2021</v>
      </c>
    </row>
    <row r="11" spans="1:10" x14ac:dyDescent="0.3">
      <c r="A11" s="7" t="s">
        <v>59</v>
      </c>
      <c r="B11" s="8">
        <v>4.5999999999999996</v>
      </c>
      <c r="C11" s="19">
        <f>J15/1000</f>
        <v>346580.48984000005</v>
      </c>
      <c r="D11" s="45">
        <v>309383</v>
      </c>
      <c r="I11" t="s">
        <v>95</v>
      </c>
      <c r="J11" s="30">
        <v>1541402.38</v>
      </c>
    </row>
    <row r="12" spans="1:10" x14ac:dyDescent="0.3">
      <c r="A12" s="7" t="s">
        <v>8</v>
      </c>
      <c r="B12" s="8">
        <v>8</v>
      </c>
      <c r="C12" s="19">
        <v>0</v>
      </c>
      <c r="D12" s="45">
        <v>155521</v>
      </c>
      <c r="I12" t="s">
        <v>96</v>
      </c>
      <c r="J12" s="30">
        <v>328430212.48000002</v>
      </c>
    </row>
    <row r="13" spans="1:10" x14ac:dyDescent="0.3">
      <c r="A13" s="7" t="s">
        <v>60</v>
      </c>
      <c r="B13" s="29">
        <v>7</v>
      </c>
      <c r="C13" s="45">
        <v>19187</v>
      </c>
      <c r="D13" s="45">
        <v>30839</v>
      </c>
      <c r="I13" t="s">
        <v>97</v>
      </c>
      <c r="J13" s="30">
        <v>9729731.6799999997</v>
      </c>
    </row>
    <row r="14" spans="1:10" x14ac:dyDescent="0.3">
      <c r="A14" s="7" t="s">
        <v>91</v>
      </c>
      <c r="B14" s="10"/>
      <c r="C14" s="45"/>
      <c r="D14" s="45"/>
      <c r="I14" t="s">
        <v>98</v>
      </c>
      <c r="J14" s="30">
        <v>6879143.2999999998</v>
      </c>
    </row>
    <row r="15" spans="1:10" ht="15" thickBot="1" x14ac:dyDescent="0.35">
      <c r="A15" s="7" t="s">
        <v>61</v>
      </c>
      <c r="B15" s="10"/>
      <c r="C15" s="47">
        <f>-J22/1000</f>
        <v>-1506.550379999999</v>
      </c>
      <c r="D15" s="47">
        <v>-13</v>
      </c>
      <c r="J15" s="58">
        <f>SUM(J11:J14)</f>
        <v>346580489.84000003</v>
      </c>
    </row>
    <row r="16" spans="1:10" x14ac:dyDescent="0.3">
      <c r="A16" s="151" t="s">
        <v>62</v>
      </c>
      <c r="B16" s="150"/>
      <c r="C16" s="48"/>
      <c r="D16" s="48"/>
      <c r="I16" s="18" t="s">
        <v>100</v>
      </c>
      <c r="J16" s="30"/>
    </row>
    <row r="17" spans="1:11" s="18" customFormat="1" x14ac:dyDescent="0.3">
      <c r="A17" s="151"/>
      <c r="B17" s="150"/>
      <c r="C17" s="49">
        <f>SUM(C7:C15)</f>
        <v>1399113.93946</v>
      </c>
      <c r="D17" s="50">
        <f>SUM(D7:D15)</f>
        <v>1317662</v>
      </c>
      <c r="I17" s="18" t="s">
        <v>103</v>
      </c>
      <c r="J17" s="149">
        <v>2021</v>
      </c>
      <c r="K17" s="149"/>
    </row>
    <row r="18" spans="1:11" x14ac:dyDescent="0.3">
      <c r="A18" s="7" t="s">
        <v>63</v>
      </c>
      <c r="B18" s="10"/>
      <c r="C18" s="19">
        <f>-(ОФП!C16-ОФП!D16)</f>
        <v>-702361.59999999963</v>
      </c>
      <c r="D18" s="45">
        <v>-2304766</v>
      </c>
      <c r="J18" s="40" t="s">
        <v>101</v>
      </c>
      <c r="K18" s="41" t="s">
        <v>102</v>
      </c>
    </row>
    <row r="19" spans="1:11" x14ac:dyDescent="0.3">
      <c r="A19" s="7" t="s">
        <v>64</v>
      </c>
      <c r="B19" s="10"/>
      <c r="C19" s="19">
        <f>-ОФП!C17+ОФП!D17</f>
        <v>15872</v>
      </c>
      <c r="D19" s="45">
        <v>-750773</v>
      </c>
      <c r="I19">
        <v>1030</v>
      </c>
      <c r="J19" s="30">
        <v>30291221.57</v>
      </c>
      <c r="K19" s="30">
        <v>-29797091.84</v>
      </c>
    </row>
    <row r="20" spans="1:11" x14ac:dyDescent="0.3">
      <c r="A20" s="7" t="s">
        <v>65</v>
      </c>
      <c r="B20" s="10"/>
      <c r="C20" s="19">
        <f>-(ОФП!C19-ОФП!D19)</f>
        <v>-1672</v>
      </c>
      <c r="D20" s="45">
        <v>-1462310</v>
      </c>
      <c r="I20">
        <v>1050</v>
      </c>
      <c r="J20" s="30">
        <v>1634987.2</v>
      </c>
      <c r="K20" s="30">
        <v>-622566.55000000005</v>
      </c>
    </row>
    <row r="21" spans="1:11" x14ac:dyDescent="0.3">
      <c r="A21" s="7" t="s">
        <v>66</v>
      </c>
      <c r="B21" s="10"/>
      <c r="C21" s="19">
        <f>ОФП!C39-ОФП!D39</f>
        <v>130227</v>
      </c>
      <c r="D21" s="45">
        <v>108521</v>
      </c>
      <c r="I21" t="s">
        <v>93</v>
      </c>
      <c r="J21" s="30">
        <f>SUM(J19:J20)</f>
        <v>31926208.77</v>
      </c>
      <c r="K21" s="30">
        <f>SUM(K19:K20)</f>
        <v>-30419658.390000001</v>
      </c>
    </row>
    <row r="22" spans="1:11" ht="15" thickBot="1" x14ac:dyDescent="0.35">
      <c r="A22" s="7" t="s">
        <v>92</v>
      </c>
      <c r="B22" s="10"/>
      <c r="C22" s="20">
        <f>ОФП!C37-ОФП!D37</f>
        <v>1480254</v>
      </c>
      <c r="D22" s="47">
        <v>1443425</v>
      </c>
      <c r="I22" s="18" t="s">
        <v>104</v>
      </c>
      <c r="J22" s="58">
        <f>J21+K21</f>
        <v>1506550.379999999</v>
      </c>
      <c r="K22" s="30"/>
    </row>
    <row r="23" spans="1:11" x14ac:dyDescent="0.3">
      <c r="A23" s="152" t="s">
        <v>67</v>
      </c>
      <c r="B23" s="38"/>
      <c r="C23" s="51"/>
      <c r="D23" s="52"/>
      <c r="J23" s="30"/>
      <c r="K23" s="30"/>
    </row>
    <row r="24" spans="1:11" x14ac:dyDescent="0.3">
      <c r="A24" s="152"/>
      <c r="B24" s="39">
        <v>23</v>
      </c>
      <c r="C24" s="49">
        <f>C17+C18+C19+C20+C21+C22</f>
        <v>2321433.3394600004</v>
      </c>
      <c r="D24" s="50">
        <f>D17+D18+D19+D20+D21+D22</f>
        <v>-1648241</v>
      </c>
      <c r="I24" s="18" t="s">
        <v>105</v>
      </c>
      <c r="J24" s="30"/>
    </row>
    <row r="25" spans="1:11" x14ac:dyDescent="0.3">
      <c r="A25" s="7" t="s">
        <v>68</v>
      </c>
      <c r="B25" s="10"/>
      <c r="C25" s="45">
        <f>J27/1000</f>
        <v>6953.7840300000007</v>
      </c>
      <c r="D25" s="45">
        <v>5544</v>
      </c>
      <c r="I25">
        <v>6110</v>
      </c>
      <c r="J25" s="30">
        <v>7203940.3300000001</v>
      </c>
    </row>
    <row r="26" spans="1:11" ht="15" thickBot="1" x14ac:dyDescent="0.35">
      <c r="A26" s="7" t="s">
        <v>69</v>
      </c>
      <c r="B26" s="10"/>
      <c r="C26" s="20">
        <v>-130000</v>
      </c>
      <c r="D26" s="47" t="s">
        <v>18</v>
      </c>
      <c r="I26">
        <v>1412</v>
      </c>
      <c r="J26" s="30">
        <v>250156.3</v>
      </c>
    </row>
    <row r="27" spans="1:11" x14ac:dyDescent="0.3">
      <c r="A27" s="153" t="s">
        <v>70</v>
      </c>
      <c r="B27" s="150"/>
      <c r="C27" s="48"/>
      <c r="D27" s="53"/>
      <c r="J27" s="31">
        <f>J25-J26</f>
        <v>6953784.0300000003</v>
      </c>
    </row>
    <row r="28" spans="1:11" ht="15" thickBot="1" x14ac:dyDescent="0.35">
      <c r="A28" s="153"/>
      <c r="B28" s="150"/>
      <c r="C28" s="54">
        <f>C24+C25+C26</f>
        <v>2198387.1234900006</v>
      </c>
      <c r="D28" s="55">
        <f>D24+D25</f>
        <v>-1642697</v>
      </c>
      <c r="J28" s="30"/>
    </row>
    <row r="29" spans="1:11" x14ac:dyDescent="0.3">
      <c r="A29" s="11"/>
      <c r="B29" s="150"/>
      <c r="C29" s="154"/>
      <c r="D29" s="156"/>
      <c r="I29" t="s">
        <v>107</v>
      </c>
      <c r="J29" t="s">
        <v>113</v>
      </c>
    </row>
    <row r="30" spans="1:11" x14ac:dyDescent="0.3">
      <c r="A30" s="9" t="s">
        <v>71</v>
      </c>
      <c r="B30" s="150"/>
      <c r="C30" s="155"/>
      <c r="D30" s="157"/>
      <c r="I30" t="s">
        <v>108</v>
      </c>
      <c r="J30" s="42">
        <v>384223102.47000003</v>
      </c>
      <c r="K30" s="30">
        <v>515015496.66000003</v>
      </c>
    </row>
    <row r="31" spans="1:11" x14ac:dyDescent="0.3">
      <c r="A31" s="7" t="s">
        <v>72</v>
      </c>
      <c r="B31" s="8">
        <v>11</v>
      </c>
      <c r="C31" s="45">
        <f>(-J30-J32)/1000</f>
        <v>-676617.79695000011</v>
      </c>
      <c r="D31" s="45">
        <v>-3441079</v>
      </c>
      <c r="I31" t="s">
        <v>109</v>
      </c>
      <c r="J31" s="42">
        <v>26383928.579999998</v>
      </c>
      <c r="K31" s="30">
        <f>J31*1.12</f>
        <v>29550000.009600002</v>
      </c>
    </row>
    <row r="32" spans="1:11" x14ac:dyDescent="0.3">
      <c r="A32" s="7" t="s">
        <v>73</v>
      </c>
      <c r="B32" s="8">
        <v>13</v>
      </c>
      <c r="C32" s="45">
        <f>-J31/1000</f>
        <v>-26383.92858</v>
      </c>
      <c r="D32" s="45">
        <v>-22894</v>
      </c>
      <c r="I32" t="s">
        <v>110</v>
      </c>
      <c r="J32" s="42">
        <v>292394694.48000002</v>
      </c>
      <c r="K32" s="30"/>
    </row>
    <row r="33" spans="1:10" x14ac:dyDescent="0.3">
      <c r="A33" s="7" t="s">
        <v>74</v>
      </c>
      <c r="B33" s="8">
        <v>17</v>
      </c>
      <c r="C33" s="45">
        <f>-J34/1000</f>
        <v>-12126.2</v>
      </c>
      <c r="D33" s="45">
        <v>-80626</v>
      </c>
      <c r="J33" s="42"/>
    </row>
    <row r="34" spans="1:10" ht="15" thickBot="1" x14ac:dyDescent="0.35">
      <c r="A34" s="7" t="s">
        <v>75</v>
      </c>
      <c r="B34" s="8">
        <v>19</v>
      </c>
      <c r="C34" s="47">
        <f>-1977.07143-27322+239</f>
        <v>-29060.07143</v>
      </c>
      <c r="D34" s="47">
        <v>-14165</v>
      </c>
      <c r="I34" t="s">
        <v>111</v>
      </c>
      <c r="J34" s="42">
        <v>12126200</v>
      </c>
    </row>
    <row r="35" spans="1:10" ht="24.6" thickBot="1" x14ac:dyDescent="0.35">
      <c r="A35" s="9" t="s">
        <v>76</v>
      </c>
      <c r="B35" s="10"/>
      <c r="C35" s="55">
        <f>SUM(C31:C34)</f>
        <v>-744187.99696000002</v>
      </c>
      <c r="D35" s="55">
        <f>SUM(D31:D34)</f>
        <v>-3558764</v>
      </c>
      <c r="J35" s="42"/>
    </row>
    <row r="36" spans="1:10" x14ac:dyDescent="0.3">
      <c r="A36" s="11"/>
      <c r="B36" s="150"/>
      <c r="C36" s="156"/>
      <c r="D36" s="156"/>
      <c r="J36" s="42"/>
    </row>
    <row r="37" spans="1:10" x14ac:dyDescent="0.3">
      <c r="A37" s="9" t="s">
        <v>77</v>
      </c>
      <c r="B37" s="150"/>
      <c r="C37" s="157"/>
      <c r="D37" s="157"/>
      <c r="J37" s="42"/>
    </row>
    <row r="38" spans="1:10" x14ac:dyDescent="0.3">
      <c r="A38" s="7" t="s">
        <v>78</v>
      </c>
      <c r="B38" s="8" t="s">
        <v>45</v>
      </c>
      <c r="C38" s="45">
        <v>0</v>
      </c>
      <c r="D38" s="45">
        <v>5370000</v>
      </c>
      <c r="J38" s="42"/>
    </row>
    <row r="39" spans="1:10" ht="15" thickBot="1" x14ac:dyDescent="0.35">
      <c r="A39" s="7" t="s">
        <v>79</v>
      </c>
      <c r="B39" s="8" t="s">
        <v>50</v>
      </c>
      <c r="C39" s="47">
        <v>-11260</v>
      </c>
      <c r="D39" s="47">
        <v>-12960</v>
      </c>
    </row>
    <row r="40" spans="1:10" ht="15" thickBot="1" x14ac:dyDescent="0.35">
      <c r="A40" s="9" t="s">
        <v>80</v>
      </c>
      <c r="B40" s="10"/>
      <c r="C40" s="55">
        <f>SUM(C38:C39)</f>
        <v>-11260</v>
      </c>
      <c r="D40" s="55">
        <f>SUM(D38:D39)</f>
        <v>5357040</v>
      </c>
    </row>
    <row r="41" spans="1:10" x14ac:dyDescent="0.3">
      <c r="A41" s="11"/>
      <c r="B41" s="150"/>
      <c r="C41" s="56"/>
      <c r="D41" s="56"/>
    </row>
    <row r="42" spans="1:10" x14ac:dyDescent="0.3">
      <c r="A42" s="7" t="s">
        <v>81</v>
      </c>
      <c r="B42" s="150"/>
      <c r="C42" s="45">
        <f>C28+C35+C40</f>
        <v>1442939.1265300005</v>
      </c>
      <c r="D42" s="45">
        <f>D28+D35+D40</f>
        <v>155579</v>
      </c>
    </row>
    <row r="43" spans="1:10" x14ac:dyDescent="0.3">
      <c r="A43" s="7" t="s">
        <v>82</v>
      </c>
      <c r="B43" s="10"/>
      <c r="C43" s="45">
        <f>-C15</f>
        <v>1506.550379999999</v>
      </c>
      <c r="D43" s="45">
        <v>13</v>
      </c>
    </row>
    <row r="44" spans="1:10" ht="15" thickBot="1" x14ac:dyDescent="0.35">
      <c r="A44" s="7" t="s">
        <v>83</v>
      </c>
      <c r="B44" s="10"/>
      <c r="C44" s="47">
        <f>D45</f>
        <v>247136</v>
      </c>
      <c r="D44" s="47">
        <v>91544</v>
      </c>
      <c r="E44" s="24"/>
    </row>
    <row r="45" spans="1:10" ht="15" thickBot="1" x14ac:dyDescent="0.35">
      <c r="A45" s="9" t="s">
        <v>84</v>
      </c>
      <c r="B45" s="8">
        <v>17</v>
      </c>
      <c r="C45" s="57">
        <f>SUM(C42:C44)</f>
        <v>1691581.6769100004</v>
      </c>
      <c r="D45" s="57">
        <f>SUM(D42:D44)</f>
        <v>247136</v>
      </c>
    </row>
    <row r="46" spans="1:10" ht="15" thickTop="1" x14ac:dyDescent="0.3">
      <c r="A46" s="25"/>
      <c r="C46" s="44"/>
      <c r="D46" s="44"/>
    </row>
    <row r="47" spans="1:10" x14ac:dyDescent="0.3">
      <c r="A47" s="26" t="s">
        <v>85</v>
      </c>
      <c r="C47" s="35"/>
    </row>
    <row r="48" spans="1:10" x14ac:dyDescent="0.3">
      <c r="A48" s="27"/>
    </row>
    <row r="49" spans="1:4" x14ac:dyDescent="0.3">
      <c r="A49" s="16"/>
      <c r="B49" s="16"/>
      <c r="C49" s="16"/>
      <c r="D49" s="4"/>
    </row>
    <row r="50" spans="1:4" x14ac:dyDescent="0.3">
      <c r="A50" s="2" t="s">
        <v>56</v>
      </c>
      <c r="B50" s="4" t="s">
        <v>1</v>
      </c>
      <c r="C50" s="5">
        <v>2021</v>
      </c>
      <c r="D50" s="5">
        <v>2020</v>
      </c>
    </row>
    <row r="51" spans="1:4" ht="15" thickBot="1" x14ac:dyDescent="0.35">
      <c r="A51" s="3"/>
      <c r="B51" s="3"/>
      <c r="C51" s="6"/>
      <c r="D51" s="6"/>
    </row>
    <row r="52" spans="1:4" x14ac:dyDescent="0.3">
      <c r="A52" s="7" t="s">
        <v>86</v>
      </c>
      <c r="B52" s="8">
        <v>19</v>
      </c>
      <c r="C52" s="19" t="s">
        <v>9</v>
      </c>
      <c r="D52" s="19">
        <v>413448</v>
      </c>
    </row>
    <row r="53" spans="1:4" x14ac:dyDescent="0.3">
      <c r="A53" s="7" t="s">
        <v>87</v>
      </c>
      <c r="B53" s="8">
        <v>19</v>
      </c>
      <c r="C53" s="19" t="s">
        <v>9</v>
      </c>
      <c r="D53" s="19">
        <v>30127</v>
      </c>
    </row>
    <row r="54" spans="1:4" x14ac:dyDescent="0.3">
      <c r="A54" s="7" t="s">
        <v>88</v>
      </c>
      <c r="B54" s="8">
        <v>20</v>
      </c>
      <c r="C54" s="19">
        <v>60217</v>
      </c>
      <c r="D54" s="19">
        <v>59262</v>
      </c>
    </row>
    <row r="55" spans="1:4" x14ac:dyDescent="0.3">
      <c r="A55" s="7" t="s">
        <v>89</v>
      </c>
      <c r="B55" s="8">
        <v>20</v>
      </c>
      <c r="C55" s="19">
        <v>-42564</v>
      </c>
      <c r="D55" s="19">
        <v>-4878</v>
      </c>
    </row>
    <row r="56" spans="1:4" ht="15" thickBot="1" x14ac:dyDescent="0.35">
      <c r="A56" s="7" t="s">
        <v>90</v>
      </c>
      <c r="B56" s="10"/>
      <c r="C56" s="20">
        <v>773</v>
      </c>
      <c r="D56" s="20">
        <v>511</v>
      </c>
    </row>
  </sheetData>
  <mergeCells count="15">
    <mergeCell ref="A1:D1"/>
    <mergeCell ref="J17:K17"/>
    <mergeCell ref="B41:B42"/>
    <mergeCell ref="A16:A17"/>
    <mergeCell ref="B16:B17"/>
    <mergeCell ref="A23:A24"/>
    <mergeCell ref="A27:A28"/>
    <mergeCell ref="B27:B28"/>
    <mergeCell ref="B29:B30"/>
    <mergeCell ref="A2:D2"/>
    <mergeCell ref="C29:C30"/>
    <mergeCell ref="D29:D30"/>
    <mergeCell ref="B36:B37"/>
    <mergeCell ref="C36:C37"/>
    <mergeCell ref="D36:D37"/>
  </mergeCells>
  <pageMargins left="0.70866141732283472" right="0.31496062992125984" top="0.74803149606299213" bottom="0.55118110236220474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C01C-0716-496E-BFDE-647CC40E9BF0}">
  <sheetPr>
    <pageSetUpPr fitToPage="1"/>
  </sheetPr>
  <dimension ref="A1:G60"/>
  <sheetViews>
    <sheetView zoomScaleNormal="100" workbookViewId="0">
      <selection activeCell="H26" sqref="H26"/>
    </sheetView>
  </sheetViews>
  <sheetFormatPr defaultRowHeight="14.4" x14ac:dyDescent="0.3"/>
  <cols>
    <col min="1" max="1" width="60.33203125" customWidth="1"/>
    <col min="2" max="2" width="9.21875" customWidth="1"/>
    <col min="3" max="4" width="17.5546875" customWidth="1"/>
    <col min="6" max="6" width="13.44140625" bestFit="1" customWidth="1"/>
    <col min="9" max="9" width="9.109375" customWidth="1"/>
  </cols>
  <sheetData>
    <row r="1" spans="1:7" x14ac:dyDescent="0.3">
      <c r="A1" s="147" t="s">
        <v>112</v>
      </c>
      <c r="B1" s="147"/>
      <c r="C1" s="147"/>
      <c r="D1" s="147"/>
    </row>
    <row r="2" spans="1:7" ht="39.75" customHeight="1" x14ac:dyDescent="0.3">
      <c r="A2" s="146" t="s">
        <v>328</v>
      </c>
      <c r="B2" s="146"/>
      <c r="C2" s="146"/>
      <c r="D2" s="146"/>
    </row>
    <row r="3" spans="1:7" x14ac:dyDescent="0.3">
      <c r="A3" s="1"/>
      <c r="B3" s="1"/>
      <c r="C3" s="1"/>
      <c r="D3" s="4"/>
    </row>
    <row r="4" spans="1:7" ht="15" thickBot="1" x14ac:dyDescent="0.35">
      <c r="A4" s="2" t="s">
        <v>56</v>
      </c>
      <c r="B4" s="4" t="s">
        <v>1</v>
      </c>
      <c r="C4" s="118" t="s">
        <v>324</v>
      </c>
      <c r="D4" s="118" t="s">
        <v>326</v>
      </c>
    </row>
    <row r="5" spans="1:7" x14ac:dyDescent="0.3">
      <c r="A5" s="82" t="s">
        <v>57</v>
      </c>
      <c r="B5" s="120"/>
      <c r="C5" s="127"/>
      <c r="D5" s="144"/>
    </row>
    <row r="6" spans="1:7" x14ac:dyDescent="0.3">
      <c r="A6" s="119" t="s">
        <v>288</v>
      </c>
      <c r="B6" s="120" t="s">
        <v>298</v>
      </c>
      <c r="C6" s="87">
        <v>974333</v>
      </c>
      <c r="D6" s="76">
        <v>424971</v>
      </c>
    </row>
    <row r="7" spans="1:7" x14ac:dyDescent="0.3">
      <c r="A7" s="119" t="s">
        <v>58</v>
      </c>
      <c r="B7" s="120" t="s">
        <v>298</v>
      </c>
      <c r="C7" s="87"/>
      <c r="D7" s="19"/>
    </row>
    <row r="8" spans="1:7" x14ac:dyDescent="0.3">
      <c r="A8" s="119" t="s">
        <v>11</v>
      </c>
      <c r="B8" s="120" t="s">
        <v>12</v>
      </c>
      <c r="C8" s="87">
        <v>-25708</v>
      </c>
      <c r="D8" s="76">
        <v>-29271</v>
      </c>
      <c r="F8" s="28"/>
      <c r="G8" s="28"/>
    </row>
    <row r="9" spans="1:7" x14ac:dyDescent="0.3">
      <c r="A9" s="119" t="s">
        <v>13</v>
      </c>
      <c r="B9" s="120" t="s">
        <v>14</v>
      </c>
      <c r="C9" s="87">
        <v>14276</v>
      </c>
      <c r="D9" s="76">
        <v>22456</v>
      </c>
      <c r="F9" s="28"/>
      <c r="G9" s="28"/>
    </row>
    <row r="10" spans="1:7" x14ac:dyDescent="0.3">
      <c r="A10" s="119" t="s">
        <v>299</v>
      </c>
      <c r="B10" s="120">
        <v>4.5999999999999996</v>
      </c>
      <c r="C10" s="87">
        <v>903895</v>
      </c>
      <c r="D10" s="76">
        <v>788611</v>
      </c>
    </row>
    <row r="11" spans="1:7" x14ac:dyDescent="0.3">
      <c r="A11" s="119" t="s">
        <v>300</v>
      </c>
      <c r="B11" s="120">
        <v>8</v>
      </c>
      <c r="C11" s="87"/>
      <c r="D11" s="76">
        <v>-256869</v>
      </c>
    </row>
    <row r="12" spans="1:7" x14ac:dyDescent="0.3">
      <c r="A12" s="119" t="s">
        <v>60</v>
      </c>
      <c r="B12" s="120">
        <v>7</v>
      </c>
      <c r="C12" s="87">
        <v>38407</v>
      </c>
      <c r="D12" s="76">
        <v>476</v>
      </c>
    </row>
    <row r="13" spans="1:7" ht="22.5" customHeight="1" thickBot="1" x14ac:dyDescent="0.35">
      <c r="A13" s="119" t="s">
        <v>289</v>
      </c>
      <c r="B13" s="120">
        <v>7</v>
      </c>
      <c r="C13" s="139">
        <v>252721</v>
      </c>
      <c r="D13" s="145">
        <v>562810</v>
      </c>
    </row>
    <row r="14" spans="1:7" ht="22.8" x14ac:dyDescent="0.3">
      <c r="A14" s="119" t="s">
        <v>62</v>
      </c>
      <c r="B14" s="120" t="s">
        <v>298</v>
      </c>
      <c r="C14" s="140">
        <f>SUM(C6:C13)</f>
        <v>2157924</v>
      </c>
      <c r="D14" s="49">
        <f>SUM(D6:D13)</f>
        <v>1513184</v>
      </c>
    </row>
    <row r="15" spans="1:7" ht="14.4" customHeight="1" x14ac:dyDescent="0.3">
      <c r="A15" s="119" t="s">
        <v>63</v>
      </c>
      <c r="B15" s="120" t="s">
        <v>298</v>
      </c>
      <c r="C15" s="87">
        <v>-701888</v>
      </c>
      <c r="D15" s="76">
        <v>-771056</v>
      </c>
    </row>
    <row r="16" spans="1:7" s="18" customFormat="1" x14ac:dyDescent="0.3">
      <c r="A16" s="119" t="s">
        <v>64</v>
      </c>
      <c r="B16" s="120" t="s">
        <v>298</v>
      </c>
      <c r="C16" s="87">
        <v>-187095</v>
      </c>
      <c r="D16" s="76">
        <v>-167520</v>
      </c>
    </row>
    <row r="17" spans="1:4" x14ac:dyDescent="0.3">
      <c r="A17" s="119" t="s">
        <v>301</v>
      </c>
      <c r="B17" s="120" t="s">
        <v>298</v>
      </c>
      <c r="C17" s="87">
        <v>23136</v>
      </c>
      <c r="D17" s="76">
        <v>453533</v>
      </c>
    </row>
    <row r="18" spans="1:4" x14ac:dyDescent="0.3">
      <c r="A18" s="119" t="s">
        <v>302</v>
      </c>
      <c r="B18" s="120" t="s">
        <v>298</v>
      </c>
      <c r="C18" s="87">
        <v>40924.6</v>
      </c>
      <c r="D18" s="19">
        <v>-62017</v>
      </c>
    </row>
    <row r="19" spans="1:4" ht="15" thickBot="1" x14ac:dyDescent="0.35">
      <c r="A19" s="119" t="s">
        <v>303</v>
      </c>
      <c r="B19" s="120" t="s">
        <v>298</v>
      </c>
      <c r="C19" s="139">
        <v>1221352</v>
      </c>
      <c r="D19" s="145">
        <v>-58260</v>
      </c>
    </row>
    <row r="20" spans="1:4" ht="23.4" customHeight="1" x14ac:dyDescent="0.3">
      <c r="A20" s="121" t="s">
        <v>304</v>
      </c>
      <c r="B20" s="131">
        <v>25</v>
      </c>
      <c r="C20" s="140">
        <f>SUM(C14:C19)</f>
        <v>2554353.6</v>
      </c>
      <c r="D20" s="49">
        <f>SUM(D14:D19)</f>
        <v>907864</v>
      </c>
    </row>
    <row r="21" spans="1:4" x14ac:dyDescent="0.3">
      <c r="A21" s="119" t="s">
        <v>68</v>
      </c>
      <c r="B21" s="131"/>
      <c r="C21" s="87">
        <v>221697</v>
      </c>
      <c r="D21" s="76">
        <v>29271</v>
      </c>
    </row>
    <row r="22" spans="1:4" x14ac:dyDescent="0.3">
      <c r="A22" s="119" t="s">
        <v>305</v>
      </c>
      <c r="B22" s="131">
        <v>20</v>
      </c>
      <c r="C22" s="87" t="s">
        <v>22</v>
      </c>
      <c r="D22" s="76"/>
    </row>
    <row r="23" spans="1:4" ht="15" thickBot="1" x14ac:dyDescent="0.35">
      <c r="A23" s="119" t="s">
        <v>69</v>
      </c>
      <c r="B23" s="120" t="s">
        <v>298</v>
      </c>
      <c r="C23" s="87" t="s">
        <v>306</v>
      </c>
      <c r="D23" s="76">
        <v>-316157</v>
      </c>
    </row>
    <row r="24" spans="1:4" ht="14.4" customHeight="1" thickBot="1" x14ac:dyDescent="0.35">
      <c r="A24" s="82" t="s">
        <v>290</v>
      </c>
      <c r="B24" s="120" t="s">
        <v>298</v>
      </c>
      <c r="C24" s="141">
        <f>SUM(C20:C23)</f>
        <v>2776050.6</v>
      </c>
      <c r="D24" s="136">
        <f>SUM(D20:D23)</f>
        <v>620978</v>
      </c>
    </row>
    <row r="25" spans="1:4" x14ac:dyDescent="0.3">
      <c r="A25" s="82" t="s">
        <v>71</v>
      </c>
      <c r="B25" s="120" t="s">
        <v>298</v>
      </c>
      <c r="C25" s="87"/>
      <c r="D25" s="19"/>
    </row>
    <row r="26" spans="1:4" x14ac:dyDescent="0.3">
      <c r="A26" s="119" t="s">
        <v>72</v>
      </c>
      <c r="B26" s="120">
        <v>11</v>
      </c>
      <c r="C26" s="87">
        <v>-2804863</v>
      </c>
      <c r="D26" s="76">
        <v>-1949637</v>
      </c>
    </row>
    <row r="27" spans="1:4" x14ac:dyDescent="0.3">
      <c r="A27" s="119" t="s">
        <v>73</v>
      </c>
      <c r="B27" s="120">
        <v>13</v>
      </c>
      <c r="C27" s="87"/>
      <c r="D27" s="76">
        <v>-9068</v>
      </c>
    </row>
    <row r="28" spans="1:4" x14ac:dyDescent="0.3">
      <c r="A28" s="119" t="s">
        <v>74</v>
      </c>
      <c r="B28" s="120">
        <v>18</v>
      </c>
      <c r="C28" s="87">
        <v>-7925</v>
      </c>
      <c r="D28" s="76">
        <v>-7147</v>
      </c>
    </row>
    <row r="29" spans="1:4" ht="15" thickBot="1" x14ac:dyDescent="0.35">
      <c r="A29" s="119" t="s">
        <v>75</v>
      </c>
      <c r="B29" s="120">
        <v>21</v>
      </c>
      <c r="C29" s="87">
        <v>0</v>
      </c>
      <c r="D29" s="76">
        <v>-4192</v>
      </c>
    </row>
    <row r="30" spans="1:4" ht="24.6" thickBot="1" x14ac:dyDescent="0.35">
      <c r="A30" s="82" t="s">
        <v>322</v>
      </c>
      <c r="B30" s="120" t="s">
        <v>298</v>
      </c>
      <c r="C30" s="141">
        <f>SUM(C26:C29)</f>
        <v>-2812788</v>
      </c>
      <c r="D30" s="136">
        <f>SUM(D26:D29)</f>
        <v>-1970044</v>
      </c>
    </row>
    <row r="31" spans="1:4" x14ac:dyDescent="0.3">
      <c r="A31" s="82" t="s">
        <v>77</v>
      </c>
      <c r="B31" s="120"/>
      <c r="C31" s="142"/>
      <c r="D31" s="21"/>
    </row>
    <row r="32" spans="1:4" x14ac:dyDescent="0.3">
      <c r="A32" s="119" t="s">
        <v>307</v>
      </c>
      <c r="B32" s="120">
        <v>20</v>
      </c>
      <c r="C32" s="87">
        <v>974803</v>
      </c>
      <c r="D32" s="76">
        <v>1522613</v>
      </c>
    </row>
    <row r="33" spans="1:5" x14ac:dyDescent="0.3">
      <c r="A33" s="119" t="s">
        <v>308</v>
      </c>
      <c r="B33" s="120">
        <v>20</v>
      </c>
      <c r="C33" s="87">
        <v>-972649</v>
      </c>
      <c r="D33" s="76">
        <v>-187405</v>
      </c>
    </row>
    <row r="34" spans="1:5" ht="15" thickBot="1" x14ac:dyDescent="0.35">
      <c r="A34" s="119" t="s">
        <v>79</v>
      </c>
      <c r="B34" s="120" t="s">
        <v>309</v>
      </c>
      <c r="C34" s="139">
        <v>-13231</v>
      </c>
      <c r="D34" s="145">
        <v>-11340</v>
      </c>
    </row>
    <row r="35" spans="1:5" ht="24" x14ac:dyDescent="0.3">
      <c r="A35" s="82" t="s">
        <v>310</v>
      </c>
      <c r="B35" s="122"/>
      <c r="C35" s="142">
        <f>SUM(C32:C34)</f>
        <v>-11077</v>
      </c>
      <c r="D35" s="21">
        <f>SUM(D32:D34)</f>
        <v>1323868</v>
      </c>
    </row>
    <row r="36" spans="1:5" x14ac:dyDescent="0.3">
      <c r="A36" s="119" t="s">
        <v>311</v>
      </c>
      <c r="B36" s="120"/>
      <c r="C36" s="87">
        <v>-47814</v>
      </c>
      <c r="D36" s="76">
        <v>-25197</v>
      </c>
    </row>
    <row r="37" spans="1:5" x14ac:dyDescent="0.3">
      <c r="A37" s="119" t="s">
        <v>82</v>
      </c>
      <c r="B37" s="120"/>
      <c r="C37" s="87">
        <v>14415</v>
      </c>
      <c r="D37" s="76">
        <v>-103735</v>
      </c>
    </row>
    <row r="38" spans="1:5" ht="15" thickBot="1" x14ac:dyDescent="0.35">
      <c r="A38" s="119" t="s">
        <v>83</v>
      </c>
      <c r="B38" s="120" t="s">
        <v>298</v>
      </c>
      <c r="C38" s="139">
        <v>383592</v>
      </c>
      <c r="D38" s="145">
        <v>530058</v>
      </c>
    </row>
    <row r="39" spans="1:5" ht="15" thickBot="1" x14ac:dyDescent="0.35">
      <c r="A39" s="82" t="s">
        <v>84</v>
      </c>
      <c r="B39" s="120">
        <v>17</v>
      </c>
      <c r="C39" s="143">
        <f>SUM(C36:C38)</f>
        <v>350193</v>
      </c>
      <c r="D39" s="138">
        <f>SUM(D36:D38)</f>
        <v>401126</v>
      </c>
    </row>
    <row r="40" spans="1:5" x14ac:dyDescent="0.3">
      <c r="A40" s="123"/>
    </row>
    <row r="41" spans="1:5" ht="34.200000000000003" customHeight="1" x14ac:dyDescent="0.3">
      <c r="A41" s="123"/>
    </row>
    <row r="42" spans="1:5" ht="22.2" customHeight="1" x14ac:dyDescent="0.3">
      <c r="A42" s="123"/>
    </row>
    <row r="43" spans="1:5" ht="17.399999999999999" customHeight="1" x14ac:dyDescent="0.3">
      <c r="A43" s="124" t="s">
        <v>85</v>
      </c>
      <c r="E43" s="24"/>
    </row>
    <row r="44" spans="1:5" x14ac:dyDescent="0.3">
      <c r="A44" s="123"/>
    </row>
    <row r="45" spans="1:5" x14ac:dyDescent="0.3">
      <c r="A45" s="123"/>
    </row>
    <row r="46" spans="1:5" ht="15" thickBot="1" x14ac:dyDescent="0.35">
      <c r="A46" s="125" t="s">
        <v>56</v>
      </c>
      <c r="B46" s="126" t="s">
        <v>1</v>
      </c>
      <c r="C46" s="118">
        <v>45565</v>
      </c>
      <c r="D46" s="118">
        <v>45199</v>
      </c>
    </row>
    <row r="47" spans="1:5" x14ac:dyDescent="0.3">
      <c r="A47" s="119" t="s">
        <v>312</v>
      </c>
      <c r="B47" s="120"/>
      <c r="C47" s="120" t="s">
        <v>9</v>
      </c>
      <c r="D47" s="19">
        <v>-256869</v>
      </c>
    </row>
    <row r="48" spans="1:5" x14ac:dyDescent="0.3">
      <c r="A48" s="119" t="s">
        <v>313</v>
      </c>
      <c r="B48" s="120">
        <v>20</v>
      </c>
      <c r="C48" s="120" t="s">
        <v>9</v>
      </c>
      <c r="D48" s="19"/>
    </row>
    <row r="49" spans="1:4" x14ac:dyDescent="0.3">
      <c r="A49" s="119" t="s">
        <v>314</v>
      </c>
      <c r="B49" s="120">
        <v>21</v>
      </c>
      <c r="C49" s="120"/>
      <c r="D49" s="19"/>
    </row>
    <row r="50" spans="1:4" ht="24" customHeight="1" x14ac:dyDescent="0.3">
      <c r="A50" s="119" t="s">
        <v>315</v>
      </c>
      <c r="B50" s="120"/>
      <c r="C50" s="120" t="s">
        <v>316</v>
      </c>
      <c r="D50" s="19">
        <v>1195635</v>
      </c>
    </row>
    <row r="51" spans="1:4" x14ac:dyDescent="0.3">
      <c r="A51" s="119" t="s">
        <v>317</v>
      </c>
      <c r="B51" s="120"/>
      <c r="C51" s="120" t="s">
        <v>318</v>
      </c>
      <c r="D51" s="19">
        <v>2612</v>
      </c>
    </row>
    <row r="52" spans="1:4" x14ac:dyDescent="0.3">
      <c r="A52" s="119" t="s">
        <v>319</v>
      </c>
      <c r="B52" s="120"/>
      <c r="C52" s="120" t="s">
        <v>9</v>
      </c>
      <c r="D52" s="120"/>
    </row>
    <row r="53" spans="1:4" ht="13.8" customHeight="1" x14ac:dyDescent="0.3">
      <c r="A53" s="12"/>
    </row>
    <row r="54" spans="1:4" ht="13.8" customHeight="1" x14ac:dyDescent="0.3">
      <c r="A54" s="12" t="s">
        <v>21</v>
      </c>
    </row>
    <row r="55" spans="1:4" ht="16.8" x14ac:dyDescent="0.3">
      <c r="A55" s="14" t="s">
        <v>22</v>
      </c>
    </row>
    <row r="56" spans="1:4" ht="19.8" customHeight="1" x14ac:dyDescent="0.3">
      <c r="A56" s="15" t="s">
        <v>23</v>
      </c>
      <c r="B56" s="15" t="s">
        <v>293</v>
      </c>
    </row>
    <row r="57" spans="1:4" ht="8.4" customHeight="1" x14ac:dyDescent="0.3">
      <c r="A57" s="12"/>
      <c r="C57" s="101"/>
    </row>
    <row r="58" spans="1:4" ht="18" customHeight="1" x14ac:dyDescent="0.3">
      <c r="A58" s="12" t="s">
        <v>24</v>
      </c>
      <c r="B58" s="102" t="s">
        <v>276</v>
      </c>
    </row>
    <row r="59" spans="1:4" ht="9" customHeight="1" x14ac:dyDescent="0.3">
      <c r="A59" s="12"/>
      <c r="C59" s="101"/>
    </row>
    <row r="60" spans="1:4" x14ac:dyDescent="0.3">
      <c r="A60" s="12" t="s">
        <v>291</v>
      </c>
      <c r="B60" t="s">
        <v>247</v>
      </c>
    </row>
  </sheetData>
  <mergeCells count="2">
    <mergeCell ref="A1:D1"/>
    <mergeCell ref="A2:D2"/>
  </mergeCells>
  <pageMargins left="0.70866141732283472" right="0.31496062992125984" top="0.74803149606299213" bottom="0.55118110236220474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24DF-F17A-4958-AD92-0813B78D813D}">
  <sheetPr>
    <pageSetUpPr fitToPage="1"/>
  </sheetPr>
  <dimension ref="A1:AB99"/>
  <sheetViews>
    <sheetView topLeftCell="A4" zoomScaleNormal="100" workbookViewId="0">
      <selection activeCell="A10" sqref="A10:D10"/>
    </sheetView>
  </sheetViews>
  <sheetFormatPr defaultColWidth="9.109375" defaultRowHeight="14.4" x14ac:dyDescent="0.3"/>
  <cols>
    <col min="1" max="1" width="54.33203125" style="61" customWidth="1"/>
    <col min="2" max="2" width="9.109375" style="61"/>
    <col min="3" max="3" width="15.5546875" style="61" customWidth="1"/>
    <col min="4" max="4" width="18.5546875" style="61" customWidth="1"/>
    <col min="5" max="7" width="0" style="61" hidden="1" customWidth="1"/>
    <col min="8" max="9" width="12.6640625" style="62" hidden="1" customWidth="1"/>
    <col min="10" max="27" width="0" style="61" hidden="1" customWidth="1"/>
    <col min="28" max="28" width="12.6640625" style="61" hidden="1" customWidth="1"/>
    <col min="29" max="16384" width="9.109375" style="61"/>
  </cols>
  <sheetData>
    <row r="1" spans="1:9" s="59" customFormat="1" ht="9.6" x14ac:dyDescent="0.2">
      <c r="A1" s="165" t="s">
        <v>114</v>
      </c>
      <c r="B1" s="165"/>
      <c r="C1" s="165"/>
      <c r="D1" s="165"/>
      <c r="H1" s="60"/>
      <c r="I1" s="60"/>
    </row>
    <row r="2" spans="1:9" s="59" customFormat="1" ht="9.6" x14ac:dyDescent="0.2">
      <c r="A2" s="165" t="s">
        <v>115</v>
      </c>
      <c r="B2" s="165"/>
      <c r="C2" s="165"/>
      <c r="D2" s="165"/>
      <c r="H2" s="60"/>
      <c r="I2" s="60"/>
    </row>
    <row r="3" spans="1:9" s="59" customFormat="1" ht="9.6" x14ac:dyDescent="0.2">
      <c r="A3" s="165" t="s">
        <v>116</v>
      </c>
      <c r="B3" s="165"/>
      <c r="C3" s="165"/>
      <c r="D3" s="165"/>
      <c r="H3" s="60"/>
      <c r="I3" s="60"/>
    </row>
    <row r="4" spans="1:9" s="59" customFormat="1" ht="9.6" x14ac:dyDescent="0.2">
      <c r="A4" s="165" t="s">
        <v>117</v>
      </c>
      <c r="B4" s="165"/>
      <c r="C4" s="165"/>
      <c r="D4" s="165"/>
      <c r="H4" s="60"/>
      <c r="I4" s="60"/>
    </row>
    <row r="5" spans="1:9" ht="15.6" x14ac:dyDescent="0.3">
      <c r="A5" s="166"/>
      <c r="B5" s="166"/>
      <c r="C5" s="166"/>
      <c r="D5" s="166"/>
    </row>
    <row r="6" spans="1:9" x14ac:dyDescent="0.3">
      <c r="A6" s="167" t="s">
        <v>118</v>
      </c>
      <c r="B6" s="167"/>
      <c r="C6" s="167"/>
      <c r="D6" s="167"/>
    </row>
    <row r="7" spans="1:9" ht="15.6" x14ac:dyDescent="0.3">
      <c r="A7" s="166"/>
      <c r="B7" s="166"/>
      <c r="C7" s="166"/>
      <c r="D7" s="166"/>
    </row>
    <row r="8" spans="1:9" s="63" customFormat="1" ht="13.8" x14ac:dyDescent="0.25">
      <c r="A8" s="168" t="s">
        <v>119</v>
      </c>
      <c r="B8" s="168"/>
      <c r="C8" s="168"/>
      <c r="D8" s="168"/>
      <c r="H8" s="64"/>
      <c r="I8" s="64"/>
    </row>
    <row r="9" spans="1:9" s="63" customFormat="1" ht="13.8" x14ac:dyDescent="0.25">
      <c r="A9" s="169" t="s">
        <v>255</v>
      </c>
      <c r="B9" s="169"/>
      <c r="C9" s="169"/>
      <c r="D9" s="169"/>
      <c r="H9" s="64"/>
      <c r="I9" s="64"/>
    </row>
    <row r="10" spans="1:9" s="65" customFormat="1" ht="11.4" x14ac:dyDescent="0.2">
      <c r="A10" s="170"/>
      <c r="B10" s="170"/>
      <c r="C10" s="170"/>
      <c r="D10" s="170"/>
      <c r="H10" s="66"/>
      <c r="I10" s="66"/>
    </row>
    <row r="11" spans="1:9" s="65" customFormat="1" ht="11.4" x14ac:dyDescent="0.2">
      <c r="A11" s="159" t="s">
        <v>120</v>
      </c>
      <c r="B11" s="159"/>
      <c r="C11" s="159"/>
      <c r="D11" s="159"/>
      <c r="H11" s="66"/>
      <c r="I11" s="66"/>
    </row>
    <row r="12" spans="1:9" s="65" customFormat="1" ht="11.4" x14ac:dyDescent="0.2">
      <c r="A12" s="159" t="s">
        <v>121</v>
      </c>
      <c r="B12" s="159"/>
      <c r="C12" s="159"/>
      <c r="D12" s="159"/>
      <c r="H12" s="66"/>
      <c r="I12" s="66"/>
    </row>
    <row r="13" spans="1:9" s="65" customFormat="1" ht="16.5" customHeight="1" x14ac:dyDescent="0.2">
      <c r="A13" s="159" t="s">
        <v>122</v>
      </c>
      <c r="B13" s="159"/>
      <c r="C13" s="159"/>
      <c r="D13" s="159"/>
      <c r="H13" s="66"/>
      <c r="I13" s="66"/>
    </row>
    <row r="14" spans="1:9" s="65" customFormat="1" ht="30.75" customHeight="1" x14ac:dyDescent="0.2">
      <c r="A14" s="159" t="s">
        <v>123</v>
      </c>
      <c r="B14" s="159"/>
      <c r="C14" s="159"/>
      <c r="D14" s="159"/>
      <c r="H14" s="66"/>
      <c r="I14" s="66"/>
    </row>
    <row r="15" spans="1:9" s="65" customFormat="1" ht="15.75" customHeight="1" x14ac:dyDescent="0.2">
      <c r="A15" s="159" t="s">
        <v>124</v>
      </c>
      <c r="B15" s="159"/>
      <c r="C15" s="159"/>
      <c r="D15" s="159"/>
      <c r="H15" s="66"/>
      <c r="I15" s="66"/>
    </row>
    <row r="16" spans="1:9" s="65" customFormat="1" ht="48" customHeight="1" x14ac:dyDescent="0.2">
      <c r="A16" s="159" t="s">
        <v>125</v>
      </c>
      <c r="B16" s="159"/>
      <c r="C16" s="159"/>
      <c r="D16" s="159"/>
      <c r="H16" s="66">
        <v>247136161.63999999</v>
      </c>
      <c r="I16" s="66"/>
    </row>
    <row r="17" spans="1:10" s="65" customFormat="1" ht="11.4" customHeight="1" x14ac:dyDescent="0.2">
      <c r="A17" s="159" t="s">
        <v>244</v>
      </c>
      <c r="B17" s="159"/>
      <c r="C17" s="159"/>
      <c r="D17" s="159"/>
      <c r="H17" s="66"/>
      <c r="I17" s="66"/>
    </row>
    <row r="18" spans="1:10" s="65" customFormat="1" ht="11.4" x14ac:dyDescent="0.2">
      <c r="A18" s="159" t="s">
        <v>251</v>
      </c>
      <c r="B18" s="159"/>
      <c r="C18" s="159"/>
      <c r="D18" s="159"/>
      <c r="H18" s="66">
        <v>1310838601.05</v>
      </c>
      <c r="I18" s="66"/>
    </row>
    <row r="19" spans="1:10" s="65" customFormat="1" ht="11.4" x14ac:dyDescent="0.2">
      <c r="A19" s="160" t="s">
        <v>126</v>
      </c>
      <c r="B19" s="160"/>
      <c r="C19" s="160"/>
      <c r="D19" s="160"/>
      <c r="H19" s="66"/>
      <c r="I19" s="66"/>
    </row>
    <row r="20" spans="1:10" s="65" customFormat="1" ht="22.8" x14ac:dyDescent="0.2">
      <c r="A20" s="67" t="s">
        <v>127</v>
      </c>
      <c r="B20" s="67" t="s">
        <v>128</v>
      </c>
      <c r="C20" s="67" t="s">
        <v>129</v>
      </c>
      <c r="D20" s="67" t="s">
        <v>130</v>
      </c>
      <c r="H20" s="66"/>
      <c r="I20" s="66"/>
    </row>
    <row r="21" spans="1:10" s="65" customFormat="1" ht="11.4" x14ac:dyDescent="0.2">
      <c r="A21" s="161" t="s">
        <v>131</v>
      </c>
      <c r="B21" s="162"/>
      <c r="C21" s="162"/>
      <c r="D21" s="163"/>
      <c r="H21" s="66"/>
      <c r="I21" s="66"/>
    </row>
    <row r="22" spans="1:10" s="65" customFormat="1" ht="12" x14ac:dyDescent="0.2">
      <c r="A22" s="73" t="s">
        <v>132</v>
      </c>
      <c r="B22" s="68" t="s">
        <v>133</v>
      </c>
      <c r="C22" s="74">
        <f>SUM(C24:C29)</f>
        <v>6466901.4877300002</v>
      </c>
      <c r="D22" s="74">
        <f>SUM(D24:D29)</f>
        <v>2747790</v>
      </c>
      <c r="H22" s="66"/>
      <c r="I22" s="66"/>
    </row>
    <row r="23" spans="1:10" s="65" customFormat="1" ht="11.4" x14ac:dyDescent="0.2">
      <c r="A23" s="73" t="s">
        <v>134</v>
      </c>
      <c r="B23" s="70"/>
      <c r="C23" s="69"/>
      <c r="D23" s="69"/>
      <c r="H23" s="66"/>
      <c r="I23" s="66"/>
    </row>
    <row r="24" spans="1:10" s="65" customFormat="1" ht="11.4" x14ac:dyDescent="0.2">
      <c r="A24" s="73" t="s">
        <v>135</v>
      </c>
      <c r="B24" s="68" t="s">
        <v>136</v>
      </c>
      <c r="C24" s="69">
        <f>H29/1000+2833610</f>
        <v>4869793.0490300003</v>
      </c>
      <c r="D24" s="69">
        <v>2444415</v>
      </c>
      <c r="H24" s="66"/>
      <c r="I24" s="66"/>
    </row>
    <row r="25" spans="1:10" s="65" customFormat="1" ht="11.4" x14ac:dyDescent="0.2">
      <c r="A25" s="73" t="s">
        <v>137</v>
      </c>
      <c r="B25" s="68" t="s">
        <v>138</v>
      </c>
      <c r="C25" s="69"/>
      <c r="D25" s="69"/>
      <c r="H25" s="66"/>
      <c r="I25" s="66"/>
    </row>
    <row r="26" spans="1:10" s="65" customFormat="1" ht="11.4" x14ac:dyDescent="0.2">
      <c r="A26" s="73" t="s">
        <v>139</v>
      </c>
      <c r="B26" s="68" t="s">
        <v>140</v>
      </c>
      <c r="C26" s="69">
        <f>H64/1000+350783</f>
        <v>768223.47522999998</v>
      </c>
      <c r="D26" s="69">
        <v>282052</v>
      </c>
      <c r="H26" s="66"/>
      <c r="I26" s="66"/>
    </row>
    <row r="27" spans="1:10" s="65" customFormat="1" ht="11.4" x14ac:dyDescent="0.2">
      <c r="A27" s="73" t="s">
        <v>141</v>
      </c>
      <c r="B27" s="68" t="s">
        <v>142</v>
      </c>
      <c r="C27" s="69"/>
      <c r="D27" s="69"/>
      <c r="H27" s="66"/>
      <c r="I27" s="66">
        <v>0</v>
      </c>
      <c r="J27" s="65">
        <v>67</v>
      </c>
    </row>
    <row r="28" spans="1:10" s="65" customFormat="1" ht="11.4" x14ac:dyDescent="0.2">
      <c r="A28" s="73" t="s">
        <v>143</v>
      </c>
      <c r="B28" s="68" t="s">
        <v>144</v>
      </c>
      <c r="C28" s="69">
        <f>H32/1000+3908</f>
        <v>10271.526740000001</v>
      </c>
      <c r="D28" s="69">
        <v>239</v>
      </c>
      <c r="H28" s="66"/>
      <c r="I28" s="66"/>
    </row>
    <row r="29" spans="1:10" s="65" customFormat="1" ht="11.4" x14ac:dyDescent="0.2">
      <c r="A29" s="73" t="s">
        <v>145</v>
      </c>
      <c r="B29" s="68" t="s">
        <v>146</v>
      </c>
      <c r="C29" s="69">
        <f>H65/1000+191766+342739</f>
        <v>818613.43672999996</v>
      </c>
      <c r="D29" s="69">
        <v>21084</v>
      </c>
      <c r="H29" s="66">
        <v>2036183049.0300002</v>
      </c>
      <c r="I29" s="66"/>
      <c r="J29" s="65">
        <v>11</v>
      </c>
    </row>
    <row r="30" spans="1:10" s="65" customFormat="1" ht="12" x14ac:dyDescent="0.2">
      <c r="A30" s="73" t="s">
        <v>147</v>
      </c>
      <c r="B30" s="68" t="s">
        <v>148</v>
      </c>
      <c r="C30" s="74">
        <f>SUM(C32:C38)</f>
        <v>5926819.7107311999</v>
      </c>
      <c r="D30" s="74">
        <f>SUM(D32:D38)</f>
        <v>2577772</v>
      </c>
      <c r="H30" s="66"/>
      <c r="I30" s="66">
        <v>1695631</v>
      </c>
      <c r="J30" s="65">
        <v>27</v>
      </c>
    </row>
    <row r="31" spans="1:10" s="65" customFormat="1" ht="11.4" x14ac:dyDescent="0.2">
      <c r="A31" s="73" t="s">
        <v>134</v>
      </c>
      <c r="B31" s="70"/>
      <c r="C31" s="69"/>
      <c r="D31" s="69"/>
      <c r="H31" s="66"/>
      <c r="I31" s="66"/>
    </row>
    <row r="32" spans="1:10" s="65" customFormat="1" ht="11.4" x14ac:dyDescent="0.2">
      <c r="A32" s="73" t="s">
        <v>149</v>
      </c>
      <c r="B32" s="68" t="s">
        <v>150</v>
      </c>
      <c r="C32" s="69">
        <f>I61/1000+1580438-407502</f>
        <v>2570301.1596264001</v>
      </c>
      <c r="D32" s="69">
        <f>1612460-41669</f>
        <v>1570791</v>
      </c>
      <c r="H32" s="66">
        <v>6363526.7400000002</v>
      </c>
      <c r="I32" s="66"/>
      <c r="J32" s="65">
        <v>15</v>
      </c>
    </row>
    <row r="33" spans="1:10" s="65" customFormat="1" ht="11.4" x14ac:dyDescent="0.2">
      <c r="A33" s="73" t="s">
        <v>151</v>
      </c>
      <c r="B33" s="68" t="s">
        <v>152</v>
      </c>
      <c r="C33" s="69">
        <f>I34/1000+516840-14961+7674</f>
        <v>774306.7806247999</v>
      </c>
      <c r="D33" s="69">
        <v>213745</v>
      </c>
      <c r="H33" s="66"/>
      <c r="I33" s="66"/>
    </row>
    <row r="34" spans="1:10" s="65" customFormat="1" ht="11.4" x14ac:dyDescent="0.2">
      <c r="A34" s="73" t="s">
        <v>153</v>
      </c>
      <c r="B34" s="68" t="s">
        <v>154</v>
      </c>
      <c r="C34" s="69">
        <f>I62/1000+171302</f>
        <v>366638.90410000004</v>
      </c>
      <c r="D34" s="69">
        <v>320161</v>
      </c>
      <c r="H34" s="66"/>
      <c r="I34" s="66">
        <v>264753780.62479997</v>
      </c>
      <c r="J34" s="65">
        <v>22</v>
      </c>
    </row>
    <row r="35" spans="1:10" s="65" customFormat="1" ht="11.4" x14ac:dyDescent="0.2">
      <c r="A35" s="73" t="s">
        <v>155</v>
      </c>
      <c r="B35" s="68" t="s">
        <v>156</v>
      </c>
      <c r="C35" s="69"/>
      <c r="D35" s="69"/>
      <c r="H35" s="66"/>
      <c r="I35" s="66"/>
      <c r="J35" s="65">
        <v>105</v>
      </c>
    </row>
    <row r="36" spans="1:10" s="65" customFormat="1" ht="11.4" x14ac:dyDescent="0.2">
      <c r="A36" s="73" t="s">
        <v>157</v>
      </c>
      <c r="B36" s="68" t="s">
        <v>158</v>
      </c>
      <c r="C36" s="69"/>
      <c r="D36" s="69"/>
      <c r="H36" s="66"/>
      <c r="I36" s="66"/>
    </row>
    <row r="37" spans="1:10" s="65" customFormat="1" ht="11.4" x14ac:dyDescent="0.2">
      <c r="A37" s="73" t="s">
        <v>159</v>
      </c>
      <c r="B37" s="68" t="s">
        <v>160</v>
      </c>
      <c r="C37" s="69">
        <f>(I40+I51)/1000+1075714</f>
        <v>1637715.0899999999</v>
      </c>
      <c r="D37" s="69">
        <v>419931</v>
      </c>
      <c r="H37" s="66"/>
      <c r="I37" s="66"/>
      <c r="J37" s="65" t="s">
        <v>242</v>
      </c>
    </row>
    <row r="38" spans="1:10" s="65" customFormat="1" ht="11.4" x14ac:dyDescent="0.2">
      <c r="A38" s="73" t="s">
        <v>161</v>
      </c>
      <c r="B38" s="68" t="s">
        <v>162</v>
      </c>
      <c r="C38" s="69">
        <f>(I30+I63+I68)/1000+212012-7560-9310-72428</f>
        <v>577857.77637999994</v>
      </c>
      <c r="D38" s="69">
        <f>53144</f>
        <v>53144</v>
      </c>
      <c r="H38" s="66"/>
      <c r="I38" s="66"/>
    </row>
    <row r="39" spans="1:10" s="65" customFormat="1" ht="22.8" x14ac:dyDescent="0.2">
      <c r="A39" s="73" t="s">
        <v>163</v>
      </c>
      <c r="B39" s="68" t="s">
        <v>164</v>
      </c>
      <c r="C39" s="74">
        <f>C22-C30</f>
        <v>540081.77699880023</v>
      </c>
      <c r="D39" s="74">
        <f>D22-D30</f>
        <v>170018</v>
      </c>
      <c r="H39" s="66"/>
      <c r="I39" s="66"/>
    </row>
    <row r="40" spans="1:10" s="65" customFormat="1" ht="11.4" x14ac:dyDescent="0.2">
      <c r="A40" s="161" t="s">
        <v>165</v>
      </c>
      <c r="B40" s="162"/>
      <c r="C40" s="162"/>
      <c r="D40" s="163"/>
      <c r="H40" s="66"/>
      <c r="I40" s="66">
        <v>517851208</v>
      </c>
      <c r="J40" s="65">
        <v>26</v>
      </c>
    </row>
    <row r="41" spans="1:10" s="65" customFormat="1" ht="11.4" x14ac:dyDescent="0.2">
      <c r="A41" s="73" t="s">
        <v>166</v>
      </c>
      <c r="B41" s="68" t="s">
        <v>167</v>
      </c>
      <c r="C41" s="69">
        <f>SUM(C43:C54)</f>
        <v>0</v>
      </c>
      <c r="D41" s="69">
        <f>SUM(D43:D54)</f>
        <v>0</v>
      </c>
      <c r="H41" s="66"/>
      <c r="I41" s="66"/>
    </row>
    <row r="42" spans="1:10" s="65" customFormat="1" ht="11.4" x14ac:dyDescent="0.2">
      <c r="A42" s="73" t="s">
        <v>134</v>
      </c>
      <c r="B42" s="70"/>
      <c r="C42" s="69"/>
      <c r="D42" s="69"/>
      <c r="H42" s="66"/>
      <c r="I42" s="66"/>
    </row>
    <row r="43" spans="1:10" s="65" customFormat="1" ht="11.4" x14ac:dyDescent="0.2">
      <c r="A43" s="73" t="s">
        <v>168</v>
      </c>
      <c r="B43" s="68" t="s">
        <v>169</v>
      </c>
      <c r="C43" s="69"/>
      <c r="D43" s="69"/>
      <c r="H43" s="66"/>
      <c r="I43" s="66"/>
    </row>
    <row r="44" spans="1:10" s="65" customFormat="1" ht="11.4" x14ac:dyDescent="0.2">
      <c r="A44" s="73" t="s">
        <v>170</v>
      </c>
      <c r="B44" s="68" t="s">
        <v>171</v>
      </c>
      <c r="C44" s="69"/>
      <c r="D44" s="69"/>
      <c r="H44" s="66"/>
      <c r="I44" s="66">
        <v>115953176.0088</v>
      </c>
      <c r="J44" s="65">
        <v>61</v>
      </c>
    </row>
    <row r="45" spans="1:10" s="65" customFormat="1" ht="11.4" x14ac:dyDescent="0.2">
      <c r="A45" s="73" t="s">
        <v>172</v>
      </c>
      <c r="B45" s="68" t="s">
        <v>173</v>
      </c>
      <c r="C45" s="69"/>
      <c r="D45" s="69"/>
      <c r="H45" s="66"/>
      <c r="I45" s="66"/>
      <c r="J45" s="65">
        <v>62</v>
      </c>
    </row>
    <row r="46" spans="1:10" s="65" customFormat="1" ht="22.8" x14ac:dyDescent="0.2">
      <c r="A46" s="73" t="s">
        <v>174</v>
      </c>
      <c r="B46" s="68" t="s">
        <v>175</v>
      </c>
      <c r="C46" s="69"/>
      <c r="D46" s="69"/>
      <c r="H46" s="66"/>
      <c r="I46" s="66"/>
      <c r="J46" s="65">
        <v>63</v>
      </c>
    </row>
    <row r="47" spans="1:10" s="65" customFormat="1" ht="11.4" x14ac:dyDescent="0.2">
      <c r="A47" s="73" t="s">
        <v>176</v>
      </c>
      <c r="B47" s="68" t="s">
        <v>177</v>
      </c>
      <c r="C47" s="69"/>
      <c r="D47" s="69"/>
      <c r="H47" s="66"/>
      <c r="I47" s="66"/>
    </row>
    <row r="48" spans="1:10" s="65" customFormat="1" ht="11.4" x14ac:dyDescent="0.2">
      <c r="A48" s="73" t="s">
        <v>178</v>
      </c>
      <c r="B48" s="68" t="s">
        <v>179</v>
      </c>
      <c r="C48" s="69"/>
      <c r="D48" s="69"/>
      <c r="H48" s="66"/>
      <c r="I48" s="66"/>
    </row>
    <row r="49" spans="1:10" s="65" customFormat="1" ht="11.4" x14ac:dyDescent="0.2">
      <c r="A49" s="73" t="s">
        <v>180</v>
      </c>
      <c r="B49" s="68" t="s">
        <v>181</v>
      </c>
      <c r="C49" s="69"/>
      <c r="D49" s="69"/>
      <c r="H49" s="66"/>
      <c r="I49" s="66"/>
    </row>
    <row r="50" spans="1:10" s="65" customFormat="1" ht="11.4" x14ac:dyDescent="0.2">
      <c r="A50" s="73" t="s">
        <v>182</v>
      </c>
      <c r="B50" s="68" t="s">
        <v>183</v>
      </c>
      <c r="C50" s="69"/>
      <c r="D50" s="69"/>
      <c r="H50" s="66"/>
      <c r="I50" s="66"/>
    </row>
    <row r="51" spans="1:10" s="65" customFormat="1" ht="11.4" x14ac:dyDescent="0.2">
      <c r="A51" s="73" t="s">
        <v>184</v>
      </c>
      <c r="B51" s="68" t="s">
        <v>185</v>
      </c>
      <c r="C51" s="69"/>
      <c r="D51" s="69"/>
      <c r="H51" s="66"/>
      <c r="I51" s="66">
        <v>44149882</v>
      </c>
      <c r="J51" s="65">
        <v>26</v>
      </c>
    </row>
    <row r="52" spans="1:10" s="65" customFormat="1" ht="11.4" x14ac:dyDescent="0.2">
      <c r="A52" s="73" t="s">
        <v>186</v>
      </c>
      <c r="B52" s="68" t="s">
        <v>187</v>
      </c>
      <c r="C52" s="69"/>
      <c r="D52" s="69"/>
      <c r="H52" s="66"/>
      <c r="I52" s="66"/>
    </row>
    <row r="53" spans="1:10" s="65" customFormat="1" ht="11.4" x14ac:dyDescent="0.2">
      <c r="A53" s="73" t="s">
        <v>143</v>
      </c>
      <c r="B53" s="68" t="s">
        <v>188</v>
      </c>
      <c r="C53" s="69"/>
      <c r="D53" s="69"/>
      <c r="H53" s="66"/>
      <c r="I53" s="66"/>
    </row>
    <row r="54" spans="1:10" s="65" customFormat="1" ht="11.4" x14ac:dyDescent="0.2">
      <c r="A54" s="73" t="s">
        <v>145</v>
      </c>
      <c r="B54" s="68" t="s">
        <v>189</v>
      </c>
      <c r="C54" s="69"/>
      <c r="D54" s="69"/>
      <c r="H54" s="66"/>
      <c r="I54" s="66"/>
    </row>
    <row r="55" spans="1:10" s="65" customFormat="1" ht="12" x14ac:dyDescent="0.2">
      <c r="A55" s="73" t="s">
        <v>190</v>
      </c>
      <c r="B55" s="68" t="s">
        <v>191</v>
      </c>
      <c r="C55" s="74">
        <f>SUM(C57:C69)</f>
        <v>775882.17600880004</v>
      </c>
      <c r="D55" s="74">
        <f>SUM(D57:D69)</f>
        <v>310831</v>
      </c>
      <c r="H55" s="66"/>
      <c r="I55" s="66"/>
    </row>
    <row r="56" spans="1:10" s="65" customFormat="1" ht="11.4" x14ac:dyDescent="0.2">
      <c r="A56" s="73" t="s">
        <v>134</v>
      </c>
      <c r="B56" s="70"/>
      <c r="C56" s="69"/>
      <c r="D56" s="69"/>
      <c r="H56" s="66"/>
      <c r="I56" s="66"/>
    </row>
    <row r="57" spans="1:10" s="65" customFormat="1" ht="11.4" x14ac:dyDescent="0.2">
      <c r="A57" s="73" t="s">
        <v>192</v>
      </c>
      <c r="B57" s="68" t="s">
        <v>193</v>
      </c>
      <c r="C57" s="69">
        <f>I44/1000+228156+407502</f>
        <v>751611.17600880004</v>
      </c>
      <c r="D57" s="69">
        <v>271551</v>
      </c>
      <c r="E57" s="65">
        <v>515015.49666</v>
      </c>
      <c r="H57" s="66"/>
      <c r="I57" s="66"/>
    </row>
    <row r="58" spans="1:10" s="65" customFormat="1" ht="11.4" x14ac:dyDescent="0.2">
      <c r="A58" s="73" t="s">
        <v>194</v>
      </c>
      <c r="B58" s="68" t="s">
        <v>195</v>
      </c>
      <c r="C58" s="69">
        <v>14961</v>
      </c>
      <c r="D58" s="69">
        <v>26384</v>
      </c>
      <c r="E58" s="65">
        <v>29550.080000000002</v>
      </c>
      <c r="H58" s="66"/>
      <c r="I58" s="66"/>
    </row>
    <row r="59" spans="1:10" s="65" customFormat="1" ht="11.4" x14ac:dyDescent="0.2">
      <c r="A59" s="73" t="s">
        <v>196</v>
      </c>
      <c r="B59" s="68" t="s">
        <v>197</v>
      </c>
      <c r="C59" s="69"/>
      <c r="D59" s="69"/>
      <c r="E59" s="65">
        <v>12126</v>
      </c>
      <c r="H59" s="66"/>
      <c r="I59" s="66"/>
    </row>
    <row r="60" spans="1:10" s="65" customFormat="1" ht="22.8" x14ac:dyDescent="0.2">
      <c r="A60" s="73" t="s">
        <v>198</v>
      </c>
      <c r="B60" s="68" t="s">
        <v>199</v>
      </c>
      <c r="C60" s="69"/>
      <c r="D60" s="69"/>
      <c r="H60" s="66"/>
      <c r="I60" s="66"/>
    </row>
    <row r="61" spans="1:10" s="65" customFormat="1" ht="11.4" x14ac:dyDescent="0.2">
      <c r="A61" s="73" t="s">
        <v>200</v>
      </c>
      <c r="B61" s="68" t="s">
        <v>201</v>
      </c>
      <c r="C61" s="69"/>
      <c r="D61" s="69"/>
      <c r="H61" s="66"/>
      <c r="I61" s="66">
        <v>1397365159.6263998</v>
      </c>
      <c r="J61" s="65">
        <v>21</v>
      </c>
    </row>
    <row r="62" spans="1:10" s="65" customFormat="1" ht="11.4" x14ac:dyDescent="0.2">
      <c r="A62" s="73" t="s">
        <v>202</v>
      </c>
      <c r="B62" s="68" t="s">
        <v>203</v>
      </c>
      <c r="C62" s="69"/>
      <c r="D62" s="69"/>
      <c r="H62" s="66"/>
      <c r="I62" s="66">
        <v>195336904.10000002</v>
      </c>
      <c r="J62" s="65">
        <v>23</v>
      </c>
    </row>
    <row r="63" spans="1:10" s="65" customFormat="1" ht="11.4" x14ac:dyDescent="0.2">
      <c r="A63" s="73" t="s">
        <v>204</v>
      </c>
      <c r="B63" s="68" t="s">
        <v>205</v>
      </c>
      <c r="C63" s="69">
        <v>4200</v>
      </c>
      <c r="D63" s="69">
        <v>12126</v>
      </c>
      <c r="H63" s="66"/>
      <c r="I63" s="66">
        <v>1375873.15</v>
      </c>
      <c r="J63" s="65">
        <v>27</v>
      </c>
    </row>
    <row r="64" spans="1:10" s="65" customFormat="1" ht="11.4" x14ac:dyDescent="0.2">
      <c r="A64" s="73" t="s">
        <v>155</v>
      </c>
      <c r="B64" s="68" t="s">
        <v>206</v>
      </c>
      <c r="C64" s="69"/>
      <c r="D64" s="69"/>
      <c r="H64" s="66">
        <v>417440475.23000002</v>
      </c>
      <c r="I64" s="66"/>
      <c r="J64" s="65">
        <v>13</v>
      </c>
    </row>
    <row r="65" spans="1:10" s="65" customFormat="1" ht="11.4" x14ac:dyDescent="0.2">
      <c r="A65" s="73" t="s">
        <v>207</v>
      </c>
      <c r="B65" s="68" t="s">
        <v>208</v>
      </c>
      <c r="C65" s="69"/>
      <c r="D65" s="69"/>
      <c r="H65" s="66">
        <v>284108436.73000002</v>
      </c>
      <c r="I65" s="66"/>
      <c r="J65" s="65">
        <v>16</v>
      </c>
    </row>
    <row r="66" spans="1:10" s="65" customFormat="1" ht="11.4" x14ac:dyDescent="0.2">
      <c r="A66" s="73" t="s">
        <v>209</v>
      </c>
      <c r="B66" s="68" t="s">
        <v>210</v>
      </c>
      <c r="C66" s="69"/>
      <c r="D66" s="69"/>
      <c r="H66" s="66"/>
      <c r="I66" s="66"/>
    </row>
    <row r="67" spans="1:10" s="65" customFormat="1" ht="11.4" x14ac:dyDescent="0.2">
      <c r="A67" s="73" t="s">
        <v>184</v>
      </c>
      <c r="B67" s="68" t="s">
        <v>211</v>
      </c>
      <c r="C67" s="69"/>
      <c r="D67" s="69"/>
      <c r="H67" s="66"/>
      <c r="I67" s="66"/>
    </row>
    <row r="68" spans="1:10" s="65" customFormat="1" ht="11.4" x14ac:dyDescent="0.2">
      <c r="A68" s="73" t="s">
        <v>212</v>
      </c>
      <c r="B68" s="68" t="s">
        <v>213</v>
      </c>
      <c r="C68" s="69"/>
      <c r="D68" s="69"/>
      <c r="H68" s="66"/>
      <c r="I68" s="66">
        <v>452072272.23000002</v>
      </c>
      <c r="J68" s="65">
        <v>27</v>
      </c>
    </row>
    <row r="69" spans="1:10" s="65" customFormat="1" ht="11.4" x14ac:dyDescent="0.2">
      <c r="A69" s="73" t="s">
        <v>161</v>
      </c>
      <c r="B69" s="68" t="s">
        <v>214</v>
      </c>
      <c r="C69" s="69">
        <v>5110</v>
      </c>
      <c r="D69" s="69">
        <v>770</v>
      </c>
      <c r="H69" s="66"/>
      <c r="I69" s="66"/>
    </row>
    <row r="70" spans="1:10" s="65" customFormat="1" ht="22.8" x14ac:dyDescent="0.2">
      <c r="A70" s="73" t="s">
        <v>215</v>
      </c>
      <c r="B70" s="68" t="s">
        <v>216</v>
      </c>
      <c r="C70" s="74">
        <f>C41-C55</f>
        <v>-775882.17600880004</v>
      </c>
      <c r="D70" s="74">
        <f>D41-D55</f>
        <v>-310831</v>
      </c>
      <c r="H70" s="66"/>
      <c r="I70" s="66"/>
    </row>
    <row r="71" spans="1:10" s="65" customFormat="1" ht="11.4" x14ac:dyDescent="0.2">
      <c r="A71" s="161" t="s">
        <v>217</v>
      </c>
      <c r="B71" s="162"/>
      <c r="C71" s="162"/>
      <c r="D71" s="163"/>
      <c r="H71" s="66"/>
      <c r="I71" s="66"/>
    </row>
    <row r="72" spans="1:10" s="65" customFormat="1" ht="11.4" x14ac:dyDescent="0.2">
      <c r="A72" s="73" t="s">
        <v>218</v>
      </c>
      <c r="B72" s="68" t="s">
        <v>219</v>
      </c>
      <c r="C72" s="69">
        <f>SUM(C74:C77)</f>
        <v>0</v>
      </c>
      <c r="D72" s="69">
        <f>SUM(D74:D77)</f>
        <v>0</v>
      </c>
      <c r="H72" s="66"/>
      <c r="I72" s="66"/>
    </row>
    <row r="73" spans="1:10" s="65" customFormat="1" ht="11.4" x14ac:dyDescent="0.2">
      <c r="A73" s="73" t="s">
        <v>134</v>
      </c>
      <c r="B73" s="70"/>
      <c r="C73" s="69"/>
      <c r="D73" s="69"/>
      <c r="H73" s="66"/>
      <c r="I73" s="66"/>
    </row>
    <row r="74" spans="1:10" s="65" customFormat="1" ht="11.4" x14ac:dyDescent="0.2">
      <c r="A74" s="73" t="s">
        <v>220</v>
      </c>
      <c r="B74" s="68" t="s">
        <v>221</v>
      </c>
      <c r="C74" s="69"/>
      <c r="D74" s="69"/>
      <c r="H74" s="66"/>
      <c r="I74" s="66"/>
      <c r="J74" s="65">
        <v>16</v>
      </c>
    </row>
    <row r="75" spans="1:10" s="65" customFormat="1" ht="11.4" x14ac:dyDescent="0.2">
      <c r="A75" s="73" t="s">
        <v>222</v>
      </c>
      <c r="B75" s="68" t="s">
        <v>223</v>
      </c>
      <c r="C75" s="69"/>
      <c r="D75" s="69"/>
      <c r="H75" s="66"/>
      <c r="I75" s="66"/>
    </row>
    <row r="76" spans="1:10" s="65" customFormat="1" ht="11.4" x14ac:dyDescent="0.2">
      <c r="A76" s="73" t="s">
        <v>143</v>
      </c>
      <c r="B76" s="68" t="s">
        <v>224</v>
      </c>
      <c r="C76" s="69"/>
      <c r="D76" s="69"/>
      <c r="H76" s="66"/>
      <c r="I76" s="66"/>
      <c r="J76" s="65">
        <v>120</v>
      </c>
    </row>
    <row r="77" spans="1:10" s="65" customFormat="1" ht="11.4" x14ac:dyDescent="0.2">
      <c r="A77" s="73" t="s">
        <v>145</v>
      </c>
      <c r="B77" s="68" t="s">
        <v>225</v>
      </c>
      <c r="C77" s="69"/>
      <c r="D77" s="69"/>
      <c r="H77" s="66">
        <v>2744095487.73</v>
      </c>
      <c r="I77" s="66">
        <v>2990553886.7399998</v>
      </c>
      <c r="J77" s="65">
        <v>-246458399.00999975</v>
      </c>
    </row>
    <row r="78" spans="1:10" s="65" customFormat="1" ht="11.4" x14ac:dyDescent="0.2">
      <c r="A78" s="73" t="s">
        <v>226</v>
      </c>
      <c r="B78" s="68">
        <v>100</v>
      </c>
      <c r="C78" s="69">
        <f>SUM(C80:C84)</f>
        <v>7560</v>
      </c>
      <c r="D78" s="69">
        <f>SUM(D80:D84)</f>
        <v>7480</v>
      </c>
      <c r="H78" s="66">
        <v>1064380202.04</v>
      </c>
      <c r="I78" s="66"/>
    </row>
    <row r="79" spans="1:10" s="65" customFormat="1" ht="11.4" x14ac:dyDescent="0.2">
      <c r="A79" s="73" t="s">
        <v>134</v>
      </c>
      <c r="B79" s="70"/>
      <c r="C79" s="69"/>
      <c r="D79" s="69"/>
      <c r="H79" s="66">
        <v>0</v>
      </c>
      <c r="I79" s="66"/>
    </row>
    <row r="80" spans="1:10" s="65" customFormat="1" ht="11.4" x14ac:dyDescent="0.2">
      <c r="A80" s="73" t="s">
        <v>227</v>
      </c>
      <c r="B80" s="68">
        <v>101</v>
      </c>
      <c r="C80" s="69"/>
      <c r="D80" s="69"/>
      <c r="H80" s="66"/>
      <c r="I80" s="66"/>
    </row>
    <row r="81" spans="1:9" s="65" customFormat="1" ht="11.4" x14ac:dyDescent="0.2">
      <c r="A81" s="73" t="s">
        <v>155</v>
      </c>
      <c r="B81" s="68">
        <v>102</v>
      </c>
      <c r="C81" s="69"/>
      <c r="D81" s="69"/>
      <c r="H81" s="66"/>
      <c r="I81" s="66"/>
    </row>
    <row r="82" spans="1:9" s="65" customFormat="1" ht="11.4" x14ac:dyDescent="0.2">
      <c r="A82" s="73" t="s">
        <v>228</v>
      </c>
      <c r="B82" s="68">
        <v>103</v>
      </c>
      <c r="C82" s="69"/>
      <c r="D82" s="69"/>
      <c r="H82" s="66"/>
      <c r="I82" s="66"/>
    </row>
    <row r="83" spans="1:9" s="65" customFormat="1" ht="11.4" x14ac:dyDescent="0.2">
      <c r="A83" s="73" t="s">
        <v>229</v>
      </c>
      <c r="B83" s="68">
        <v>104</v>
      </c>
      <c r="C83" s="69"/>
      <c r="D83" s="69"/>
      <c r="H83" s="66"/>
      <c r="I83" s="66"/>
    </row>
    <row r="84" spans="1:9" s="65" customFormat="1" ht="11.4" x14ac:dyDescent="0.2">
      <c r="A84" s="73" t="s">
        <v>230</v>
      </c>
      <c r="B84" s="68">
        <v>105</v>
      </c>
      <c r="C84" s="69">
        <v>7560</v>
      </c>
      <c r="D84" s="69">
        <v>7480</v>
      </c>
      <c r="H84" s="66"/>
      <c r="I84" s="66"/>
    </row>
    <row r="85" spans="1:9" s="65" customFormat="1" ht="22.8" x14ac:dyDescent="0.2">
      <c r="A85" s="73" t="s">
        <v>231</v>
      </c>
      <c r="B85" s="68">
        <v>110</v>
      </c>
      <c r="C85" s="69">
        <f>C72-C78</f>
        <v>-7560</v>
      </c>
      <c r="D85" s="69">
        <f>D72-D78</f>
        <v>-7480</v>
      </c>
      <c r="H85" s="66"/>
      <c r="I85" s="66"/>
    </row>
    <row r="86" spans="1:9" s="65" customFormat="1" ht="11.4" x14ac:dyDescent="0.2">
      <c r="A86" s="73" t="s">
        <v>232</v>
      </c>
      <c r="B86" s="68">
        <v>120</v>
      </c>
      <c r="C86" s="69">
        <v>-72428</v>
      </c>
      <c r="D86" s="69">
        <v>-459</v>
      </c>
      <c r="H86" s="66"/>
      <c r="I86" s="66"/>
    </row>
    <row r="87" spans="1:9" s="65" customFormat="1" ht="22.8" x14ac:dyDescent="0.2">
      <c r="A87" s="73" t="s">
        <v>233</v>
      </c>
      <c r="B87" s="68">
        <v>130</v>
      </c>
      <c r="C87" s="69"/>
      <c r="D87" s="69"/>
      <c r="H87" s="66"/>
      <c r="I87" s="66"/>
    </row>
    <row r="88" spans="1:9" s="65" customFormat="1" ht="22.8" x14ac:dyDescent="0.2">
      <c r="A88" s="73" t="s">
        <v>234</v>
      </c>
      <c r="B88" s="68">
        <v>140</v>
      </c>
      <c r="C88" s="69">
        <f>C39+C70+C85+C86+C87</f>
        <v>-315788.39900999982</v>
      </c>
      <c r="D88" s="69">
        <f>D39+D70+D85+D86+D87</f>
        <v>-148752</v>
      </c>
      <c r="H88" s="66"/>
      <c r="I88" s="66"/>
    </row>
    <row r="89" spans="1:9" s="65" customFormat="1" ht="22.8" x14ac:dyDescent="0.2">
      <c r="A89" s="73" t="s">
        <v>235</v>
      </c>
      <c r="B89" s="68">
        <v>150</v>
      </c>
      <c r="C89" s="69">
        <f>H18/1000</f>
        <v>1310838.6010499999</v>
      </c>
      <c r="D89" s="69">
        <v>247136</v>
      </c>
      <c r="H89" s="66"/>
      <c r="I89" s="66"/>
    </row>
    <row r="90" spans="1:9" s="65" customFormat="1" ht="22.8" x14ac:dyDescent="0.2">
      <c r="A90" s="73" t="s">
        <v>236</v>
      </c>
      <c r="B90" s="68">
        <v>160</v>
      </c>
      <c r="C90" s="74">
        <f>SUM(C88:C89)</f>
        <v>995050.20204000012</v>
      </c>
      <c r="D90" s="74">
        <f>SUM(D88:D89)</f>
        <v>98384</v>
      </c>
      <c r="H90" s="66"/>
      <c r="I90" s="66"/>
    </row>
    <row r="91" spans="1:9" s="65" customFormat="1" ht="11.4" x14ac:dyDescent="0.2">
      <c r="A91" s="164"/>
      <c r="B91" s="164"/>
      <c r="C91" s="164"/>
      <c r="D91" s="164"/>
      <c r="H91" s="66"/>
      <c r="I91" s="66"/>
    </row>
    <row r="92" spans="1:9" s="65" customFormat="1" ht="11.4" customHeight="1" x14ac:dyDescent="0.2">
      <c r="A92" s="158" t="s">
        <v>245</v>
      </c>
      <c r="B92" s="158"/>
      <c r="C92" s="158"/>
      <c r="D92" s="158"/>
      <c r="H92" s="66"/>
      <c r="I92" s="66"/>
    </row>
    <row r="93" spans="1:9" s="65" customFormat="1" ht="11.4" customHeight="1" x14ac:dyDescent="0.2">
      <c r="A93" s="158" t="s">
        <v>237</v>
      </c>
      <c r="B93" s="158"/>
      <c r="C93" s="158"/>
      <c r="D93" s="158"/>
      <c r="H93" s="66"/>
      <c r="I93" s="66"/>
    </row>
    <row r="94" spans="1:9" s="65" customFormat="1" ht="11.4" customHeight="1" x14ac:dyDescent="0.2">
      <c r="A94" s="158" t="s">
        <v>246</v>
      </c>
      <c r="B94" s="158"/>
      <c r="C94" s="158"/>
      <c r="D94" s="158"/>
      <c r="H94" s="66"/>
      <c r="I94" s="66"/>
    </row>
    <row r="95" spans="1:9" s="65" customFormat="1" ht="11.4" customHeight="1" x14ac:dyDescent="0.2">
      <c r="A95" s="158" t="s">
        <v>238</v>
      </c>
      <c r="B95" s="158"/>
      <c r="C95" s="158"/>
      <c r="D95" s="158"/>
      <c r="H95" s="66"/>
      <c r="I95" s="66"/>
    </row>
    <row r="96" spans="1:9" s="65" customFormat="1" ht="11.4" x14ac:dyDescent="0.2">
      <c r="A96" s="158"/>
      <c r="B96" s="158"/>
      <c r="C96" s="158"/>
      <c r="D96" s="158"/>
      <c r="H96" s="66"/>
      <c r="I96" s="66"/>
    </row>
    <row r="97" spans="1:9" s="65" customFormat="1" ht="11.4" x14ac:dyDescent="0.2">
      <c r="A97" s="158" t="s">
        <v>239</v>
      </c>
      <c r="B97" s="158"/>
      <c r="C97" s="158"/>
      <c r="D97" s="158"/>
      <c r="H97" s="66"/>
      <c r="I97" s="66"/>
    </row>
    <row r="98" spans="1:9" s="65" customFormat="1" ht="11.4" x14ac:dyDescent="0.2">
      <c r="A98" s="72"/>
      <c r="H98" s="66"/>
      <c r="I98" s="66"/>
    </row>
    <row r="99" spans="1:9" s="65" customFormat="1" ht="11.4" x14ac:dyDescent="0.2">
      <c r="A99" s="71"/>
      <c r="H99" s="66"/>
      <c r="I99" s="66"/>
    </row>
  </sheetData>
  <mergeCells count="29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92:D92"/>
    <mergeCell ref="A13:D13"/>
    <mergeCell ref="A14:D14"/>
    <mergeCell ref="A15:D15"/>
    <mergeCell ref="A16:D16"/>
    <mergeCell ref="A17:D17"/>
    <mergeCell ref="A18:D18"/>
    <mergeCell ref="A19:D19"/>
    <mergeCell ref="A21:D21"/>
    <mergeCell ref="A40:D40"/>
    <mergeCell ref="A71:D71"/>
    <mergeCell ref="A91:D91"/>
    <mergeCell ref="A93:D93"/>
    <mergeCell ref="A94:D94"/>
    <mergeCell ref="A95:D95"/>
    <mergeCell ref="A96:D96"/>
    <mergeCell ref="A97:D97"/>
  </mergeCells>
  <pageMargins left="0.82677165354330717" right="0.43307086614173229" top="0.74803149606299213" bottom="0.74803149606299213" header="0.31496062992125984" footer="0.31496062992125984"/>
  <pageSetup paperSize="9" scale="9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7CA6-ED95-4281-B8FC-FAC3E5FF913C}">
  <sheetPr>
    <pageSetUpPr fitToPage="1"/>
  </sheetPr>
  <dimension ref="A1:F24"/>
  <sheetViews>
    <sheetView tabSelected="1" workbookViewId="0">
      <selection activeCell="I13" sqref="I13"/>
    </sheetView>
  </sheetViews>
  <sheetFormatPr defaultRowHeight="14.4" x14ac:dyDescent="0.3"/>
  <cols>
    <col min="1" max="1" width="34.44140625" customWidth="1"/>
    <col min="3" max="3" width="18" customWidth="1"/>
    <col min="4" max="4" width="18.88671875" customWidth="1"/>
    <col min="5" max="5" width="18" customWidth="1"/>
  </cols>
  <sheetData>
    <row r="1" spans="1:6" x14ac:dyDescent="0.3">
      <c r="A1" s="147" t="s">
        <v>112</v>
      </c>
      <c r="B1" s="147"/>
      <c r="C1" s="147"/>
      <c r="D1" s="147"/>
      <c r="E1" s="147"/>
    </row>
    <row r="2" spans="1:6" ht="47.25" customHeight="1" x14ac:dyDescent="0.3">
      <c r="A2" s="146" t="s">
        <v>329</v>
      </c>
      <c r="B2" s="146"/>
      <c r="C2" s="146"/>
      <c r="D2" s="146"/>
      <c r="E2" s="43"/>
    </row>
    <row r="3" spans="1:6" x14ac:dyDescent="0.3">
      <c r="A3" s="32"/>
    </row>
    <row r="4" spans="1:6" x14ac:dyDescent="0.3">
      <c r="A4" s="16"/>
      <c r="B4" s="16"/>
      <c r="C4" s="16"/>
      <c r="D4" s="4"/>
      <c r="E4" s="16"/>
    </row>
    <row r="5" spans="1:6" x14ac:dyDescent="0.3">
      <c r="A5" s="16"/>
      <c r="B5" s="16"/>
      <c r="E5" s="16"/>
    </row>
    <row r="6" spans="1:6" ht="30.6" customHeight="1" thickBot="1" x14ac:dyDescent="0.35">
      <c r="A6" s="106" t="s">
        <v>56</v>
      </c>
      <c r="B6" s="107" t="s">
        <v>1</v>
      </c>
      <c r="C6" s="108" t="s">
        <v>44</v>
      </c>
      <c r="D6" s="108" t="s">
        <v>283</v>
      </c>
      <c r="E6" s="108" t="s">
        <v>93</v>
      </c>
    </row>
    <row r="7" spans="1:6" x14ac:dyDescent="0.3">
      <c r="A7" s="9" t="s">
        <v>284</v>
      </c>
      <c r="B7" s="10"/>
      <c r="C7" s="21">
        <f>SUM(C8:C9)</f>
        <v>5500000</v>
      </c>
      <c r="D7" s="21">
        <v>6013146</v>
      </c>
      <c r="E7" s="21">
        <v>11513146</v>
      </c>
    </row>
    <row r="8" spans="1:6" ht="15" thickBot="1" x14ac:dyDescent="0.35">
      <c r="A8" s="7" t="s">
        <v>94</v>
      </c>
      <c r="B8" s="10"/>
      <c r="C8" s="33" t="s">
        <v>18</v>
      </c>
      <c r="D8" s="75">
        <v>-895535</v>
      </c>
      <c r="E8" s="75">
        <f>SUM(C8:D8)</f>
        <v>-895535</v>
      </c>
    </row>
    <row r="9" spans="1:6" ht="16.95" customHeight="1" x14ac:dyDescent="0.3">
      <c r="A9" s="9" t="s">
        <v>292</v>
      </c>
      <c r="B9" s="10"/>
      <c r="C9" s="21">
        <v>5500000</v>
      </c>
      <c r="D9" s="21">
        <v>5117611</v>
      </c>
      <c r="E9" s="21">
        <f>E7+E8</f>
        <v>10617611</v>
      </c>
    </row>
    <row r="10" spans="1:6" x14ac:dyDescent="0.3">
      <c r="A10" s="7" t="s">
        <v>243</v>
      </c>
      <c r="B10" s="10"/>
      <c r="C10" s="19" t="s">
        <v>18</v>
      </c>
      <c r="D10" s="19">
        <v>905183</v>
      </c>
      <c r="E10" s="19">
        <f t="shared" ref="E10" si="0">SUM(C10:D10)</f>
        <v>905183</v>
      </c>
    </row>
    <row r="11" spans="1:6" ht="15" thickBot="1" x14ac:dyDescent="0.35">
      <c r="A11" s="9" t="s">
        <v>323</v>
      </c>
      <c r="B11" s="10"/>
      <c r="C11" s="22">
        <f>SUM(C9:C10)</f>
        <v>5500000</v>
      </c>
      <c r="D11" s="22">
        <f>SUM(D9:D10)</f>
        <v>6022794</v>
      </c>
      <c r="E11" s="22">
        <f>SUM(C11:D11)</f>
        <v>11522794</v>
      </c>
      <c r="F11" s="28"/>
    </row>
    <row r="12" spans="1:6" ht="15" thickTop="1" x14ac:dyDescent="0.3">
      <c r="A12" s="109"/>
      <c r="B12" s="110"/>
      <c r="C12" s="111"/>
      <c r="D12" s="112"/>
      <c r="E12" s="111"/>
      <c r="F12" s="105"/>
    </row>
    <row r="13" spans="1:6" x14ac:dyDescent="0.3">
      <c r="A13" s="9"/>
      <c r="B13" s="10"/>
      <c r="C13" s="21"/>
      <c r="D13" s="21"/>
      <c r="E13" s="21"/>
    </row>
    <row r="14" spans="1:6" x14ac:dyDescent="0.3">
      <c r="A14" s="34"/>
      <c r="E14" s="28"/>
    </row>
    <row r="15" spans="1:6" x14ac:dyDescent="0.3">
      <c r="A15" s="12" t="s">
        <v>321</v>
      </c>
      <c r="D15" s="28"/>
    </row>
    <row r="16" spans="1:6" x14ac:dyDescent="0.3">
      <c r="A16" s="12"/>
      <c r="D16" s="28"/>
    </row>
    <row r="17" spans="1:4" x14ac:dyDescent="0.3">
      <c r="A17" s="12"/>
      <c r="D17" s="28"/>
    </row>
    <row r="18" spans="1:4" x14ac:dyDescent="0.3">
      <c r="A18" s="12" t="s">
        <v>21</v>
      </c>
    </row>
    <row r="19" spans="1:4" ht="7.2" customHeight="1" x14ac:dyDescent="0.3">
      <c r="A19" s="14" t="s">
        <v>22</v>
      </c>
    </row>
    <row r="20" spans="1:4" x14ac:dyDescent="0.3">
      <c r="A20" s="15" t="s">
        <v>23</v>
      </c>
      <c r="D20" s="15" t="s">
        <v>293</v>
      </c>
    </row>
    <row r="21" spans="1:4" ht="5.4" customHeight="1" x14ac:dyDescent="0.3">
      <c r="A21" s="12"/>
      <c r="C21" s="101"/>
    </row>
    <row r="22" spans="1:4" x14ac:dyDescent="0.3">
      <c r="A22" s="12" t="s">
        <v>24</v>
      </c>
      <c r="D22" s="102" t="s">
        <v>276</v>
      </c>
    </row>
    <row r="23" spans="1:4" ht="5.4" customHeight="1" x14ac:dyDescent="0.3">
      <c r="A23" s="12"/>
      <c r="C23" s="101"/>
    </row>
    <row r="24" spans="1:4" x14ac:dyDescent="0.3">
      <c r="A24" s="12" t="s">
        <v>277</v>
      </c>
      <c r="B24" t="s">
        <v>22</v>
      </c>
      <c r="D24" s="12" t="s">
        <v>247</v>
      </c>
    </row>
  </sheetData>
  <mergeCells count="2">
    <mergeCell ref="A1:E1"/>
    <mergeCell ref="A2:D2"/>
  </mergeCells>
  <pageMargins left="0.70866141732283472" right="0.31496062992125984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9894-6FFC-4602-A247-52029651C77F}">
  <dimension ref="A1:P31"/>
  <sheetViews>
    <sheetView topLeftCell="A8" workbookViewId="0">
      <selection activeCell="L20" sqref="L20"/>
    </sheetView>
  </sheetViews>
  <sheetFormatPr defaultRowHeight="14.4" x14ac:dyDescent="0.3"/>
  <cols>
    <col min="1" max="1" width="26.33203125" customWidth="1"/>
    <col min="2" max="2" width="9.5546875" customWidth="1"/>
    <col min="3" max="3" width="12.33203125" customWidth="1"/>
    <col min="5" max="5" width="9.33203125" customWidth="1"/>
    <col min="7" max="7" width="9.88671875" customWidth="1"/>
    <col min="8" max="8" width="25.88671875" customWidth="1"/>
    <col min="11" max="11" width="12" bestFit="1" customWidth="1"/>
    <col min="12" max="12" width="9.5546875" bestFit="1" customWidth="1"/>
    <col min="14" max="14" width="12.88671875" customWidth="1"/>
  </cols>
  <sheetData>
    <row r="1" spans="1:15" x14ac:dyDescent="0.3">
      <c r="A1" s="78" t="s">
        <v>28</v>
      </c>
    </row>
    <row r="2" spans="1:15" x14ac:dyDescent="0.3">
      <c r="A2" s="79"/>
    </row>
    <row r="3" spans="1:15" x14ac:dyDescent="0.3">
      <c r="A3" s="16"/>
      <c r="B3" s="171" t="s">
        <v>257</v>
      </c>
      <c r="C3" s="81"/>
      <c r="D3" s="81"/>
      <c r="E3" s="171" t="s">
        <v>261</v>
      </c>
      <c r="F3" s="16"/>
      <c r="G3" s="16"/>
    </row>
    <row r="4" spans="1:15" ht="20.399999999999999" x14ac:dyDescent="0.3">
      <c r="A4" s="80" t="s">
        <v>56</v>
      </c>
      <c r="B4" s="171"/>
      <c r="C4" s="80" t="s">
        <v>258</v>
      </c>
      <c r="D4" s="4" t="s">
        <v>259</v>
      </c>
      <c r="E4" s="171"/>
      <c r="F4" s="4" t="s">
        <v>249</v>
      </c>
      <c r="G4" s="4" t="s">
        <v>93</v>
      </c>
    </row>
    <row r="5" spans="1:15" ht="15" thickBot="1" x14ac:dyDescent="0.35">
      <c r="A5" s="3"/>
      <c r="B5" s="172"/>
      <c r="C5" s="6"/>
      <c r="D5" s="33" t="s">
        <v>260</v>
      </c>
      <c r="E5" s="172"/>
      <c r="F5" s="6"/>
      <c r="G5" s="6"/>
    </row>
    <row r="6" spans="1:15" ht="15" thickBot="1" x14ac:dyDescent="0.35">
      <c r="A6" s="82" t="s">
        <v>262</v>
      </c>
      <c r="B6" s="10"/>
      <c r="C6" s="10"/>
      <c r="D6" s="10"/>
      <c r="E6" s="10"/>
      <c r="F6" s="10"/>
      <c r="G6" s="10"/>
    </row>
    <row r="7" spans="1:15" x14ac:dyDescent="0.3">
      <c r="A7" s="1" t="s">
        <v>263</v>
      </c>
      <c r="B7" s="83">
        <v>222229</v>
      </c>
      <c r="C7" s="83">
        <v>2041412</v>
      </c>
      <c r="D7" s="83">
        <v>90940</v>
      </c>
      <c r="E7" s="83">
        <v>303013</v>
      </c>
      <c r="F7" s="83">
        <v>791892</v>
      </c>
      <c r="G7" s="83">
        <v>3449486</v>
      </c>
    </row>
    <row r="8" spans="1:15" x14ac:dyDescent="0.3">
      <c r="A8" s="1" t="s">
        <v>264</v>
      </c>
      <c r="B8" s="76">
        <v>14268</v>
      </c>
      <c r="C8" s="84">
        <v>573239</v>
      </c>
      <c r="D8" s="76" t="s">
        <v>18</v>
      </c>
      <c r="E8" s="76">
        <v>235782</v>
      </c>
      <c r="F8" s="76">
        <v>5773</v>
      </c>
      <c r="G8" s="76">
        <v>829062</v>
      </c>
    </row>
    <row r="9" spans="1:15" x14ac:dyDescent="0.3">
      <c r="A9" s="1" t="s">
        <v>265</v>
      </c>
      <c r="B9" s="76">
        <v>636</v>
      </c>
      <c r="C9" s="76">
        <v>184486</v>
      </c>
      <c r="D9" s="76" t="s">
        <v>18</v>
      </c>
      <c r="E9" s="76">
        <v>-173831</v>
      </c>
      <c r="F9" s="76">
        <v>7573</v>
      </c>
      <c r="G9" s="76">
        <v>18864</v>
      </c>
    </row>
    <row r="10" spans="1:15" x14ac:dyDescent="0.3">
      <c r="A10" s="173" t="s">
        <v>266</v>
      </c>
      <c r="B10" s="85"/>
      <c r="C10" s="85"/>
      <c r="D10" s="85"/>
      <c r="E10" s="85"/>
      <c r="F10" s="85"/>
      <c r="G10" s="85"/>
    </row>
    <row r="11" spans="1:15" x14ac:dyDescent="0.3">
      <c r="A11" s="173"/>
      <c r="B11" s="76" t="s">
        <v>18</v>
      </c>
      <c r="C11" s="76" t="s">
        <v>18</v>
      </c>
      <c r="D11" s="76" t="s">
        <v>18</v>
      </c>
      <c r="E11" s="76">
        <v>-18864</v>
      </c>
      <c r="F11" s="76" t="s">
        <v>18</v>
      </c>
      <c r="G11" s="76">
        <v>-18864</v>
      </c>
      <c r="J11" t="s">
        <v>274</v>
      </c>
      <c r="L11" t="s">
        <v>273</v>
      </c>
    </row>
    <row r="12" spans="1:15" ht="15" thickBot="1" x14ac:dyDescent="0.35">
      <c r="A12" s="1" t="s">
        <v>267</v>
      </c>
      <c r="B12" s="75" t="s">
        <v>18</v>
      </c>
      <c r="C12" s="86">
        <v>-24034</v>
      </c>
      <c r="D12" s="75" t="s">
        <v>18</v>
      </c>
      <c r="E12" s="75" t="s">
        <v>18</v>
      </c>
      <c r="F12" s="75">
        <v>-1538</v>
      </c>
      <c r="G12" s="75">
        <v>-25572</v>
      </c>
      <c r="I12" s="28">
        <f>B13-I13</f>
        <v>5.5579999985639006E-2</v>
      </c>
      <c r="J12" s="28">
        <f>C13-J13</f>
        <v>0.27430999977514148</v>
      </c>
      <c r="K12" s="28">
        <f>D13-K13</f>
        <v>0</v>
      </c>
      <c r="L12" s="28">
        <f>E13-L13</f>
        <v>0</v>
      </c>
      <c r="M12" s="28">
        <f>F13-M13</f>
        <v>7.7709999983198941E-2</v>
      </c>
    </row>
    <row r="13" spans="1:15" ht="15" thickBot="1" x14ac:dyDescent="0.35">
      <c r="A13" s="1" t="s">
        <v>241</v>
      </c>
      <c r="B13" s="75">
        <v>237133</v>
      </c>
      <c r="C13" s="75">
        <v>2775103</v>
      </c>
      <c r="D13" s="75">
        <v>90940</v>
      </c>
      <c r="E13" s="75">
        <v>346100</v>
      </c>
      <c r="F13" s="75">
        <v>803700</v>
      </c>
      <c r="G13" s="75">
        <v>4252976</v>
      </c>
      <c r="H13" t="s">
        <v>241</v>
      </c>
      <c r="I13" s="76">
        <f>5065.05944+95603.84478+134922.63782+1541.40238</f>
        <v>237132.94442000001</v>
      </c>
      <c r="J13" s="28">
        <f>2682231.72569+92871</f>
        <v>2775102.7256900002</v>
      </c>
      <c r="K13" s="28">
        <f t="shared" ref="K13" si="0">D13</f>
        <v>90940</v>
      </c>
      <c r="L13" s="28">
        <f>321632+24468</f>
        <v>346100</v>
      </c>
      <c r="M13" s="28">
        <f>114810.98723+16514.91939+672401.01567-27</f>
        <v>803699.92229000002</v>
      </c>
      <c r="N13" s="28">
        <f>SUM(I13:M13)</f>
        <v>4252975.5924000004</v>
      </c>
    </row>
    <row r="14" spans="1:15" x14ac:dyDescent="0.3">
      <c r="A14" s="1" t="s">
        <v>264</v>
      </c>
      <c r="B14" s="87">
        <v>8125</v>
      </c>
      <c r="C14" s="87">
        <v>24003</v>
      </c>
      <c r="D14" s="87" t="s">
        <v>18</v>
      </c>
      <c r="E14" s="87">
        <v>657073</v>
      </c>
      <c r="F14" s="87">
        <v>3734</v>
      </c>
      <c r="G14" s="87">
        <v>692935</v>
      </c>
      <c r="H14" t="s">
        <v>264</v>
      </c>
      <c r="I14" s="28">
        <f>848780.00596</f>
        <v>848780.00595999998</v>
      </c>
      <c r="J14" s="28">
        <f>42416.89535+87444.4</f>
        <v>129861.29535</v>
      </c>
      <c r="L14" s="28">
        <f>22658+924841.73406</f>
        <v>947499.73406000005</v>
      </c>
      <c r="M14" s="28">
        <f>84.98215+3620.17857+287.815+114</f>
        <v>4106.9757200000004</v>
      </c>
      <c r="N14" s="28">
        <f t="shared" ref="N14:N18" si="1">SUM(I14:M14)</f>
        <v>1930248.0110900002</v>
      </c>
      <c r="O14" s="28"/>
    </row>
    <row r="15" spans="1:15" x14ac:dyDescent="0.3">
      <c r="A15" s="1" t="s">
        <v>265</v>
      </c>
      <c r="B15" s="87">
        <v>7555</v>
      </c>
      <c r="C15" s="87">
        <v>59772</v>
      </c>
      <c r="D15" s="88"/>
      <c r="E15" s="87">
        <v>-94323</v>
      </c>
      <c r="F15" s="87">
        <v>337955</v>
      </c>
      <c r="G15" s="87" t="s">
        <v>9</v>
      </c>
      <c r="H15" t="s">
        <v>265</v>
      </c>
      <c r="I15" s="28">
        <v>7554.9821400000001</v>
      </c>
      <c r="J15" s="28">
        <f>841607.81699-18344.64357</f>
        <v>823263.17342000001</v>
      </c>
      <c r="K15" s="28"/>
      <c r="L15" s="28"/>
      <c r="M15" s="28">
        <f>4886.87503+337641.66451</f>
        <v>342528.53953999997</v>
      </c>
      <c r="N15" s="28">
        <f t="shared" si="1"/>
        <v>1173346.6950999999</v>
      </c>
      <c r="O15" s="28"/>
    </row>
    <row r="16" spans="1:15" x14ac:dyDescent="0.3">
      <c r="A16" s="173" t="s">
        <v>266</v>
      </c>
      <c r="B16" s="88"/>
      <c r="C16" s="88"/>
      <c r="D16" s="88"/>
      <c r="E16" s="88"/>
      <c r="F16" s="88"/>
      <c r="G16" s="88"/>
      <c r="H16" t="s">
        <v>266</v>
      </c>
      <c r="I16" s="28"/>
      <c r="J16" s="28"/>
      <c r="K16" s="28"/>
      <c r="L16" s="28"/>
      <c r="M16" s="28"/>
      <c r="N16" s="28">
        <f t="shared" si="1"/>
        <v>0</v>
      </c>
      <c r="O16" s="28"/>
    </row>
    <row r="17" spans="1:16" x14ac:dyDescent="0.3">
      <c r="A17" s="173"/>
      <c r="B17" s="87" t="s">
        <v>268</v>
      </c>
      <c r="C17" s="87">
        <v>83781</v>
      </c>
      <c r="D17" s="87" t="s">
        <v>18</v>
      </c>
      <c r="E17" s="87">
        <v>-24524</v>
      </c>
      <c r="F17" s="87">
        <v>401</v>
      </c>
      <c r="G17" s="87">
        <v>59658</v>
      </c>
      <c r="I17" s="28"/>
      <c r="J17" s="28"/>
      <c r="K17" s="28"/>
      <c r="L17" s="28">
        <v>-24468</v>
      </c>
      <c r="M17" s="28">
        <v>50</v>
      </c>
      <c r="N17" s="28">
        <f t="shared" si="1"/>
        <v>-24418</v>
      </c>
      <c r="O17" s="28"/>
    </row>
    <row r="18" spans="1:16" ht="15" thickBot="1" x14ac:dyDescent="0.35">
      <c r="A18" s="1" t="s">
        <v>267</v>
      </c>
      <c r="B18" s="89" t="s">
        <v>269</v>
      </c>
      <c r="C18" s="89">
        <v>-17543</v>
      </c>
      <c r="D18" s="89">
        <v>-248</v>
      </c>
      <c r="E18" s="90" t="s">
        <v>18</v>
      </c>
      <c r="F18" s="90" t="s">
        <v>18</v>
      </c>
      <c r="G18" s="90">
        <v>-20023</v>
      </c>
      <c r="H18" t="s">
        <v>267</v>
      </c>
      <c r="I18" s="28"/>
      <c r="J18" s="28">
        <f>-(216942.97573+105.95242+138285.46168)</f>
        <v>-355334.38983</v>
      </c>
      <c r="K18" s="28">
        <f>-1157.33716-1322.67097</f>
        <v>-2480.0081300000002</v>
      </c>
      <c r="L18" s="28">
        <f>-1191691.33867+18344.64357-7872.32137-56.60714</f>
        <v>-1181275.6236099999</v>
      </c>
      <c r="M18" s="28"/>
      <c r="N18" s="28">
        <f t="shared" si="1"/>
        <v>-1539090.0215699999</v>
      </c>
      <c r="O18" s="28"/>
    </row>
    <row r="19" spans="1:16" ht="15" thickBot="1" x14ac:dyDescent="0.35">
      <c r="A19" s="1" t="s">
        <v>256</v>
      </c>
      <c r="B19" s="90">
        <v>252813</v>
      </c>
      <c r="C19" s="91">
        <v>3463064</v>
      </c>
      <c r="D19" s="90">
        <v>88460</v>
      </c>
      <c r="E19" s="90">
        <v>35419</v>
      </c>
      <c r="F19" s="90">
        <v>1145790</v>
      </c>
      <c r="G19" s="92">
        <v>4985546</v>
      </c>
      <c r="H19" t="s">
        <v>256</v>
      </c>
      <c r="I19" s="28">
        <f>SUM(I13:I18)</f>
        <v>1093467.93252</v>
      </c>
      <c r="J19" s="28">
        <f>SUM(J13:J18)</f>
        <v>3372892.8046300001</v>
      </c>
      <c r="K19" s="28">
        <f t="shared" ref="K19" si="2">SUM(K13:K18)</f>
        <v>88459.991869999998</v>
      </c>
      <c r="L19" s="28">
        <f>SUM(L13:L18)</f>
        <v>87856.110450000269</v>
      </c>
      <c r="M19" s="28">
        <f>SUM(M13:M18)</f>
        <v>1150385.4375499999</v>
      </c>
      <c r="N19" s="28">
        <f>SUM(I19:M19)</f>
        <v>5793062.2770200009</v>
      </c>
      <c r="O19" s="28">
        <f>6113226.239-409561.564+1541.402+87856.395</f>
        <v>5793062.4719999991</v>
      </c>
    </row>
    <row r="20" spans="1:16" ht="15" thickBot="1" x14ac:dyDescent="0.35">
      <c r="A20" s="82" t="s">
        <v>270</v>
      </c>
      <c r="B20" s="93"/>
      <c r="C20" s="93"/>
      <c r="D20" s="93"/>
      <c r="E20" s="93"/>
      <c r="F20" s="93"/>
      <c r="G20" s="93"/>
    </row>
    <row r="21" spans="1:16" x14ac:dyDescent="0.3">
      <c r="A21" s="1" t="s">
        <v>263</v>
      </c>
      <c r="B21" s="76">
        <v>17586</v>
      </c>
      <c r="C21" s="76">
        <v>348279</v>
      </c>
      <c r="D21" s="76">
        <v>14413</v>
      </c>
      <c r="E21" s="76" t="s">
        <v>18</v>
      </c>
      <c r="F21" s="76">
        <v>29774</v>
      </c>
      <c r="G21" s="76">
        <v>410052</v>
      </c>
      <c r="I21" s="28"/>
      <c r="J21" s="28"/>
      <c r="K21" s="28"/>
      <c r="L21" s="28"/>
      <c r="M21" s="28"/>
      <c r="N21" s="28"/>
    </row>
    <row r="22" spans="1:16" x14ac:dyDescent="0.3">
      <c r="A22" s="1" t="s">
        <v>271</v>
      </c>
      <c r="B22" s="76">
        <v>22879</v>
      </c>
      <c r="C22" s="76">
        <v>364024</v>
      </c>
      <c r="D22" s="76">
        <v>18218</v>
      </c>
      <c r="E22" s="76" t="s">
        <v>18</v>
      </c>
      <c r="F22" s="76">
        <v>43323</v>
      </c>
      <c r="G22" s="76">
        <v>448444</v>
      </c>
      <c r="I22" s="28">
        <f>I24-I23</f>
        <v>-949.85874999999942</v>
      </c>
      <c r="J22" s="28">
        <f>J24-J23</f>
        <v>-31.738490000017919</v>
      </c>
      <c r="K22" s="28">
        <f t="shared" ref="K22:N22" si="3">K24-K23</f>
        <v>0.45288000000073225</v>
      </c>
      <c r="L22" s="28">
        <f t="shared" si="3"/>
        <v>0</v>
      </c>
      <c r="M22" s="28">
        <f t="shared" si="3"/>
        <v>981.87179999999353</v>
      </c>
      <c r="N22" s="28">
        <f t="shared" si="3"/>
        <v>0.72743999992962927</v>
      </c>
    </row>
    <row r="23" spans="1:16" ht="15" thickBot="1" x14ac:dyDescent="0.35">
      <c r="A23" s="1" t="s">
        <v>267</v>
      </c>
      <c r="B23" s="75" t="s">
        <v>18</v>
      </c>
      <c r="C23" s="75">
        <v>-3821</v>
      </c>
      <c r="D23" s="75" t="s">
        <v>18</v>
      </c>
      <c r="E23" s="75" t="s">
        <v>18</v>
      </c>
      <c r="F23" s="75">
        <v>-743</v>
      </c>
      <c r="G23" s="75">
        <v>-4564</v>
      </c>
      <c r="I23" s="28">
        <f>16396.45149+24735.81682+282.59044</f>
        <v>41414.858749999999</v>
      </c>
      <c r="J23" s="28">
        <f>580435.33838+128078.40011</f>
        <v>708513.73849000002</v>
      </c>
      <c r="K23" s="28">
        <v>32630.547119999999</v>
      </c>
      <c r="L23" s="28"/>
      <c r="M23" s="28">
        <f>19647.36089+5492.964+46231.80331</f>
        <v>71372.128200000006</v>
      </c>
      <c r="N23" s="28">
        <f>SUM(I23:M23)</f>
        <v>853931.27256000007</v>
      </c>
    </row>
    <row r="24" spans="1:16" ht="15" thickBot="1" x14ac:dyDescent="0.35">
      <c r="A24" s="1" t="s">
        <v>241</v>
      </c>
      <c r="B24" s="75">
        <v>40465</v>
      </c>
      <c r="C24" s="75">
        <v>708482</v>
      </c>
      <c r="D24" s="75">
        <v>32631</v>
      </c>
      <c r="E24" s="75" t="s">
        <v>18</v>
      </c>
      <c r="F24" s="75">
        <v>72354</v>
      </c>
      <c r="G24" s="75">
        <v>853932</v>
      </c>
      <c r="I24" s="28">
        <f>B24</f>
        <v>40465</v>
      </c>
      <c r="J24" s="28">
        <f>C24</f>
        <v>708482</v>
      </c>
      <c r="K24" s="28">
        <f t="shared" ref="K24" si="4">D24</f>
        <v>32631</v>
      </c>
      <c r="L24" s="28">
        <v>0</v>
      </c>
      <c r="M24" s="28">
        <f>F24</f>
        <v>72354</v>
      </c>
      <c r="N24" s="28">
        <f t="shared" ref="N24" si="5">SUM(I24:M24)</f>
        <v>853932</v>
      </c>
    </row>
    <row r="25" spans="1:16" x14ac:dyDescent="0.3">
      <c r="A25" s="1" t="s">
        <v>271</v>
      </c>
      <c r="B25" s="87">
        <v>13025</v>
      </c>
      <c r="C25" s="87">
        <v>257432</v>
      </c>
      <c r="D25" s="87">
        <v>9047</v>
      </c>
      <c r="E25" s="87" t="s">
        <v>18</v>
      </c>
      <c r="F25" s="87">
        <v>29413</v>
      </c>
      <c r="G25" s="87">
        <v>308917</v>
      </c>
      <c r="H25" t="s">
        <v>271</v>
      </c>
      <c r="I25" s="28">
        <f>7343.12259+12209.86211+115.60518</f>
        <v>19668.58988</v>
      </c>
      <c r="J25" s="28">
        <f>3783.07068+400407.98832</f>
        <v>404191.05900000001</v>
      </c>
      <c r="K25" s="28">
        <f>1357.3449+12090.35157</f>
        <v>13447.696470000001</v>
      </c>
      <c r="L25" s="28"/>
      <c r="M25" s="28">
        <f>8938.94904+2459.28006+675.33712+559.17857+22569.12247-1</f>
        <v>35200.867259999999</v>
      </c>
      <c r="N25" s="28">
        <f>SUM(I25:M25)</f>
        <v>472508.21261000005</v>
      </c>
    </row>
    <row r="26" spans="1:16" ht="15" thickBot="1" x14ac:dyDescent="0.35">
      <c r="A26" s="1" t="s">
        <v>267</v>
      </c>
      <c r="B26" s="87" t="s">
        <v>9</v>
      </c>
      <c r="C26" s="87">
        <v>-8243</v>
      </c>
      <c r="D26" s="87">
        <v>-1157</v>
      </c>
      <c r="E26" s="87" t="s">
        <v>18</v>
      </c>
      <c r="F26" s="88"/>
      <c r="G26" s="87">
        <v>-9400</v>
      </c>
      <c r="H26" t="s">
        <v>267</v>
      </c>
      <c r="I26" s="28"/>
      <c r="J26" s="28">
        <v>-138285.46168000001</v>
      </c>
      <c r="K26" s="28">
        <v>-1157.33716</v>
      </c>
      <c r="L26" s="28"/>
      <c r="M26" s="28"/>
      <c r="N26" s="28">
        <f>SUM(I26:M26)</f>
        <v>-139442.79884</v>
      </c>
    </row>
    <row r="27" spans="1:16" ht="15" thickBot="1" x14ac:dyDescent="0.35">
      <c r="A27" s="1" t="s">
        <v>256</v>
      </c>
      <c r="B27" s="94">
        <v>5349</v>
      </c>
      <c r="C27" s="94">
        <v>957671</v>
      </c>
      <c r="D27" s="94">
        <v>40521</v>
      </c>
      <c r="E27" s="94" t="s">
        <v>18</v>
      </c>
      <c r="F27" s="94">
        <v>101767</v>
      </c>
      <c r="G27" s="94">
        <v>1153450</v>
      </c>
      <c r="H27" t="s">
        <v>256</v>
      </c>
      <c r="I27" s="28">
        <f>SUM(I24:I26)</f>
        <v>60133.58988</v>
      </c>
      <c r="J27" s="28">
        <f>SUM(J24:J26)</f>
        <v>974387.59731999994</v>
      </c>
      <c r="K27" s="28">
        <f t="shared" ref="K27:L27" si="6">SUM(K24:K26)</f>
        <v>44921.35931</v>
      </c>
      <c r="L27" s="28">
        <f t="shared" si="6"/>
        <v>0</v>
      </c>
      <c r="M27" s="28">
        <f>SUM(M24:M26)</f>
        <v>107554.86726</v>
      </c>
      <c r="N27" s="28">
        <f>SUM(I27:M27)</f>
        <v>1186997.41377</v>
      </c>
      <c r="O27">
        <v>1058521.091</v>
      </c>
      <c r="P27" s="28">
        <f>O27-N27+128078.4</f>
        <v>-397.92276999997557</v>
      </c>
    </row>
    <row r="28" spans="1:16" ht="15" thickBot="1" x14ac:dyDescent="0.35">
      <c r="A28" s="82" t="s">
        <v>272</v>
      </c>
      <c r="B28" s="95"/>
      <c r="C28" s="95"/>
      <c r="D28" s="95"/>
      <c r="E28" s="95"/>
      <c r="F28" s="95"/>
      <c r="G28" s="95"/>
      <c r="H28" t="s">
        <v>272</v>
      </c>
    </row>
    <row r="29" spans="1:16" ht="15.6" thickTop="1" thickBot="1" x14ac:dyDescent="0.35">
      <c r="A29" s="1" t="s">
        <v>241</v>
      </c>
      <c r="B29" s="96">
        <v>196668</v>
      </c>
      <c r="C29" s="96">
        <v>2066621</v>
      </c>
      <c r="D29" s="96">
        <v>58309</v>
      </c>
      <c r="E29" s="96">
        <v>346100</v>
      </c>
      <c r="F29" s="96">
        <v>731346</v>
      </c>
      <c r="G29" s="96">
        <v>3399044</v>
      </c>
      <c r="H29" t="s">
        <v>241</v>
      </c>
      <c r="I29" s="28">
        <f>I13-I24</f>
        <v>196667.94442000001</v>
      </c>
      <c r="J29" s="28">
        <f t="shared" ref="J29:N29" si="7">J13-J24</f>
        <v>2066620.7256900002</v>
      </c>
      <c r="K29" s="28">
        <f t="shared" si="7"/>
        <v>58309</v>
      </c>
      <c r="L29" s="28">
        <f>L13-L24</f>
        <v>346100</v>
      </c>
      <c r="M29" s="28">
        <f t="shared" si="7"/>
        <v>731345.92229000002</v>
      </c>
      <c r="N29" s="28">
        <f t="shared" si="7"/>
        <v>3399043.5924000004</v>
      </c>
    </row>
    <row r="30" spans="1:16" ht="15.6" thickTop="1" thickBot="1" x14ac:dyDescent="0.35">
      <c r="A30" s="1" t="s">
        <v>256</v>
      </c>
      <c r="B30" s="97">
        <v>199323</v>
      </c>
      <c r="C30" s="98">
        <v>2505393</v>
      </c>
      <c r="D30" s="99">
        <v>47939</v>
      </c>
      <c r="E30" s="100">
        <v>35419</v>
      </c>
      <c r="F30" s="99">
        <v>1044023</v>
      </c>
      <c r="G30" s="99">
        <v>3832096</v>
      </c>
      <c r="H30" t="s">
        <v>256</v>
      </c>
      <c r="I30" s="28">
        <f>I19-I27</f>
        <v>1033334.34264</v>
      </c>
      <c r="J30" s="28">
        <f t="shared" ref="J30:M30" si="8">J19-J27</f>
        <v>2398505.2073100004</v>
      </c>
      <c r="K30" s="28">
        <f t="shared" si="8"/>
        <v>43538.632559999998</v>
      </c>
      <c r="L30" s="28">
        <f t="shared" si="8"/>
        <v>87856.110450000269</v>
      </c>
      <c r="M30" s="28">
        <f t="shared" si="8"/>
        <v>1042830.5702899999</v>
      </c>
      <c r="N30" s="28">
        <f>N19-N27</f>
        <v>4606064.8632500004</v>
      </c>
    </row>
    <row r="31" spans="1:16" ht="15" thickTop="1" x14ac:dyDescent="0.3"/>
  </sheetData>
  <mergeCells count="4">
    <mergeCell ref="B3:B5"/>
    <mergeCell ref="E3:E5"/>
    <mergeCell ref="A10:A11"/>
    <mergeCell ref="A16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ОФП</vt:lpstr>
      <vt:lpstr>ОДР и ПСД</vt:lpstr>
      <vt:lpstr>ОДДС-К</vt:lpstr>
      <vt:lpstr>ОДДС_К</vt:lpstr>
      <vt:lpstr>Ф.3-ДДС-П</vt:lpstr>
      <vt:lpstr>ОИК</vt:lpstr>
      <vt:lpstr>ОС</vt:lpstr>
      <vt:lpstr>ОС!_bookmark10</vt:lpstr>
      <vt:lpstr>ОС!_Hlk104297275</vt:lpstr>
      <vt:lpstr>'Ф.3-ДДС-П'!Область_печати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Кустанова</dc:creator>
  <cp:lastModifiedBy>Almagul Kurmangaliyeva</cp:lastModifiedBy>
  <cp:lastPrinted>2024-05-15T15:35:53Z</cp:lastPrinted>
  <dcterms:created xsi:type="dcterms:W3CDTF">2021-08-20T06:10:20Z</dcterms:created>
  <dcterms:modified xsi:type="dcterms:W3CDTF">2024-11-19T06:52:13Z</dcterms:modified>
</cp:coreProperties>
</file>