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stanova.a\Desktop\Фин. отчетность\2021\3кв.2021\"/>
    </mc:Choice>
  </mc:AlternateContent>
  <xr:revisionPtr revIDLastSave="0" documentId="13_ncr:1_{5C080A07-F768-4688-BFE6-967EEE499913}" xr6:coauthVersionLast="47" xr6:coauthVersionMax="47" xr10:uidLastSave="{00000000-0000-0000-0000-000000000000}"/>
  <bookViews>
    <workbookView xWindow="-120" yWindow="-120" windowWidth="29040" windowHeight="15840" xr2:uid="{7A91306D-1A52-4F02-891D-526B79E580FC}"/>
  </bookViews>
  <sheets>
    <sheet name="ОФП" sheetId="2" r:id="rId1"/>
    <sheet name="ОДР и ПСД" sheetId="1" r:id="rId2"/>
    <sheet name="ОДДС-К" sheetId="3" r:id="rId3"/>
    <sheet name="ОДДС-К (2)" sheetId="5" state="hidden" r:id="rId4"/>
    <sheet name="Ф.3-ДДС-П" sheetId="6" state="hidden" r:id="rId5"/>
    <sheet name="ОИК" sheetId="4" r:id="rId6"/>
  </sheets>
  <definedNames>
    <definedName name="_xlnm.Print_Area" localSheetId="4">'Ф.3-ДДС-П'!$A$1:$D$97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J36" i="5"/>
  <c r="K35" i="5"/>
  <c r="J35" i="5"/>
  <c r="K33" i="5"/>
  <c r="C34" i="5"/>
  <c r="J33" i="5"/>
  <c r="I33" i="5"/>
  <c r="K34" i="5"/>
  <c r="C28" i="5"/>
  <c r="C29" i="5"/>
  <c r="C33" i="6"/>
  <c r="C47" i="5"/>
  <c r="C46" i="5"/>
  <c r="C35" i="5"/>
  <c r="C32" i="5"/>
  <c r="C31" i="5"/>
  <c r="C89" i="6"/>
  <c r="D78" i="6"/>
  <c r="C78" i="6"/>
  <c r="C85" i="6" s="1"/>
  <c r="D72" i="6"/>
  <c r="D85" i="6" s="1"/>
  <c r="C72" i="6"/>
  <c r="C63" i="6"/>
  <c r="C58" i="6"/>
  <c r="C57" i="6"/>
  <c r="C55" i="6" s="1"/>
  <c r="D55" i="6"/>
  <c r="D41" i="6"/>
  <c r="D70" i="6" s="1"/>
  <c r="C41" i="6"/>
  <c r="C38" i="6"/>
  <c r="C37" i="6"/>
  <c r="C34" i="6"/>
  <c r="D30" i="6"/>
  <c r="C29" i="6"/>
  <c r="C28" i="6"/>
  <c r="C26" i="6"/>
  <c r="C24" i="6"/>
  <c r="C22" i="6" s="1"/>
  <c r="D22" i="6"/>
  <c r="D39" i="6" s="1"/>
  <c r="D88" i="6" s="1"/>
  <c r="D40" i="5"/>
  <c r="C40" i="5"/>
  <c r="D35" i="5"/>
  <c r="C33" i="5"/>
  <c r="K31" i="5"/>
  <c r="J27" i="5"/>
  <c r="C25" i="5"/>
  <c r="D24" i="5"/>
  <c r="D28" i="5" s="1"/>
  <c r="D42" i="5" s="1"/>
  <c r="D45" i="5" s="1"/>
  <c r="C44" i="5" s="1"/>
  <c r="C22" i="5"/>
  <c r="K21" i="5"/>
  <c r="J21" i="5"/>
  <c r="J22" i="5" s="1"/>
  <c r="C15" i="5" s="1"/>
  <c r="C43" i="5" s="1"/>
  <c r="C21" i="5"/>
  <c r="C20" i="5"/>
  <c r="C19" i="5"/>
  <c r="C18" i="5"/>
  <c r="D17" i="5"/>
  <c r="J15" i="5"/>
  <c r="C11" i="5" s="1"/>
  <c r="C10" i="5"/>
  <c r="C9" i="5"/>
  <c r="C7" i="5"/>
  <c r="C17" i="5" s="1"/>
  <c r="C24" i="5" s="1"/>
  <c r="C31" i="3"/>
  <c r="C21" i="3"/>
  <c r="C32" i="3"/>
  <c r="C34" i="3"/>
  <c r="C35" i="3"/>
  <c r="K31" i="3"/>
  <c r="C19" i="3"/>
  <c r="C18" i="3"/>
  <c r="R19" i="2"/>
  <c r="R17" i="2"/>
  <c r="R16" i="2"/>
  <c r="C23" i="1"/>
  <c r="D7" i="1"/>
  <c r="D12" i="1" s="1"/>
  <c r="D17" i="1" s="1"/>
  <c r="D19" i="1" s="1"/>
  <c r="D21" i="1" s="1"/>
  <c r="C42" i="5" l="1"/>
  <c r="C45" i="5" s="1"/>
  <c r="C70" i="6"/>
  <c r="C32" i="6"/>
  <c r="C30" i="6" s="1"/>
  <c r="C39" i="6" s="1"/>
  <c r="C88" i="6" s="1"/>
  <c r="C90" i="6" s="1"/>
  <c r="K16" i="2"/>
  <c r="E11" i="4"/>
  <c r="C26" i="2"/>
  <c r="C18" i="1" l="1"/>
  <c r="C37" i="2"/>
  <c r="C39" i="2" s="1"/>
  <c r="R38" i="2" l="1"/>
  <c r="R37" i="2"/>
  <c r="C22" i="3"/>
  <c r="C33" i="3"/>
  <c r="J27" i="3"/>
  <c r="C25" i="3" s="1"/>
  <c r="J22" i="3"/>
  <c r="C15" i="3" s="1"/>
  <c r="C43" i="3" s="1"/>
  <c r="K21" i="3"/>
  <c r="J21" i="3"/>
  <c r="J15" i="3" l="1"/>
  <c r="C11" i="3" s="1"/>
  <c r="C20" i="3" l="1"/>
  <c r="D10" i="4"/>
  <c r="C5" i="1"/>
  <c r="C7" i="1" s="1"/>
  <c r="C7" i="2"/>
  <c r="C14" i="2" l="1"/>
  <c r="D14" i="2"/>
  <c r="D22" i="2" s="1"/>
  <c r="C21" i="2"/>
  <c r="D21" i="2"/>
  <c r="C27" i="2"/>
  <c r="D27" i="2"/>
  <c r="K27" i="2" s="1"/>
  <c r="C32" i="2"/>
  <c r="C40" i="2" s="1"/>
  <c r="C41" i="2" s="1"/>
  <c r="D32" i="2"/>
  <c r="D40" i="2" s="1"/>
  <c r="D39" i="2"/>
  <c r="C14" i="4"/>
  <c r="E10" i="4"/>
  <c r="C10" i="4"/>
  <c r="J37" i="2"/>
  <c r="J39" i="2" s="1"/>
  <c r="K39" i="2" s="1"/>
  <c r="J27" i="2"/>
  <c r="J32" i="2"/>
  <c r="K28" i="2"/>
  <c r="K29" i="2"/>
  <c r="K30" i="2"/>
  <c r="K31" i="2"/>
  <c r="K32" i="2"/>
  <c r="K33" i="2"/>
  <c r="K34" i="2"/>
  <c r="K35" i="2"/>
  <c r="K36" i="2"/>
  <c r="K37" i="2"/>
  <c r="K38" i="2"/>
  <c r="K25" i="2"/>
  <c r="K26" i="2"/>
  <c r="J12" i="2"/>
  <c r="K12" i="2"/>
  <c r="K13" i="2"/>
  <c r="K8" i="2"/>
  <c r="K9" i="2"/>
  <c r="K10" i="2"/>
  <c r="J7" i="2"/>
  <c r="K7" i="2" s="1"/>
  <c r="K17" i="2"/>
  <c r="K19" i="2"/>
  <c r="K20" i="2"/>
  <c r="J21" i="2"/>
  <c r="K21" i="2" s="1"/>
  <c r="J40" i="2" l="1"/>
  <c r="J14" i="2"/>
  <c r="D41" i="2"/>
  <c r="K40" i="2" s="1"/>
  <c r="C22" i="2"/>
  <c r="D43" i="2"/>
  <c r="K14" i="2" l="1"/>
  <c r="J22" i="2"/>
  <c r="K22" i="2" s="1"/>
  <c r="C43" i="2"/>
  <c r="D17" i="3"/>
  <c r="D24" i="3" s="1"/>
  <c r="D28" i="3" s="1"/>
  <c r="C40" i="3"/>
  <c r="D40" i="3"/>
  <c r="D35" i="3"/>
  <c r="C10" i="3"/>
  <c r="C9" i="3"/>
  <c r="D42" i="3" l="1"/>
  <c r="D45" i="3"/>
  <c r="C44" i="3" s="1"/>
  <c r="C12" i="1"/>
  <c r="C17" i="1" s="1"/>
  <c r="C19" i="1" l="1"/>
  <c r="D12" i="4" s="1"/>
  <c r="D14" i="4" s="1"/>
  <c r="C7" i="3"/>
  <c r="C17" i="3" s="1"/>
  <c r="C24" i="3" l="1"/>
  <c r="C28" i="3" s="1"/>
  <c r="C42" i="3" s="1"/>
  <c r="C45" i="3" s="1"/>
  <c r="C21" i="1"/>
  <c r="E12" i="4" l="1"/>
  <c r="E14" i="4" s="1"/>
</calcChain>
</file>

<file path=xl/sharedStrings.xml><?xml version="1.0" encoding="utf-8"?>
<sst xmlns="http://schemas.openxmlformats.org/spreadsheetml/2006/main" count="399" uniqueCount="274">
  <si>
    <t>тыс. тенге (если не указано иное)</t>
  </si>
  <si>
    <t>Прим.</t>
  </si>
  <si>
    <t>Доходы от реализации</t>
  </si>
  <si>
    <t>Себестоимость реализации</t>
  </si>
  <si>
    <t>Валовой доход</t>
  </si>
  <si>
    <t>Расходы по реализации</t>
  </si>
  <si>
    <t>Общеадминистративные расходы</t>
  </si>
  <si>
    <t>Прочие операционные расходы, нетто</t>
  </si>
  <si>
    <t>Убытки от обесценения</t>
  </si>
  <si>
    <t>-</t>
  </si>
  <si>
    <t>Операционный доход (убыток)</t>
  </si>
  <si>
    <t>Финансовые доходы</t>
  </si>
  <si>
    <t>9(а)</t>
  </si>
  <si>
    <t>Финансовые расходы</t>
  </si>
  <si>
    <t>9(б)</t>
  </si>
  <si>
    <t>Доход от курсовой разницы</t>
  </si>
  <si>
    <t>Доход (убыток) до налогообложения</t>
  </si>
  <si>
    <t>(Расходы) экономия по подоходному налогу</t>
  </si>
  <si>
    <t>10(а)</t>
  </si>
  <si>
    <t>Чистый доход (убыток) за полугодие</t>
  </si>
  <si>
    <t>Прочий совокупный доход</t>
  </si>
  <si>
    <t>–</t>
  </si>
  <si>
    <t>Общий совокупный доход (убыток) за полугодие</t>
  </si>
  <si>
    <t>Базовый и разводненный доход (убыток) на акцию, тенге</t>
  </si>
  <si>
    <t>18(б)</t>
  </si>
  <si>
    <t xml:space="preserve">      _______________________________________                             ______________________________________________</t>
  </si>
  <si>
    <t xml:space="preserve">  </t>
  </si>
  <si>
    <t xml:space="preserve">     Акжолов Б.Ж.</t>
  </si>
  <si>
    <t xml:space="preserve">            Кустанова А.Е.</t>
  </si>
  <si>
    <t xml:space="preserve">     Генеральный директор</t>
  </si>
  <si>
    <t xml:space="preserve">            Главный бухгалтер</t>
  </si>
  <si>
    <t xml:space="preserve">     АО «Горнорудная Компания «Бенкала»                                          АО «Горнорудная Компания «Бенкала»</t>
  </si>
  <si>
    <t>На 31.12.2020</t>
  </si>
  <si>
    <t>АКТИВЫ</t>
  </si>
  <si>
    <t>Внеоборотные активы</t>
  </si>
  <si>
    <t>Основные средства</t>
  </si>
  <si>
    <t>Актив в форме права пользования</t>
  </si>
  <si>
    <t>20(а)</t>
  </si>
  <si>
    <t>Горнодобывающие активы</t>
  </si>
  <si>
    <t>Нематериальные активы</t>
  </si>
  <si>
    <t>Отложенный налоговый актив</t>
  </si>
  <si>
    <t>10(б)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</si>
  <si>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</si>
  <si>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</si>
  <si>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</si>
  <si>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</si>
  <si>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Предоплата по подоходному налогу</t>
  </si>
  <si>
    <t>Торговая и прочая дебиторская задолженность</t>
  </si>
  <si>
    <t>Денежные средства</t>
  </si>
  <si>
    <t>ВСЕГО АКТИВЫ</t>
  </si>
  <si>
    <t>КАПИТАЛ И ОБЯЗАТЕЛЬСТВА</t>
  </si>
  <si>
    <t>Капитал</t>
  </si>
  <si>
    <t>Акционерный капитал</t>
  </si>
  <si>
    <t>18(а)</t>
  </si>
  <si>
    <t>Нераспределенный доход (непокрытый убыток)</t>
  </si>
  <si>
    <t>Долгосрочные обязательства</t>
  </si>
  <si>
    <t>Обязательства по контрактам на недропользование</t>
  </si>
  <si>
    <t>Арендные обязательства</t>
  </si>
  <si>
    <t>20(б)</t>
  </si>
  <si>
    <t>Отложенное налоговое обязательство</t>
  </si>
  <si>
    <t>Текущие обязательства</t>
  </si>
  <si>
    <t>Подоходный налог к уплате</t>
  </si>
  <si>
    <t>Торговая и прочая кредиторская задолженность</t>
  </si>
  <si>
    <t>Прочие налоги к уплате</t>
  </si>
  <si>
    <t>ИТОГО ОБЯЗАТЕЛЬСТВА</t>
  </si>
  <si>
    <t>ВСЕГО КАПИТАЛ И ОБЯЗАТЕЛЬСТВА</t>
  </si>
  <si>
    <t>Балансовая стоимость акции, тенге</t>
  </si>
  <si>
    <t>18(в)</t>
  </si>
  <si>
    <t>Долгосрочная торговая и прочая дебиторская задолженность</t>
  </si>
  <si>
    <t>3310+3350+3380+3430+3510</t>
  </si>
  <si>
    <t>тыс. тенге</t>
  </si>
  <si>
    <t>ОПЕРАЦИОННАЯ ДЕЯТЕЛЬНОСТЬ</t>
  </si>
  <si>
    <t>Корректировки:</t>
  </si>
  <si>
    <t>Износ, истощение и амортизация</t>
  </si>
  <si>
    <t>Убыток от выбытия основных средств</t>
  </si>
  <si>
    <t>Нереализованный доход от курсовой разницы</t>
  </si>
  <si>
    <t>Движение денежных средств от операционной деятельности до изменений оборотного капитала</t>
  </si>
  <si>
    <t>Увеличение товарно-материальных запасов</t>
  </si>
  <si>
    <t>Увеличение авансов выданных и прочих текущих активов</t>
  </si>
  <si>
    <t>Увеличение торговой и прочей дебиторской задолженности</t>
  </si>
  <si>
    <t>Увеличение прочих налогов к уплате</t>
  </si>
  <si>
    <t>Денежные средства от операционной деятельности до получения процентов и уплаты подоходного налога</t>
  </si>
  <si>
    <t>Проценты полученные</t>
  </si>
  <si>
    <t>Подоходный налог уплаченный</t>
  </si>
  <si>
    <t>Чистые денежные средства (использованные в) от операционной деятельности</t>
  </si>
  <si>
    <t>ИНВЕСТИЦИОННАЯ ДЕЯТЕЛЬНОСТЬ</t>
  </si>
  <si>
    <t>Приобретение основных средств</t>
  </si>
  <si>
    <t>Приобретение нематериальных активов</t>
  </si>
  <si>
    <t>Пополнение ликвидационного фонда</t>
  </si>
  <si>
    <t>Платежи по контракту на недропользование</t>
  </si>
  <si>
    <t>Чистые денежные средства использованные в инвестиционной деятельности</t>
  </si>
  <si>
    <t>ФИНАНСОВАЯ ДЕЯТЕЛЬНОСТЬ</t>
  </si>
  <si>
    <t>Взносы в акционерный капитал</t>
  </si>
  <si>
    <t>Арендные платежи</t>
  </si>
  <si>
    <t>Чистые денежные средства от финансовой деятельности</t>
  </si>
  <si>
    <t>Чистое увеличение денежных средств</t>
  </si>
  <si>
    <t>Эффект изменения обменного курса на денежные средства</t>
  </si>
  <si>
    <t>Денежные средства на начало периода</t>
  </si>
  <si>
    <t>Денежные средства на конец периода</t>
  </si>
  <si>
    <t>Неденежные операции</t>
  </si>
  <si>
    <t>Признание обязательств по контрактным обязательствам</t>
  </si>
  <si>
    <t>Изменение оценок по контрактным обязательствам</t>
  </si>
  <si>
    <t>Признание обязательств по аренде</t>
  </si>
  <si>
    <t>Изменение оценок по аренде</t>
  </si>
  <si>
    <t>Удержание налога у источника выплаты с процентов полученных</t>
  </si>
  <si>
    <t>Вознаграждения работникам</t>
  </si>
  <si>
    <t>Изменения в торговой и прочей кредиторской задолженности</t>
  </si>
  <si>
    <t>рекласс авансов в ОС (аудит)</t>
  </si>
  <si>
    <t>Итого</t>
  </si>
  <si>
    <t>На 31 декабря 2019</t>
  </si>
  <si>
    <t>Чистый доход за год</t>
  </si>
  <si>
    <t>На 31 декабря 2020</t>
  </si>
  <si>
    <t>(Непокрытый убыток) нераспреде-ленный доход</t>
  </si>
  <si>
    <t>На 30.09.2021</t>
  </si>
  <si>
    <t xml:space="preserve">      Данная финансовая отчетность утверждена руководством  Компании 27.10.2021 года и подписана от его имени:</t>
  </si>
  <si>
    <t>Расход по курсовой разнице</t>
  </si>
  <si>
    <t>На 30 сентября 2021</t>
  </si>
  <si>
    <t>Аморт.ИИ</t>
  </si>
  <si>
    <t>Аморт.ОС</t>
  </si>
  <si>
    <t>Аморт Права</t>
  </si>
  <si>
    <t>Аморт.НМА</t>
  </si>
  <si>
    <t>Расчет амортизации</t>
  </si>
  <si>
    <t>Расчет нереализованной курсовой разницы</t>
  </si>
  <si>
    <t>Доход</t>
  </si>
  <si>
    <t>Убыток</t>
  </si>
  <si>
    <t>тенге</t>
  </si>
  <si>
    <t>Нереализ.доход</t>
  </si>
  <si>
    <t>% полученные</t>
  </si>
  <si>
    <t>Расшифровки</t>
  </si>
  <si>
    <t>Приобретение ФА</t>
  </si>
  <si>
    <t>ОС</t>
  </si>
  <si>
    <t>НМА</t>
  </si>
  <si>
    <t>НЗС</t>
  </si>
  <si>
    <t>Пополнение ЛФ</t>
  </si>
  <si>
    <t>Корректировки НРП прошлых лет</t>
  </si>
  <si>
    <t xml:space="preserve">АО "Горнорудная Компания "Бенкала"  </t>
  </si>
  <si>
    <t xml:space="preserve"> Отчет о доходах и расходах и прочем совокупном доходе (убытке)                                                                                                         за период, закончившийся 30 сентября 2021 года</t>
  </si>
  <si>
    <t>Отчет о движении денежных средств                                                                                                                                              за период,   закончившийся 30 сентября 2021 года</t>
  </si>
  <si>
    <t xml:space="preserve"> Отчет об изменениях в собственном капитале за период,                                                                                                                                                        закончившийся 30 сентября 2021 года</t>
  </si>
  <si>
    <t xml:space="preserve"> Отчет о финансовом положении                                                                                                                                               за период, закончившийся 30 сентября 2021 года</t>
  </si>
  <si>
    <t>9 мес. 2021</t>
  </si>
  <si>
    <t>9 мес. 2020</t>
  </si>
  <si>
    <t>3310 без НДС</t>
  </si>
  <si>
    <t>Приложение 4</t>
  </si>
  <si>
    <t>к приказу Министра финансов</t>
  </si>
  <si>
    <t>Республики Казахстан</t>
  </si>
  <si>
    <t>от 28 июня 2017 года № 404</t>
  </si>
  <si>
    <t>Форма</t>
  </si>
  <si>
    <t>Отчет о движении денежных средств (прямой метод)</t>
  </si>
  <si>
    <t>отчетный период за 9 месяцев 2021 года</t>
  </si>
  <si>
    <t>Индекс: № 3 - ДДС-П</t>
  </si>
  <si>
    <t>Периодичность: годовая</t>
  </si>
  <si>
    <t>Представляют: организации публичного интереса по результатам финансового года</t>
  </si>
  <si>
    <t>Куда представляется: в депозитарий финансовой отчетности в электронном формате посредством программного обеспечения</t>
  </si>
  <si>
    <t>Срок представления: ежегодно не позднее 31 августа года, следующего за отчетным</t>
  </si>
  <si>
    <t>Примечание: пояснение по заполнению отчета приведено в приложении к форме, предназначенной для сбора административных данных «Отчет о движении денежных средств (прямой метод)»</t>
  </si>
  <si>
    <t>Наименование организации _____________________________________</t>
  </si>
  <si>
    <t>за период, заканчивающийся 30 сентября 2021 года</t>
  </si>
  <si>
    <t>в тысячах тенге</t>
  </si>
  <si>
    <t>Наименование показателей</t>
  </si>
  <si>
    <t>Код строки</t>
  </si>
  <si>
    <t>За отчетный период</t>
  </si>
  <si>
    <t>За предыдущий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</si>
  <si>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</si>
  <si>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</si>
  <si>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010</t>
  </si>
  <si>
    <t>в том числе:</t>
  </si>
  <si>
    <t>реализация товаров и услуг</t>
  </si>
  <si>
    <t>011</t>
  </si>
  <si>
    <t>прочая выручка</t>
  </si>
  <si>
    <t>012</t>
  </si>
  <si>
    <t>авансы, полученные от покупателей, заказчиков</t>
  </si>
  <si>
    <t>013</t>
  </si>
  <si>
    <t>поступления по договорам страхования</t>
  </si>
  <si>
    <t>014</t>
  </si>
  <si>
    <t>полученные вознаграждения</t>
  </si>
  <si>
    <t>015</t>
  </si>
  <si>
    <t>прочие поступления</t>
  </si>
  <si>
    <t>16</t>
  </si>
  <si>
    <t>2. Выбытие денежных средств, всего (сумма строк с 021 по 027)</t>
  </si>
  <si>
    <t>020</t>
  </si>
  <si>
    <t>платежи поставщикам за товары и услуги</t>
  </si>
  <si>
    <t>021</t>
  </si>
  <si>
    <t>авансы, выданные поставщикам товаров и услуг</t>
  </si>
  <si>
    <t>022</t>
  </si>
  <si>
    <t>выплаты по оплате труда</t>
  </si>
  <si>
    <t>023</t>
  </si>
  <si>
    <t>выплата вознаграждения</t>
  </si>
  <si>
    <t>024</t>
  </si>
  <si>
    <t>выплаты по договорам страхования</t>
  </si>
  <si>
    <t>025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</si>
  <si>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</si>
  <si>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</si>
  <si>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</si>
  <si>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</si>
  <si>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010 -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</si>
  <si>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</si>
  <si>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</si>
  <si>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</si>
  <si>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</si>
  <si>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</si>
  <si>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</si>
  <si>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</si>
  <si>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</si>
  <si>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</si>
  <si>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</si>
  <si>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</si>
  <si>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</si>
  <si>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</si>
  <si>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</si>
  <si>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</si>
  <si>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</si>
  <si>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изъятие денежных вкладов</t>
  </si>
  <si>
    <t>047</t>
  </si>
  <si>
    <t>реализация прочих финансовых активов</t>
  </si>
  <si>
    <t>048</t>
  </si>
  <si>
    <t>фьючерсные и форвардные контракты, опционы и свопы</t>
  </si>
  <si>
    <t>049</t>
  </si>
  <si>
    <t>полученные дивиденды</t>
  </si>
  <si>
    <t>050</t>
  </si>
  <si>
    <t>051</t>
  </si>
  <si>
    <t>052</t>
  </si>
  <si>
    <t>2. Выбытие денежных средств, всего (сумма строк с 061 по 073)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</si>
  <si>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</si>
  <si>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</si>
  <si>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</si>
  <si>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</si>
  <si>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</si>
  <si>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</si>
  <si>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</si>
  <si>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</si>
  <si>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</si>
  <si>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</si>
  <si>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</si>
  <si>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</si>
  <si>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</si>
  <si>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размещение денежных вкладов</t>
  </si>
  <si>
    <t>067</t>
  </si>
  <si>
    <t>068</t>
  </si>
  <si>
    <t>приобретение прочих финансовых активов</t>
  </si>
  <si>
    <t>069</t>
  </si>
  <si>
    <t>предоставление займов</t>
  </si>
  <si>
    <t>070</t>
  </si>
  <si>
    <t>071</t>
  </si>
  <si>
    <t>инвестиции в ассоциированные и дочерние организации</t>
  </si>
  <si>
    <t>072</t>
  </si>
  <si>
    <t>073</t>
  </si>
  <si>
    <t>3. Чистая сумма денежных средств от инвестиционной деятельности (строка 040 -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</si>
  <si>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</si>
  <si>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</si>
  <si>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</si>
  <si>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</si>
  <si>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</si>
  <si>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</si>
  <si>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</si>
  <si>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</si>
  <si>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</si>
  <si>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</si>
  <si>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</si>
  <si>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</si>
  <si>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</si>
  <si>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</si>
  <si>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</si>
  <si>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090 - строка 100)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</si>
  <si>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</si>
  <si>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</si>
  <si>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</si>
  <si>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</si>
  <si>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</si>
  <si>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Руководитель _________________________________________________________ _____________</t>
  </si>
  <si>
    <t>                                          (фамилия, имя, отчество (при его наличии))                           (подпись)</t>
  </si>
  <si>
    <t>Главный бухгалтер ____________________________________________________ _____________</t>
  </si>
  <si>
    <t>                                                   (фамилия, имя, отчество (при его наличии))                   (подпись)</t>
  </si>
  <si>
    <t>Место печати (при наличии)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</si>
</sst>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.00\ _₽_-;\-* #,##0.00\ _₽_-;_-* &quot;-&quot;??\ _₽_-;_-@_-"/>
    <numFmt numFmtId="166" formatCode="#,##0.000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66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sz val="11.5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3"/>
      <color theme="1"/>
      <name val="Arial"/>
      <family val="2"/>
      <charset val="204"/>
    </font>
    <font>
      <b/>
      <sz val="9.5"/>
      <color rgb="FF006FC0"/>
      <name val="Arial"/>
      <family val="2"/>
      <charset val="204"/>
    </font>
    <font>
      <b/>
      <sz val="6.5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5.5"/>
      <color theme="1"/>
      <name val="Arial"/>
      <family val="2"/>
      <charset val="204"/>
    </font>
    <font>
      <b/>
      <sz val="11"/>
      <color rgb="FF000066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1"/>
      <color theme="4" tint="-0.249977111117893"/>
      <name val="Arial"/>
      <family val="2"/>
      <charset val="204"/>
    </font>
    <font>
      <sz val="11"/>
      <color theme="1"/>
      <name val="Calibri"/>
      <family val="2"/>
      <scheme val="minor"/>
    </font>
    <font>
      <b/>
      <sz val="7"/>
      <color rgb="FF000000"/>
      <name val="Arial"/>
      <family val="2"/>
      <charset val="204"/>
    </font>
    <font>
      <b/>
      <sz val="7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9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</cellStyleXfs>
  <cellXfs count="145">
    <xf numFmtId="0" fontId="0" fillId="0" borderId="0" xfId="0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0" fillId="0" borderId="1" xfId="0" applyBorder="1" applyAlignment="1">
      <alignment vertical="top" wrapTex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Alignment="1">
      <alignment horizontal="right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/>
    <xf numFmtId="164" fontId="0" fillId="0" borderId="0" xfId="0" applyNumberFormat="1"/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 indent="2"/>
    </xf>
    <xf numFmtId="0" fontId="18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3" fontId="0" fillId="0" borderId="0" xfId="0" applyNumberFormat="1"/>
    <xf numFmtId="0" fontId="9" fillId="0" borderId="0" xfId="0" applyFont="1" applyAlignment="1">
      <alignment horizontal="right" vertical="center" wrapText="1"/>
    </xf>
    <xf numFmtId="164" fontId="0" fillId="0" borderId="0" xfId="1" applyNumberFormat="1" applyFont="1"/>
    <xf numFmtId="164" fontId="2" fillId="0" borderId="0" xfId="0" applyNumberFormat="1" applyFont="1"/>
    <xf numFmtId="4" fontId="0" fillId="0" borderId="0" xfId="0" applyNumberFormat="1"/>
    <xf numFmtId="4" fontId="2" fillId="0" borderId="0" xfId="0" applyNumberFormat="1" applyFont="1"/>
    <xf numFmtId="165" fontId="0" fillId="0" borderId="0" xfId="0" applyNumberFormat="1"/>
    <xf numFmtId="165" fontId="2" fillId="0" borderId="0" xfId="0" applyNumberFormat="1" applyFont="1"/>
    <xf numFmtId="0" fontId="20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164" fontId="9" fillId="0" borderId="0" xfId="1" applyNumberFormat="1" applyFont="1" applyFill="1" applyAlignment="1">
      <alignment horizontal="left" vertical="center" wrapText="1"/>
    </xf>
    <xf numFmtId="164" fontId="6" fillId="0" borderId="0" xfId="1" applyNumberFormat="1" applyFont="1" applyFill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1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Alignment="1">
      <alignment horizontal="left" vertical="center" wrapText="1"/>
    </xf>
    <xf numFmtId="164" fontId="7" fillId="0" borderId="2" xfId="1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Alignment="1">
      <alignment horizontal="left" vertical="center" wrapText="1"/>
    </xf>
    <xf numFmtId="4" fontId="10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1" xfId="0" applyFill="1" applyBorder="1" applyAlignment="1">
      <alignment vertical="top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inden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/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indent="1"/>
    </xf>
    <xf numFmtId="3" fontId="6" fillId="2" borderId="0" xfId="0" applyNumberFormat="1" applyFont="1" applyFill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 wrapText="1"/>
    </xf>
    <xf numFmtId="3" fontId="6" fillId="0" borderId="0" xfId="0" applyNumberFormat="1" applyFont="1" applyFill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Alignment="1">
      <alignment horizontal="right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left" vertical="center" wrapText="1"/>
    </xf>
    <xf numFmtId="166" fontId="0" fillId="0" borderId="0" xfId="0" applyNumberFormat="1" applyFill="1"/>
    <xf numFmtId="3" fontId="6" fillId="0" borderId="0" xfId="1" applyNumberFormat="1" applyFont="1" applyFill="1" applyAlignment="1">
      <alignment horizontal="right" vertical="center" wrapText="1"/>
    </xf>
    <xf numFmtId="3" fontId="9" fillId="0" borderId="0" xfId="1" applyNumberFormat="1" applyFont="1" applyFill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Alignment="1">
      <alignment horizontal="left" vertical="center" wrapText="1"/>
    </xf>
    <xf numFmtId="3" fontId="13" fillId="0" borderId="0" xfId="0" applyNumberFormat="1" applyFont="1" applyFill="1" applyAlignment="1">
      <alignment horizontal="right" vertical="center" wrapText="1"/>
    </xf>
    <xf numFmtId="3" fontId="13" fillId="0" borderId="0" xfId="1" applyNumberFormat="1" applyFont="1" applyFill="1" applyAlignment="1">
      <alignment horizontal="right" vertical="center" wrapText="1"/>
    </xf>
    <xf numFmtId="3" fontId="19" fillId="0" borderId="0" xfId="0" applyNumberFormat="1" applyFont="1" applyFill="1" applyAlignment="1">
      <alignment horizontal="left" vertical="center" wrapText="1"/>
    </xf>
    <xf numFmtId="3" fontId="19" fillId="0" borderId="0" xfId="1" applyNumberFormat="1" applyFont="1" applyFill="1" applyAlignment="1">
      <alignment horizontal="left" vertical="center" wrapText="1"/>
    </xf>
    <xf numFmtId="3" fontId="11" fillId="0" borderId="0" xfId="1" applyNumberFormat="1" applyFont="1" applyFill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1" xfId="1" applyNumberFormat="1" applyFont="1" applyFill="1" applyBorder="1" applyAlignment="1">
      <alignment horizontal="right" vertical="center" wrapText="1"/>
    </xf>
    <xf numFmtId="3" fontId="10" fillId="0" borderId="0" xfId="1" applyNumberFormat="1" applyFont="1" applyFill="1" applyAlignment="1">
      <alignment horizontal="left" vertical="center" wrapText="1"/>
    </xf>
    <xf numFmtId="3" fontId="7" fillId="0" borderId="2" xfId="1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3" fontId="9" fillId="0" borderId="0" xfId="0" applyNumberFormat="1" applyFont="1" applyFill="1" applyAlignment="1">
      <alignment horizontal="left" vertical="center" wrapText="1"/>
    </xf>
    <xf numFmtId="3" fontId="9" fillId="0" borderId="0" xfId="1" applyNumberFormat="1" applyFont="1" applyFill="1" applyAlignment="1">
      <alignment horizontal="left" vertical="center" wrapText="1"/>
    </xf>
    <xf numFmtId="4" fontId="2" fillId="3" borderId="0" xfId="0" applyNumberFormat="1" applyFont="1" applyFill="1"/>
    <xf numFmtId="3" fontId="0" fillId="0" borderId="0" xfId="0" applyNumberFormat="1" applyFill="1"/>
    <xf numFmtId="0" fontId="26" fillId="0" borderId="0" xfId="3" applyFont="1"/>
    <xf numFmtId="3" fontId="26" fillId="0" borderId="0" xfId="3" applyNumberFormat="1" applyFont="1"/>
    <xf numFmtId="0" fontId="24" fillId="0" borderId="0" xfId="3"/>
    <xf numFmtId="3" fontId="24" fillId="0" borderId="0" xfId="3" applyNumberFormat="1"/>
    <xf numFmtId="0" fontId="30" fillId="0" borderId="0" xfId="3" applyFont="1"/>
    <xf numFmtId="3" fontId="30" fillId="0" borderId="0" xfId="3" applyNumberFormat="1" applyFont="1"/>
    <xf numFmtId="0" fontId="3" fillId="0" borderId="0" xfId="3" applyFont="1"/>
    <xf numFmtId="3" fontId="3" fillId="0" borderId="0" xfId="3" applyNumberFormat="1" applyFont="1"/>
    <xf numFmtId="0" fontId="6" fillId="0" borderId="5" xfId="3" applyFont="1" applyBorder="1" applyAlignment="1">
      <alignment horizontal="center" vertical="top" wrapText="1"/>
    </xf>
    <xf numFmtId="0" fontId="6" fillId="0" borderId="5" xfId="3" applyFont="1" applyBorder="1" applyAlignment="1">
      <alignment vertical="top" wrapText="1"/>
    </xf>
    <xf numFmtId="49" fontId="6" fillId="0" borderId="5" xfId="3" applyNumberFormat="1" applyFont="1" applyBorder="1" applyAlignment="1">
      <alignment horizontal="center" vertical="top" wrapText="1"/>
    </xf>
    <xf numFmtId="3" fontId="3" fillId="0" borderId="5" xfId="3" applyNumberFormat="1" applyFont="1" applyBorder="1" applyAlignment="1">
      <alignment vertical="top" wrapText="1"/>
    </xf>
    <xf numFmtId="49" fontId="3" fillId="0" borderId="5" xfId="3" applyNumberFormat="1" applyFont="1" applyBorder="1" applyAlignment="1">
      <alignment horizontal="center" vertical="top" wrapText="1"/>
    </xf>
    <xf numFmtId="0" fontId="6" fillId="0" borderId="0" xfId="3" applyFont="1" applyAlignment="1">
      <alignment horizontal="justify" vertical="center"/>
    </xf>
    <xf numFmtId="0" fontId="3" fillId="0" borderId="0" xfId="3" applyFont="1" applyAlignment="1">
      <alignment vertical="center"/>
    </xf>
    <xf numFmtId="3" fontId="9" fillId="0" borderId="3" xfId="0" applyNumberFormat="1" applyFont="1" applyFill="1" applyBorder="1" applyAlignment="1">
      <alignment vertical="center" wrapText="1"/>
    </xf>
    <xf numFmtId="3" fontId="9" fillId="0" borderId="0" xfId="0" applyNumberFormat="1" applyFont="1" applyFill="1" applyAlignment="1">
      <alignment vertical="center" wrapText="1"/>
    </xf>
    <xf numFmtId="3" fontId="31" fillId="0" borderId="0" xfId="1" applyNumberFormat="1" applyFont="1" applyFill="1" applyAlignment="1">
      <alignment horizontal="right" vertical="center" wrapText="1"/>
    </xf>
    <xf numFmtId="43" fontId="0" fillId="0" borderId="0" xfId="0" applyNumberFormat="1"/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right"/>
    </xf>
    <xf numFmtId="0" fontId="2" fillId="0" borderId="0" xfId="1" applyNumberFormat="1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3" fontId="9" fillId="0" borderId="3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Fill="1" applyAlignment="1">
      <alignment horizontal="left" vertical="center" wrapText="1"/>
    </xf>
    <xf numFmtId="3" fontId="9" fillId="0" borderId="3" xfId="1" applyNumberFormat="1" applyFont="1" applyFill="1" applyBorder="1" applyAlignment="1">
      <alignment horizontal="left" vertical="center" wrapText="1"/>
    </xf>
    <xf numFmtId="3" fontId="9" fillId="0" borderId="0" xfId="1" applyNumberFormat="1" applyFont="1" applyFill="1" applyAlignment="1">
      <alignment horizontal="left" vertical="center" wrapText="1"/>
    </xf>
    <xf numFmtId="0" fontId="6" fillId="0" borderId="0" xfId="3" applyFont="1" applyAlignment="1">
      <alignment horizontal="justify" vertical="top"/>
    </xf>
    <xf numFmtId="0" fontId="25" fillId="0" borderId="0" xfId="3" applyFont="1" applyAlignment="1">
      <alignment horizontal="right" vertical="center"/>
    </xf>
    <xf numFmtId="0" fontId="27" fillId="0" borderId="0" xfId="3" applyFont="1" applyAlignment="1">
      <alignment horizontal="right" vertical="center"/>
    </xf>
    <xf numFmtId="0" fontId="28" fillId="0" borderId="0" xfId="3" applyFont="1" applyAlignment="1">
      <alignment horizontal="right" vertical="center"/>
    </xf>
    <xf numFmtId="0" fontId="29" fillId="0" borderId="0" xfId="3" applyFont="1" applyAlignment="1">
      <alignment horizontal="center" vertical="center"/>
    </xf>
    <xf numFmtId="0" fontId="29" fillId="0" borderId="0" xfId="3" applyFont="1" applyAlignment="1">
      <alignment horizontal="center" vertical="top"/>
    </xf>
    <xf numFmtId="0" fontId="6" fillId="0" borderId="0" xfId="3" applyFont="1" applyAlignment="1">
      <alignment horizontal="center" vertical="top"/>
    </xf>
    <xf numFmtId="0" fontId="6" fillId="0" borderId="0" xfId="3" applyFont="1" applyAlignment="1">
      <alignment horizontal="justify" vertical="center"/>
    </xf>
    <xf numFmtId="0" fontId="6" fillId="0" borderId="4" xfId="3" applyFont="1" applyBorder="1" applyAlignment="1">
      <alignment horizontal="right" vertical="top"/>
    </xf>
    <xf numFmtId="0" fontId="6" fillId="0" borderId="5" xfId="3" applyFont="1" applyBorder="1" applyAlignment="1">
      <alignment vertical="top" wrapText="1"/>
    </xf>
    <xf numFmtId="0" fontId="6" fillId="0" borderId="6" xfId="3" applyFont="1" applyBorder="1" applyAlignment="1">
      <alignment horizontal="justify" vertical="center"/>
    </xf>
  </cellXfs>
  <cellStyles count="4">
    <cellStyle name="Обычный" xfId="0" builtinId="0"/>
    <cellStyle name="Обычный 3" xfId="3" xr:uid="{988C7B93-AAC4-4D61-93E3-A2BE5CF59CF9}"/>
    <cellStyle name="Финансовый" xfId="1" builtinId="3"/>
    <cellStyle name="Финансовый 2" xfId="2" xr:uid="{467AEFDC-49E8-41CC-80E9-CF627553AE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BA84A-131C-44BE-857C-CE964C5D70BF}">
  <sheetPr>
    <pageSetUpPr fitToPage="1"/>
  </sheetPr>
  <dimension ref="A1:R43"/>
  <sheetViews>
    <sheetView tabSelected="1" zoomScaleNormal="100" workbookViewId="0">
      <selection activeCell="A16" sqref="A16"/>
    </sheetView>
  </sheetViews>
  <sheetFormatPr defaultRowHeight="15" x14ac:dyDescent="0.25"/>
  <cols>
    <col min="1" max="1" width="43.85546875" customWidth="1"/>
    <col min="2" max="2" width="9.42578125" customWidth="1"/>
    <col min="3" max="4" width="18.5703125" customWidth="1"/>
    <col min="5" max="5" width="9.140625" hidden="1" customWidth="1"/>
    <col min="6" max="6" width="10.28515625" hidden="1" customWidth="1"/>
    <col min="7" max="7" width="13" hidden="1" customWidth="1"/>
    <col min="8" max="8" width="10.5703125" hidden="1" customWidth="1"/>
    <col min="9" max="9" width="9.140625" hidden="1" customWidth="1"/>
    <col min="10" max="10" width="11.42578125" style="42" hidden="1" customWidth="1"/>
    <col min="11" max="11" width="14.5703125" hidden="1" customWidth="1"/>
    <col min="12" max="16" width="9.140625" hidden="1" customWidth="1"/>
    <col min="17" max="17" width="0" hidden="1" customWidth="1"/>
    <col min="18" max="18" width="9.140625" hidden="1" customWidth="1"/>
    <col min="19" max="22" width="0" hidden="1" customWidth="1"/>
  </cols>
  <sheetData>
    <row r="1" spans="1:18" ht="24.75" customHeight="1" x14ac:dyDescent="0.25">
      <c r="A1" s="124" t="s">
        <v>135</v>
      </c>
      <c r="B1" s="124"/>
      <c r="C1" s="124"/>
      <c r="D1" s="124"/>
    </row>
    <row r="2" spans="1:18" ht="36.75" customHeight="1" x14ac:dyDescent="0.25">
      <c r="A2" s="123" t="s">
        <v>139</v>
      </c>
      <c r="B2" s="123"/>
      <c r="C2" s="123"/>
      <c r="D2" s="123"/>
    </row>
    <row r="3" spans="1:18" ht="19.5" customHeight="1" x14ac:dyDescent="0.25">
      <c r="A3" s="19"/>
      <c r="B3" s="19"/>
      <c r="C3" s="19"/>
      <c r="D3" s="19"/>
    </row>
    <row r="4" spans="1:18" ht="15.75" thickBot="1" x14ac:dyDescent="0.3">
      <c r="A4" s="2" t="s">
        <v>0</v>
      </c>
      <c r="B4" s="4" t="s">
        <v>1</v>
      </c>
      <c r="C4" s="17" t="s">
        <v>113</v>
      </c>
      <c r="D4" s="17" t="s">
        <v>32</v>
      </c>
    </row>
    <row r="5" spans="1:18" x14ac:dyDescent="0.25">
      <c r="A5" s="9" t="s">
        <v>33</v>
      </c>
      <c r="B5" s="10"/>
      <c r="C5" s="50"/>
      <c r="D5" s="50"/>
    </row>
    <row r="6" spans="1:18" x14ac:dyDescent="0.25">
      <c r="A6" s="9" t="s">
        <v>34</v>
      </c>
      <c r="B6" s="10"/>
      <c r="C6" s="50"/>
      <c r="D6" s="51"/>
    </row>
    <row r="7" spans="1:18" x14ac:dyDescent="0.25">
      <c r="A7" s="7" t="s">
        <v>35</v>
      </c>
      <c r="B7" s="8">
        <v>11</v>
      </c>
      <c r="C7" s="23">
        <f>1297+3498408-423131+321461</f>
        <v>3398035</v>
      </c>
      <c r="D7" s="52">
        <v>3039434</v>
      </c>
      <c r="G7" s="40"/>
      <c r="H7" s="31"/>
      <c r="J7" s="42">
        <f>1413+3170158-435150+212675</f>
        <v>2949096</v>
      </c>
      <c r="K7" s="31">
        <f>D7-J7</f>
        <v>90338</v>
      </c>
    </row>
    <row r="8" spans="1:18" x14ac:dyDescent="0.25">
      <c r="A8" s="7" t="s">
        <v>36</v>
      </c>
      <c r="B8" s="8" t="s">
        <v>37</v>
      </c>
      <c r="C8" s="23">
        <v>55140</v>
      </c>
      <c r="D8" s="52">
        <v>47216</v>
      </c>
      <c r="J8" s="42">
        <v>47216</v>
      </c>
      <c r="K8" s="31">
        <f t="shared" ref="K8:K14" si="0">D8-J8</f>
        <v>0</v>
      </c>
    </row>
    <row r="9" spans="1:18" x14ac:dyDescent="0.25">
      <c r="A9" s="7" t="s">
        <v>38</v>
      </c>
      <c r="B9" s="8">
        <v>12</v>
      </c>
      <c r="C9" s="23">
        <v>423131</v>
      </c>
      <c r="D9" s="52">
        <v>435150</v>
      </c>
      <c r="J9" s="42">
        <v>435150</v>
      </c>
      <c r="K9" s="31">
        <f t="shared" si="0"/>
        <v>0</v>
      </c>
    </row>
    <row r="10" spans="1:18" x14ac:dyDescent="0.25">
      <c r="A10" s="7" t="s">
        <v>39</v>
      </c>
      <c r="B10" s="8">
        <v>13</v>
      </c>
      <c r="C10" s="23">
        <v>48343</v>
      </c>
      <c r="D10" s="52">
        <v>28839</v>
      </c>
      <c r="J10" s="42">
        <v>28839</v>
      </c>
      <c r="K10" s="31">
        <f t="shared" si="0"/>
        <v>0</v>
      </c>
    </row>
    <row r="11" spans="1:18" x14ac:dyDescent="0.25">
      <c r="A11" s="7" t="s">
        <v>40</v>
      </c>
      <c r="B11" s="8" t="s">
        <v>41</v>
      </c>
      <c r="C11" s="23" t="s">
        <v>21</v>
      </c>
      <c r="D11" s="52" t="s">
        <v>21</v>
      </c>
      <c r="K11" s="31"/>
    </row>
    <row r="12" spans="1:18" ht="24" x14ac:dyDescent="0.25">
      <c r="A12" s="7" t="s">
        <v>68</v>
      </c>
      <c r="B12" s="8"/>
      <c r="C12" s="23">
        <v>8182</v>
      </c>
      <c r="D12" s="52"/>
      <c r="J12" s="38">
        <f>2645.814+2120.627</f>
        <v>4766.4409999999998</v>
      </c>
      <c r="K12" s="31">
        <f t="shared" si="0"/>
        <v>-4766.4409999999998</v>
      </c>
    </row>
    <row r="13" spans="1:18" ht="24.75" thickBot="1" x14ac:dyDescent="0.3">
      <c r="A13" s="7" t="s">
        <v>42</v>
      </c>
      <c r="B13" s="8">
        <v>17</v>
      </c>
      <c r="C13" s="24">
        <v>92751.8</v>
      </c>
      <c r="D13" s="53">
        <v>80626</v>
      </c>
      <c r="J13" s="42">
        <v>80626</v>
      </c>
      <c r="K13" s="31">
        <f t="shared" si="0"/>
        <v>0</v>
      </c>
    </row>
    <row r="14" spans="1:18" s="18" customFormat="1" ht="15.75" thickBot="1" x14ac:dyDescent="0.3">
      <c r="A14" s="29"/>
      <c r="B14" s="29"/>
      <c r="C14" s="54">
        <f>SUM(C7:C13)</f>
        <v>4025582.8</v>
      </c>
      <c r="D14" s="55">
        <f>SUM(D7:D13)</f>
        <v>3631265</v>
      </c>
      <c r="G14" s="41"/>
      <c r="H14" s="41"/>
      <c r="J14" s="43">
        <f>SUM(J7:J13)</f>
        <v>3545693.4410000001</v>
      </c>
      <c r="K14" s="31">
        <f t="shared" si="0"/>
        <v>85571.558999999892</v>
      </c>
    </row>
    <row r="15" spans="1:18" x14ac:dyDescent="0.25">
      <c r="A15" s="9" t="s">
        <v>43</v>
      </c>
      <c r="B15" s="10"/>
      <c r="C15" s="56"/>
      <c r="D15" s="51"/>
    </row>
    <row r="16" spans="1:18" x14ac:dyDescent="0.25">
      <c r="A16" s="7" t="s">
        <v>44</v>
      </c>
      <c r="B16" s="8">
        <v>14</v>
      </c>
      <c r="C16" s="23">
        <v>2990717</v>
      </c>
      <c r="D16" s="52">
        <v>2306408</v>
      </c>
      <c r="F16" s="31"/>
      <c r="J16" s="42">
        <v>2306392</v>
      </c>
      <c r="K16" s="31">
        <f>D16-J16</f>
        <v>16</v>
      </c>
      <c r="R16" s="31">
        <f>C16-D16</f>
        <v>684309</v>
      </c>
    </row>
    <row r="17" spans="1:18" x14ac:dyDescent="0.25">
      <c r="A17" s="7" t="s">
        <v>45</v>
      </c>
      <c r="B17" s="8">
        <v>15</v>
      </c>
      <c r="C17" s="23">
        <v>1120455</v>
      </c>
      <c r="D17" s="52">
        <v>761320</v>
      </c>
      <c r="F17" s="31"/>
      <c r="G17" s="38"/>
      <c r="J17" s="42">
        <v>846834</v>
      </c>
      <c r="K17" s="31">
        <f t="shared" ref="K17:K22" si="1">D17-J17</f>
        <v>-85514</v>
      </c>
      <c r="L17" t="s">
        <v>107</v>
      </c>
      <c r="R17" s="31">
        <f>C17-D17</f>
        <v>359135</v>
      </c>
    </row>
    <row r="18" spans="1:18" x14ac:dyDescent="0.25">
      <c r="A18" s="7" t="s">
        <v>46</v>
      </c>
      <c r="B18" s="10"/>
      <c r="C18" s="23" t="s">
        <v>9</v>
      </c>
      <c r="D18" s="52" t="s">
        <v>21</v>
      </c>
      <c r="K18" s="31"/>
      <c r="R18" s="31"/>
    </row>
    <row r="19" spans="1:18" x14ac:dyDescent="0.25">
      <c r="A19" s="7" t="s">
        <v>47</v>
      </c>
      <c r="B19" s="8">
        <v>16</v>
      </c>
      <c r="C19" s="23">
        <v>2422033</v>
      </c>
      <c r="D19" s="52">
        <v>1435363</v>
      </c>
      <c r="F19" s="31"/>
      <c r="J19" s="42">
        <v>1435363</v>
      </c>
      <c r="K19" s="31">
        <f t="shared" si="1"/>
        <v>0</v>
      </c>
      <c r="R19" s="31">
        <f>C19-D19</f>
        <v>986670</v>
      </c>
    </row>
    <row r="20" spans="1:18" ht="15.75" thickBot="1" x14ac:dyDescent="0.3">
      <c r="A20" s="7" t="s">
        <v>48</v>
      </c>
      <c r="B20" s="8">
        <v>17</v>
      </c>
      <c r="C20" s="24">
        <v>704836.29</v>
      </c>
      <c r="D20" s="53">
        <v>247136</v>
      </c>
      <c r="J20" s="42">
        <v>247136</v>
      </c>
      <c r="K20" s="31">
        <f t="shared" si="1"/>
        <v>0</v>
      </c>
    </row>
    <row r="21" spans="1:18" ht="15.75" thickBot="1" x14ac:dyDescent="0.3">
      <c r="A21" s="10"/>
      <c r="B21" s="10"/>
      <c r="C21" s="54">
        <f>SUM(C16:C20)</f>
        <v>7238041.29</v>
      </c>
      <c r="D21" s="55">
        <f>SUM(D16:D20)</f>
        <v>4750227</v>
      </c>
      <c r="J21" s="43">
        <f>SUM(J16:J20)</f>
        <v>4835725</v>
      </c>
      <c r="K21" s="41">
        <f t="shared" si="1"/>
        <v>-85498</v>
      </c>
    </row>
    <row r="22" spans="1:18" ht="15.75" thickBot="1" x14ac:dyDescent="0.3">
      <c r="A22" s="9" t="s">
        <v>49</v>
      </c>
      <c r="B22" s="10"/>
      <c r="C22" s="27">
        <f>C14+C21</f>
        <v>11263624.09</v>
      </c>
      <c r="D22" s="57">
        <f>D14+D21</f>
        <v>8381492</v>
      </c>
      <c r="J22" s="43">
        <f>J14+J21</f>
        <v>8381418.4409999996</v>
      </c>
      <c r="K22" s="31">
        <f t="shared" si="1"/>
        <v>73.559000000357628</v>
      </c>
    </row>
    <row r="23" spans="1:18" ht="15.75" thickTop="1" x14ac:dyDescent="0.25">
      <c r="A23" s="9" t="s">
        <v>50</v>
      </c>
      <c r="B23" s="10"/>
      <c r="C23" s="58"/>
      <c r="D23" s="51"/>
    </row>
    <row r="24" spans="1:18" x14ac:dyDescent="0.25">
      <c r="A24" s="9" t="s">
        <v>51</v>
      </c>
      <c r="B24" s="10"/>
      <c r="C24" s="58"/>
      <c r="D24" s="51"/>
    </row>
    <row r="25" spans="1:18" x14ac:dyDescent="0.25">
      <c r="A25" s="7" t="s">
        <v>52</v>
      </c>
      <c r="B25" s="8" t="s">
        <v>53</v>
      </c>
      <c r="C25" s="23">
        <v>5500000</v>
      </c>
      <c r="D25" s="52">
        <v>5500000</v>
      </c>
      <c r="J25" s="42">
        <v>5500000</v>
      </c>
      <c r="K25" s="44">
        <f>D25-J25</f>
        <v>0</v>
      </c>
    </row>
    <row r="26" spans="1:18" ht="15.75" thickBot="1" x14ac:dyDescent="0.3">
      <c r="A26" s="7" t="s">
        <v>54</v>
      </c>
      <c r="B26" s="10"/>
      <c r="C26" s="24">
        <f>2671733.10175</f>
        <v>2671733.1017499999</v>
      </c>
      <c r="D26" s="53">
        <v>609620</v>
      </c>
      <c r="F26" s="31"/>
      <c r="J26" s="42">
        <v>613623</v>
      </c>
      <c r="K26" s="44">
        <f>D26-J26</f>
        <v>-4003</v>
      </c>
    </row>
    <row r="27" spans="1:18" ht="15.75" thickBot="1" x14ac:dyDescent="0.3">
      <c r="A27" s="10"/>
      <c r="B27" s="10"/>
      <c r="C27" s="24">
        <f>SUM(C25:C26)</f>
        <v>8171733.1017499994</v>
      </c>
      <c r="D27" s="53">
        <f>D25+D26</f>
        <v>6109620</v>
      </c>
      <c r="J27" s="43">
        <f>SUM(J25:J26)</f>
        <v>6113623</v>
      </c>
      <c r="K27" s="45">
        <f t="shared" ref="K27:K38" si="2">D27-J27</f>
        <v>-4003</v>
      </c>
    </row>
    <row r="28" spans="1:18" x14ac:dyDescent="0.25">
      <c r="A28" s="9" t="s">
        <v>55</v>
      </c>
      <c r="B28" s="10"/>
      <c r="C28" s="58"/>
      <c r="D28" s="51"/>
      <c r="K28" s="44">
        <f t="shared" si="2"/>
        <v>0</v>
      </c>
    </row>
    <row r="29" spans="1:18" ht="24" x14ac:dyDescent="0.25">
      <c r="A29" s="7" t="s">
        <v>56</v>
      </c>
      <c r="B29" s="8">
        <v>19</v>
      </c>
      <c r="C29" s="23">
        <v>416218</v>
      </c>
      <c r="D29" s="52">
        <v>398119</v>
      </c>
      <c r="E29" s="31"/>
      <c r="J29" s="42">
        <v>398119</v>
      </c>
      <c r="K29" s="44">
        <f t="shared" si="2"/>
        <v>0</v>
      </c>
    </row>
    <row r="30" spans="1:18" x14ac:dyDescent="0.25">
      <c r="A30" s="7" t="s">
        <v>57</v>
      </c>
      <c r="B30" s="8" t="s">
        <v>58</v>
      </c>
      <c r="C30" s="23">
        <v>46036.019</v>
      </c>
      <c r="D30" s="52">
        <v>39240</v>
      </c>
      <c r="E30" s="31"/>
      <c r="J30" s="42">
        <v>39240</v>
      </c>
      <c r="K30" s="44">
        <f t="shared" si="2"/>
        <v>0</v>
      </c>
    </row>
    <row r="31" spans="1:18" ht="15.75" thickBot="1" x14ac:dyDescent="0.3">
      <c r="A31" s="7" t="s">
        <v>59</v>
      </c>
      <c r="B31" s="8" t="s">
        <v>41</v>
      </c>
      <c r="C31" s="24">
        <v>39452.074999999997</v>
      </c>
      <c r="D31" s="53">
        <v>39452</v>
      </c>
      <c r="J31" s="42">
        <v>39452</v>
      </c>
      <c r="K31" s="44">
        <f t="shared" si="2"/>
        <v>0</v>
      </c>
    </row>
    <row r="32" spans="1:18" ht="15.75" thickBot="1" x14ac:dyDescent="0.3">
      <c r="A32" s="10"/>
      <c r="B32" s="10"/>
      <c r="C32" s="79">
        <f>SUM(C29:C31)</f>
        <v>501706.09399999998</v>
      </c>
      <c r="D32" s="53">
        <f>D29+D30+D31</f>
        <v>476811</v>
      </c>
      <c r="F32" s="31"/>
      <c r="J32" s="43">
        <f>SUM(J29:J31)</f>
        <v>476811</v>
      </c>
      <c r="K32" s="45">
        <f t="shared" si="2"/>
        <v>0</v>
      </c>
    </row>
    <row r="33" spans="1:18" x14ac:dyDescent="0.25">
      <c r="A33" s="9" t="s">
        <v>60</v>
      </c>
      <c r="B33" s="10"/>
      <c r="C33" s="58"/>
      <c r="D33" s="51"/>
      <c r="K33" s="44">
        <f t="shared" si="2"/>
        <v>0</v>
      </c>
    </row>
    <row r="34" spans="1:18" ht="24" x14ac:dyDescent="0.25">
      <c r="A34" s="7" t="s">
        <v>56</v>
      </c>
      <c r="B34" s="8">
        <v>19</v>
      </c>
      <c r="C34" s="75">
        <v>45543.439969999999</v>
      </c>
      <c r="D34" s="52">
        <v>50843</v>
      </c>
      <c r="J34" s="42">
        <v>50843</v>
      </c>
      <c r="K34" s="44">
        <f t="shared" si="2"/>
        <v>0</v>
      </c>
    </row>
    <row r="35" spans="1:18" x14ac:dyDescent="0.25">
      <c r="A35" s="7" t="s">
        <v>57</v>
      </c>
      <c r="B35" s="8" t="s">
        <v>58</v>
      </c>
      <c r="C35" s="75">
        <v>10825.825000000001</v>
      </c>
      <c r="D35" s="52">
        <v>13957</v>
      </c>
      <c r="J35" s="42">
        <v>13956</v>
      </c>
      <c r="K35" s="44">
        <f t="shared" si="2"/>
        <v>1</v>
      </c>
    </row>
    <row r="36" spans="1:18" x14ac:dyDescent="0.25">
      <c r="A36" s="7" t="s">
        <v>61</v>
      </c>
      <c r="B36" s="10"/>
      <c r="C36" s="75">
        <v>529260.70843</v>
      </c>
      <c r="D36" s="52">
        <v>116200</v>
      </c>
      <c r="J36" s="42">
        <v>112179</v>
      </c>
      <c r="K36" s="44">
        <f t="shared" si="2"/>
        <v>4021</v>
      </c>
    </row>
    <row r="37" spans="1:18" x14ac:dyDescent="0.25">
      <c r="A37" s="7" t="s">
        <v>62</v>
      </c>
      <c r="B37" s="8">
        <v>21</v>
      </c>
      <c r="C37" s="75">
        <f>1523472+33140+3103+41580+209781</f>
        <v>1811076</v>
      </c>
      <c r="D37" s="52">
        <v>1504011</v>
      </c>
      <c r="E37" s="30" t="s">
        <v>69</v>
      </c>
      <c r="F37" s="31"/>
      <c r="J37" s="42">
        <f>1353619+35230+3914+33287+77906</f>
        <v>1503956</v>
      </c>
      <c r="K37" s="44">
        <f t="shared" si="2"/>
        <v>55</v>
      </c>
      <c r="R37" s="31">
        <f>C37-D37</f>
        <v>307065</v>
      </c>
    </row>
    <row r="38" spans="1:18" ht="15.75" thickBot="1" x14ac:dyDescent="0.3">
      <c r="A38" s="7" t="s">
        <v>63</v>
      </c>
      <c r="B38" s="8">
        <v>22</v>
      </c>
      <c r="C38" s="76">
        <v>193479</v>
      </c>
      <c r="D38" s="53">
        <v>110050</v>
      </c>
      <c r="J38" s="42">
        <v>110050</v>
      </c>
      <c r="K38" s="44">
        <f t="shared" si="2"/>
        <v>0</v>
      </c>
      <c r="R38" s="31">
        <f>C38-D38</f>
        <v>83429</v>
      </c>
    </row>
    <row r="39" spans="1:18" ht="15.75" thickBot="1" x14ac:dyDescent="0.3">
      <c r="A39" s="10"/>
      <c r="B39" s="10"/>
      <c r="C39" s="24">
        <f>SUM(C34:C38)</f>
        <v>2590184.9734</v>
      </c>
      <c r="D39" s="53">
        <f>D34+D35+D36+D37+D38</f>
        <v>1795061</v>
      </c>
      <c r="J39" s="43">
        <f>SUM(J34:J38)</f>
        <v>1790984</v>
      </c>
      <c r="K39" s="45">
        <f>D39-J39</f>
        <v>4077</v>
      </c>
    </row>
    <row r="40" spans="1:18" ht="15.75" thickBot="1" x14ac:dyDescent="0.3">
      <c r="A40" s="9" t="s">
        <v>64</v>
      </c>
      <c r="B40" s="10"/>
      <c r="C40" s="24">
        <f>C32+C39</f>
        <v>3091891.0674000001</v>
      </c>
      <c r="D40" s="53">
        <f>D32+D39</f>
        <v>2271872</v>
      </c>
      <c r="J40" s="43">
        <f>J27+J32+J39</f>
        <v>8381418</v>
      </c>
      <c r="K40" s="44">
        <f>D41-J40</f>
        <v>74</v>
      </c>
    </row>
    <row r="41" spans="1:18" ht="15.75" thickBot="1" x14ac:dyDescent="0.3">
      <c r="A41" s="9" t="s">
        <v>65</v>
      </c>
      <c r="B41" s="10"/>
      <c r="C41" s="27">
        <f>C27+C40</f>
        <v>11263624.169149999</v>
      </c>
      <c r="D41" s="57">
        <f>D27+D40</f>
        <v>8381492</v>
      </c>
    </row>
    <row r="42" spans="1:18" ht="15.75" thickTop="1" x14ac:dyDescent="0.25">
      <c r="A42" s="11"/>
      <c r="B42" s="11"/>
      <c r="C42" s="59"/>
      <c r="D42" s="59"/>
    </row>
    <row r="43" spans="1:18" ht="15.75" thickBot="1" x14ac:dyDescent="0.3">
      <c r="A43" s="7" t="s">
        <v>66</v>
      </c>
      <c r="B43" s="8" t="s">
        <v>67</v>
      </c>
      <c r="C43" s="22">
        <f>(C22-C10-C9-C40)/C25*1000</f>
        <v>1400.0470950181818</v>
      </c>
      <c r="D43" s="22">
        <f>(D22-D10-D9-D40)/D25*1000</f>
        <v>1026.4783636363636</v>
      </c>
    </row>
  </sheetData>
  <mergeCells count="2">
    <mergeCell ref="A2:D2"/>
    <mergeCell ref="A1:D1"/>
  </mergeCells>
  <pageMargins left="0.70866141732283472" right="0.31496062992125984" top="0.55118110236220474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524FB-F53B-4DC8-AD11-E32B24DC7D1E}">
  <sheetPr>
    <pageSetUpPr fitToPage="1"/>
  </sheetPr>
  <dimension ref="A1:D36"/>
  <sheetViews>
    <sheetView zoomScaleNormal="100" workbookViewId="0">
      <selection activeCell="D10" sqref="D10"/>
    </sheetView>
  </sheetViews>
  <sheetFormatPr defaultRowHeight="15" x14ac:dyDescent="0.25"/>
  <cols>
    <col min="1" max="1" width="47.42578125" customWidth="1"/>
    <col min="2" max="2" width="9.28515625" customWidth="1"/>
    <col min="3" max="3" width="20" customWidth="1"/>
    <col min="4" max="4" width="18" customWidth="1"/>
    <col min="12" max="12" width="9.140625" customWidth="1"/>
  </cols>
  <sheetData>
    <row r="1" spans="1:4" x14ac:dyDescent="0.25">
      <c r="A1" s="124" t="s">
        <v>135</v>
      </c>
      <c r="B1" s="124"/>
      <c r="C1" s="124"/>
      <c r="D1" s="124"/>
    </row>
    <row r="2" spans="1:4" ht="39" customHeight="1" x14ac:dyDescent="0.25">
      <c r="A2" s="123" t="s">
        <v>136</v>
      </c>
      <c r="B2" s="123"/>
      <c r="C2" s="123"/>
      <c r="D2" s="123"/>
    </row>
    <row r="3" spans="1:4" ht="16.5" customHeight="1" x14ac:dyDescent="0.25">
      <c r="C3" s="20"/>
      <c r="D3" s="21"/>
    </row>
    <row r="4" spans="1:4" ht="15.75" thickBot="1" x14ac:dyDescent="0.3">
      <c r="A4" s="2" t="s">
        <v>0</v>
      </c>
      <c r="B4" s="4" t="s">
        <v>1</v>
      </c>
      <c r="C4" s="54" t="s">
        <v>140</v>
      </c>
      <c r="D4" s="77" t="s">
        <v>141</v>
      </c>
    </row>
    <row r="5" spans="1:4" ht="18.75" customHeight="1" x14ac:dyDescent="0.25">
      <c r="A5" s="7" t="s">
        <v>2</v>
      </c>
      <c r="B5" s="8">
        <v>3</v>
      </c>
      <c r="C5" s="23">
        <f>5521762+36</f>
        <v>5521798</v>
      </c>
      <c r="D5" s="78">
        <v>1138583</v>
      </c>
    </row>
    <row r="6" spans="1:4" ht="15.75" thickBot="1" x14ac:dyDescent="0.3">
      <c r="A6" s="7" t="s">
        <v>3</v>
      </c>
      <c r="B6" s="8">
        <v>4</v>
      </c>
      <c r="C6" s="24">
        <v>-1644062</v>
      </c>
      <c r="D6" s="79">
        <v>-612189</v>
      </c>
    </row>
    <row r="7" spans="1:4" x14ac:dyDescent="0.25">
      <c r="A7" s="9" t="s">
        <v>4</v>
      </c>
      <c r="B7" s="10"/>
      <c r="C7" s="26">
        <f>C5+C6</f>
        <v>3877736</v>
      </c>
      <c r="D7" s="80">
        <f>D5+D6</f>
        <v>526394</v>
      </c>
    </row>
    <row r="8" spans="1:4" x14ac:dyDescent="0.25">
      <c r="A8" s="7" t="s">
        <v>5</v>
      </c>
      <c r="B8" s="8">
        <v>5</v>
      </c>
      <c r="C8" s="23">
        <v>-975833</v>
      </c>
      <c r="D8" s="78">
        <v>-130106</v>
      </c>
    </row>
    <row r="9" spans="1:4" x14ac:dyDescent="0.25">
      <c r="A9" s="7" t="s">
        <v>6</v>
      </c>
      <c r="B9" s="8">
        <v>6</v>
      </c>
      <c r="C9" s="23">
        <v>-253484</v>
      </c>
      <c r="D9" s="78">
        <v>-99301</v>
      </c>
    </row>
    <row r="10" spans="1:4" x14ac:dyDescent="0.25">
      <c r="A10" s="7" t="s">
        <v>7</v>
      </c>
      <c r="B10" s="8">
        <v>7</v>
      </c>
      <c r="C10" s="23">
        <v>-59206</v>
      </c>
      <c r="D10" s="78">
        <f>-29847+88.24795</f>
        <v>-29758.752049999999</v>
      </c>
    </row>
    <row r="11" spans="1:4" ht="15.75" thickBot="1" x14ac:dyDescent="0.3">
      <c r="A11" s="7" t="s">
        <v>8</v>
      </c>
      <c r="B11" s="8">
        <v>8</v>
      </c>
      <c r="C11" s="24">
        <v>0</v>
      </c>
      <c r="D11" s="79">
        <v>0</v>
      </c>
    </row>
    <row r="12" spans="1:4" x14ac:dyDescent="0.25">
      <c r="A12" s="9" t="s">
        <v>10</v>
      </c>
      <c r="B12" s="10"/>
      <c r="C12" s="26">
        <f>C7+C8+C9+C10+C11</f>
        <v>2589213</v>
      </c>
      <c r="D12" s="80">
        <f>D7+D8+D9+D10+D11</f>
        <v>267228.24794999999</v>
      </c>
    </row>
    <row r="13" spans="1:4" x14ac:dyDescent="0.25">
      <c r="A13" s="7" t="s">
        <v>11</v>
      </c>
      <c r="B13" s="8" t="s">
        <v>12</v>
      </c>
      <c r="C13" s="23">
        <v>7204</v>
      </c>
      <c r="D13" s="78">
        <v>3254</v>
      </c>
    </row>
    <row r="14" spans="1:4" x14ac:dyDescent="0.25">
      <c r="A14" s="7" t="s">
        <v>13</v>
      </c>
      <c r="B14" s="8" t="s">
        <v>14</v>
      </c>
      <c r="C14" s="23">
        <v>-12049</v>
      </c>
      <c r="D14" s="78">
        <v>-15116</v>
      </c>
    </row>
    <row r="15" spans="1:4" x14ac:dyDescent="0.25">
      <c r="A15" s="69" t="s">
        <v>15</v>
      </c>
      <c r="B15" s="68"/>
      <c r="C15" s="23">
        <v>20834</v>
      </c>
      <c r="D15" s="78">
        <v>0</v>
      </c>
    </row>
    <row r="16" spans="1:4" ht="15.75" thickBot="1" x14ac:dyDescent="0.3">
      <c r="A16" s="7" t="s">
        <v>115</v>
      </c>
      <c r="B16" s="10"/>
      <c r="C16" s="24">
        <v>0</v>
      </c>
      <c r="D16" s="79">
        <v>-4834</v>
      </c>
    </row>
    <row r="17" spans="1:4" x14ac:dyDescent="0.25">
      <c r="A17" s="9" t="s">
        <v>16</v>
      </c>
      <c r="B17" s="10"/>
      <c r="C17" s="26">
        <f>C12+C13+C14+C16+C15</f>
        <v>2605202</v>
      </c>
      <c r="D17" s="80">
        <f>D12+D13+D14+D16+D15</f>
        <v>250532.24794999999</v>
      </c>
    </row>
    <row r="18" spans="1:4" ht="15.75" thickBot="1" x14ac:dyDescent="0.3">
      <c r="A18" s="7" t="s">
        <v>17</v>
      </c>
      <c r="B18" s="8" t="s">
        <v>18</v>
      </c>
      <c r="C18" s="24">
        <f>-547092.44081</f>
        <v>-547092.44080999994</v>
      </c>
      <c r="D18" s="79">
        <v>0</v>
      </c>
    </row>
    <row r="19" spans="1:4" x14ac:dyDescent="0.25">
      <c r="A19" s="9" t="s">
        <v>19</v>
      </c>
      <c r="B19" s="10"/>
      <c r="C19" s="26">
        <f>C17+C18</f>
        <v>2058109.5591899999</v>
      </c>
      <c r="D19" s="80">
        <f>D17+D18</f>
        <v>250532.24794999999</v>
      </c>
    </row>
    <row r="20" spans="1:4" ht="15.75" thickBot="1" x14ac:dyDescent="0.3">
      <c r="A20" s="7" t="s">
        <v>20</v>
      </c>
      <c r="B20" s="10"/>
      <c r="C20" s="24">
        <v>0</v>
      </c>
      <c r="D20" s="79">
        <v>0</v>
      </c>
    </row>
    <row r="21" spans="1:4" ht="15.75" thickBot="1" x14ac:dyDescent="0.3">
      <c r="A21" s="9" t="s">
        <v>22</v>
      </c>
      <c r="B21" s="10"/>
      <c r="C21" s="27">
        <f>C19+C20</f>
        <v>2058109.5591899999</v>
      </c>
      <c r="D21" s="81">
        <f>D19+D20</f>
        <v>250532.24794999999</v>
      </c>
    </row>
    <row r="22" spans="1:4" ht="15.75" thickTop="1" x14ac:dyDescent="0.25">
      <c r="A22" s="11"/>
      <c r="B22" s="11"/>
      <c r="C22" s="28"/>
      <c r="D22" s="28"/>
    </row>
    <row r="23" spans="1:4" ht="24.75" thickBot="1" x14ac:dyDescent="0.3">
      <c r="A23" s="7" t="s">
        <v>23</v>
      </c>
      <c r="B23" s="8" t="s">
        <v>24</v>
      </c>
      <c r="C23" s="22">
        <f>C21/5500000*1000</f>
        <v>374.20173803454543</v>
      </c>
      <c r="D23" s="22">
        <v>49.61</v>
      </c>
    </row>
    <row r="24" spans="1:4" x14ac:dyDescent="0.25">
      <c r="A24" s="13"/>
      <c r="C24" s="20"/>
      <c r="D24" s="20"/>
    </row>
    <row r="25" spans="1:4" x14ac:dyDescent="0.25">
      <c r="A25" s="12"/>
    </row>
    <row r="26" spans="1:4" x14ac:dyDescent="0.25">
      <c r="A26" s="12"/>
    </row>
    <row r="27" spans="1:4" x14ac:dyDescent="0.25">
      <c r="A27" s="12" t="s">
        <v>114</v>
      </c>
    </row>
    <row r="28" spans="1:4" x14ac:dyDescent="0.25">
      <c r="A28" s="12"/>
    </row>
    <row r="29" spans="1:4" x14ac:dyDescent="0.25">
      <c r="A29" s="12"/>
    </row>
    <row r="30" spans="1:4" x14ac:dyDescent="0.25">
      <c r="A30" s="12" t="s">
        <v>25</v>
      </c>
    </row>
    <row r="31" spans="1:4" ht="16.5" x14ac:dyDescent="0.25">
      <c r="A31" s="14" t="s">
        <v>26</v>
      </c>
    </row>
    <row r="32" spans="1:4" x14ac:dyDescent="0.25">
      <c r="A32" s="15" t="s">
        <v>27</v>
      </c>
      <c r="C32" s="15" t="s">
        <v>28</v>
      </c>
    </row>
    <row r="33" spans="1:3" ht="6" customHeight="1" x14ac:dyDescent="0.25">
      <c r="A33" s="12"/>
    </row>
    <row r="34" spans="1:3" x14ac:dyDescent="0.25">
      <c r="A34" s="12" t="s">
        <v>29</v>
      </c>
      <c r="C34" s="12" t="s">
        <v>30</v>
      </c>
    </row>
    <row r="35" spans="1:3" ht="6" customHeight="1" x14ac:dyDescent="0.25">
      <c r="A35" s="12"/>
    </row>
    <row r="36" spans="1:3" x14ac:dyDescent="0.25">
      <c r="A36" s="12" t="s">
        <v>31</v>
      </c>
    </row>
  </sheetData>
  <mergeCells count="2">
    <mergeCell ref="A2:D2"/>
    <mergeCell ref="A1:D1"/>
  </mergeCells>
  <pageMargins left="0.9055118110236221" right="0.70866141732283472" top="0.74803149606299213" bottom="0.74803149606299213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2CF56-CB21-4E1E-98B4-1BEC7A62DF4A}">
  <sheetPr>
    <pageSetUpPr fitToPage="1"/>
  </sheetPr>
  <dimension ref="A1:L57"/>
  <sheetViews>
    <sheetView zoomScaleNormal="100" workbookViewId="0">
      <selection activeCell="H11" sqref="H1:N1048576"/>
    </sheetView>
  </sheetViews>
  <sheetFormatPr defaultRowHeight="15" x14ac:dyDescent="0.25"/>
  <cols>
    <col min="1" max="1" width="60.28515625" customWidth="1"/>
    <col min="3" max="4" width="17.5703125" customWidth="1"/>
    <col min="8" max="8" width="0" hidden="1" customWidth="1"/>
    <col min="9" max="9" width="17" hidden="1" customWidth="1"/>
    <col min="10" max="10" width="16.5703125" hidden="1" customWidth="1"/>
    <col min="11" max="11" width="18" hidden="1" customWidth="1"/>
    <col min="12" max="12" width="9.140625" hidden="1" customWidth="1"/>
    <col min="13" max="14" width="0" hidden="1" customWidth="1"/>
  </cols>
  <sheetData>
    <row r="1" spans="1:10" x14ac:dyDescent="0.25">
      <c r="A1" s="124" t="s">
        <v>135</v>
      </c>
      <c r="B1" s="124"/>
      <c r="C1" s="124"/>
      <c r="D1" s="124"/>
    </row>
    <row r="2" spans="1:10" ht="39.75" customHeight="1" x14ac:dyDescent="0.25">
      <c r="A2" s="123" t="s">
        <v>137</v>
      </c>
      <c r="B2" s="123"/>
      <c r="C2" s="123"/>
      <c r="D2" s="123"/>
    </row>
    <row r="3" spans="1:10" x14ac:dyDescent="0.25">
      <c r="A3" s="1"/>
      <c r="B3" s="1"/>
      <c r="C3" s="1"/>
      <c r="D3" s="4"/>
    </row>
    <row r="4" spans="1:10" x14ac:dyDescent="0.25">
      <c r="A4" s="2" t="s">
        <v>70</v>
      </c>
      <c r="B4" s="4" t="s">
        <v>1</v>
      </c>
      <c r="C4" s="5">
        <v>2021</v>
      </c>
      <c r="D4" s="5">
        <v>2020</v>
      </c>
    </row>
    <row r="5" spans="1:10" ht="15.75" thickBot="1" x14ac:dyDescent="0.3">
      <c r="A5" s="3"/>
      <c r="B5" s="3"/>
      <c r="C5" s="6"/>
      <c r="D5" s="6"/>
    </row>
    <row r="6" spans="1:10" x14ac:dyDescent="0.25">
      <c r="A6" s="9" t="s">
        <v>71</v>
      </c>
      <c r="B6" s="10"/>
      <c r="C6" s="50"/>
      <c r="D6" s="50"/>
    </row>
    <row r="7" spans="1:10" x14ac:dyDescent="0.25">
      <c r="A7" s="7" t="s">
        <v>16</v>
      </c>
      <c r="B7" s="10"/>
      <c r="C7" s="78">
        <f>'ОДР и ПСД'!C17</f>
        <v>2605202</v>
      </c>
      <c r="D7" s="84">
        <v>803404</v>
      </c>
      <c r="I7" t="s">
        <v>128</v>
      </c>
    </row>
    <row r="8" spans="1:10" x14ac:dyDescent="0.25">
      <c r="A8" s="7" t="s">
        <v>72</v>
      </c>
      <c r="B8" s="10"/>
      <c r="C8" s="58"/>
      <c r="D8" s="85"/>
    </row>
    <row r="9" spans="1:10" x14ac:dyDescent="0.25">
      <c r="A9" s="7" t="s">
        <v>11</v>
      </c>
      <c r="B9" s="8" t="s">
        <v>12</v>
      </c>
      <c r="C9" s="78">
        <f>-'ОДР и ПСД'!C13</f>
        <v>-7204</v>
      </c>
      <c r="D9" s="84">
        <v>-6055</v>
      </c>
      <c r="I9" s="18" t="s">
        <v>121</v>
      </c>
    </row>
    <row r="10" spans="1:10" x14ac:dyDescent="0.25">
      <c r="A10" s="7" t="s">
        <v>13</v>
      </c>
      <c r="B10" s="8" t="s">
        <v>14</v>
      </c>
      <c r="C10" s="78">
        <f>-'ОДР и ПСД'!C14</f>
        <v>12049</v>
      </c>
      <c r="D10" s="84">
        <v>24583</v>
      </c>
      <c r="I10" t="s">
        <v>125</v>
      </c>
      <c r="J10" s="71">
        <v>2021</v>
      </c>
    </row>
    <row r="11" spans="1:10" x14ac:dyDescent="0.25">
      <c r="A11" s="7" t="s">
        <v>73</v>
      </c>
      <c r="B11" s="8">
        <v>4.5999999999999996</v>
      </c>
      <c r="C11" s="78">
        <f>J15/1000</f>
        <v>346580.48984000005</v>
      </c>
      <c r="D11" s="84">
        <v>309383</v>
      </c>
      <c r="I11" t="s">
        <v>117</v>
      </c>
      <c r="J11" s="42">
        <v>1541402.38</v>
      </c>
    </row>
    <row r="12" spans="1:10" x14ac:dyDescent="0.25">
      <c r="A12" s="7" t="s">
        <v>8</v>
      </c>
      <c r="B12" s="8">
        <v>8</v>
      </c>
      <c r="C12" s="78">
        <v>0</v>
      </c>
      <c r="D12" s="84">
        <v>155521</v>
      </c>
      <c r="I12" t="s">
        <v>118</v>
      </c>
      <c r="J12" s="42">
        <v>328430212.48000002</v>
      </c>
    </row>
    <row r="13" spans="1:10" x14ac:dyDescent="0.25">
      <c r="A13" s="7" t="s">
        <v>74</v>
      </c>
      <c r="B13" s="39">
        <v>7</v>
      </c>
      <c r="C13" s="84">
        <v>19187</v>
      </c>
      <c r="D13" s="84">
        <v>30839</v>
      </c>
      <c r="I13" t="s">
        <v>119</v>
      </c>
      <c r="J13" s="42">
        <v>9729731.6799999997</v>
      </c>
    </row>
    <row r="14" spans="1:10" x14ac:dyDescent="0.25">
      <c r="A14" s="36" t="s">
        <v>105</v>
      </c>
      <c r="B14" s="35"/>
      <c r="C14" s="84"/>
      <c r="D14" s="84"/>
      <c r="I14" t="s">
        <v>120</v>
      </c>
      <c r="J14" s="42">
        <v>6879143.2999999998</v>
      </c>
    </row>
    <row r="15" spans="1:10" ht="15.75" thickBot="1" x14ac:dyDescent="0.3">
      <c r="A15" s="7" t="s">
        <v>75</v>
      </c>
      <c r="B15" s="10"/>
      <c r="C15" s="86">
        <f>-J22/1000</f>
        <v>-1506.550379999999</v>
      </c>
      <c r="D15" s="86">
        <v>-13</v>
      </c>
      <c r="J15" s="102">
        <f>SUM(J11:J14)</f>
        <v>346580489.84000003</v>
      </c>
    </row>
    <row r="16" spans="1:10" x14ac:dyDescent="0.25">
      <c r="A16" s="127" t="s">
        <v>76</v>
      </c>
      <c r="B16" s="126"/>
      <c r="C16" s="87"/>
      <c r="D16" s="87"/>
      <c r="I16" s="18" t="s">
        <v>122</v>
      </c>
      <c r="J16" s="42"/>
    </row>
    <row r="17" spans="1:11" s="18" customFormat="1" x14ac:dyDescent="0.25">
      <c r="A17" s="127"/>
      <c r="B17" s="126"/>
      <c r="C17" s="88">
        <f>SUM(C7:C15)</f>
        <v>2974307.93946</v>
      </c>
      <c r="D17" s="89">
        <f>SUM(D7:D15)</f>
        <v>1317662</v>
      </c>
      <c r="I17" s="18" t="s">
        <v>125</v>
      </c>
      <c r="J17" s="125">
        <v>2021</v>
      </c>
      <c r="K17" s="125"/>
    </row>
    <row r="18" spans="1:11" x14ac:dyDescent="0.25">
      <c r="A18" s="7" t="s">
        <v>77</v>
      </c>
      <c r="B18" s="10"/>
      <c r="C18" s="78">
        <f>-(ОФП!C16-ОФП!D16)</f>
        <v>-684309</v>
      </c>
      <c r="D18" s="84">
        <v>-2304766</v>
      </c>
      <c r="J18" s="70" t="s">
        <v>123</v>
      </c>
      <c r="K18" s="71" t="s">
        <v>124</v>
      </c>
    </row>
    <row r="19" spans="1:11" x14ac:dyDescent="0.25">
      <c r="A19" s="7" t="s">
        <v>78</v>
      </c>
      <c r="B19" s="10"/>
      <c r="C19" s="78">
        <f>-ОФП!C17+ОФП!D17</f>
        <v>-359135</v>
      </c>
      <c r="D19" s="84">
        <v>-750773</v>
      </c>
      <c r="I19">
        <v>1030</v>
      </c>
      <c r="J19" s="42">
        <v>30291221.57</v>
      </c>
      <c r="K19" s="42">
        <v>-29797091.84</v>
      </c>
    </row>
    <row r="20" spans="1:11" x14ac:dyDescent="0.25">
      <c r="A20" s="7" t="s">
        <v>79</v>
      </c>
      <c r="B20" s="10"/>
      <c r="C20" s="78">
        <f>-(ОФП!C19-ОФП!D19)</f>
        <v>-986670</v>
      </c>
      <c r="D20" s="84">
        <v>-1462310</v>
      </c>
      <c r="I20">
        <v>1050</v>
      </c>
      <c r="J20" s="42">
        <v>1634987.2</v>
      </c>
      <c r="K20" s="42">
        <v>-622566.55000000005</v>
      </c>
    </row>
    <row r="21" spans="1:11" x14ac:dyDescent="0.25">
      <c r="A21" s="7" t="s">
        <v>80</v>
      </c>
      <c r="B21" s="10"/>
      <c r="C21" s="78">
        <f>ОФП!C38-ОФП!D38</f>
        <v>83429</v>
      </c>
      <c r="D21" s="84">
        <v>108521</v>
      </c>
      <c r="I21" t="s">
        <v>108</v>
      </c>
      <c r="J21" s="42">
        <f>SUM(J19:J20)</f>
        <v>31926208.77</v>
      </c>
      <c r="K21" s="42">
        <f>SUM(K19:K20)</f>
        <v>-30419658.390000001</v>
      </c>
    </row>
    <row r="22" spans="1:11" ht="15.75" thickBot="1" x14ac:dyDescent="0.3">
      <c r="A22" s="7" t="s">
        <v>106</v>
      </c>
      <c r="B22" s="10"/>
      <c r="C22" s="79">
        <f>ОФП!C37-ОФП!D37</f>
        <v>307065</v>
      </c>
      <c r="D22" s="86">
        <v>1443425</v>
      </c>
      <c r="I22" s="18" t="s">
        <v>126</v>
      </c>
      <c r="J22" s="102">
        <f>J21+K21</f>
        <v>1506550.379999999</v>
      </c>
      <c r="K22" s="42"/>
    </row>
    <row r="23" spans="1:11" x14ac:dyDescent="0.25">
      <c r="A23" s="128" t="s">
        <v>81</v>
      </c>
      <c r="B23" s="66"/>
      <c r="C23" s="90"/>
      <c r="D23" s="91"/>
      <c r="J23" s="42"/>
      <c r="K23" s="42"/>
    </row>
    <row r="24" spans="1:11" x14ac:dyDescent="0.25">
      <c r="A24" s="128"/>
      <c r="B24" s="67">
        <v>23</v>
      </c>
      <c r="C24" s="88">
        <f>C17+C18+C19+C20+C21+C22</f>
        <v>1334687.93946</v>
      </c>
      <c r="D24" s="89">
        <f>D17+D18+D19+D20+D21+D22</f>
        <v>-1648241</v>
      </c>
      <c r="I24" s="18" t="s">
        <v>127</v>
      </c>
      <c r="J24" s="42"/>
    </row>
    <row r="25" spans="1:11" x14ac:dyDescent="0.25">
      <c r="A25" s="7" t="s">
        <v>82</v>
      </c>
      <c r="B25" s="10"/>
      <c r="C25" s="84">
        <f>J27/1000</f>
        <v>6953.7840300000007</v>
      </c>
      <c r="D25" s="84">
        <v>5544</v>
      </c>
      <c r="I25">
        <v>6110</v>
      </c>
      <c r="J25" s="42">
        <v>7203940.3300000001</v>
      </c>
    </row>
    <row r="26" spans="1:11" ht="15.75" thickBot="1" x14ac:dyDescent="0.3">
      <c r="A26" s="7" t="s">
        <v>83</v>
      </c>
      <c r="B26" s="10"/>
      <c r="C26" s="79">
        <v>-130000</v>
      </c>
      <c r="D26" s="86" t="s">
        <v>21</v>
      </c>
      <c r="I26">
        <v>1412</v>
      </c>
      <c r="J26" s="42">
        <v>250156.3</v>
      </c>
    </row>
    <row r="27" spans="1:11" x14ac:dyDescent="0.25">
      <c r="A27" s="129" t="s">
        <v>84</v>
      </c>
      <c r="B27" s="126"/>
      <c r="C27" s="87"/>
      <c r="D27" s="92"/>
      <c r="J27" s="43">
        <f>J25-J26</f>
        <v>6953784.0300000003</v>
      </c>
    </row>
    <row r="28" spans="1:11" ht="15.75" thickBot="1" x14ac:dyDescent="0.3">
      <c r="A28" s="129"/>
      <c r="B28" s="126"/>
      <c r="C28" s="93">
        <f>C24+C25+C26</f>
        <v>1211641.72349</v>
      </c>
      <c r="D28" s="94">
        <f>D24+D25</f>
        <v>-1642697</v>
      </c>
      <c r="J28" s="42"/>
    </row>
    <row r="29" spans="1:11" x14ac:dyDescent="0.25">
      <c r="A29" s="11"/>
      <c r="B29" s="126"/>
      <c r="C29" s="130"/>
      <c r="D29" s="132"/>
      <c r="I29" t="s">
        <v>129</v>
      </c>
      <c r="J29" t="s">
        <v>142</v>
      </c>
    </row>
    <row r="30" spans="1:11" x14ac:dyDescent="0.25">
      <c r="A30" s="9" t="s">
        <v>85</v>
      </c>
      <c r="B30" s="126"/>
      <c r="C30" s="131"/>
      <c r="D30" s="133"/>
      <c r="I30" t="s">
        <v>130</v>
      </c>
      <c r="J30" s="72">
        <v>384223102.47000003</v>
      </c>
      <c r="K30" s="42">
        <v>515015496.66000003</v>
      </c>
    </row>
    <row r="31" spans="1:11" x14ac:dyDescent="0.25">
      <c r="A31" s="7" t="s">
        <v>86</v>
      </c>
      <c r="B31" s="8">
        <v>11</v>
      </c>
      <c r="C31" s="84">
        <f>(-J30-J32)/1000</f>
        <v>-676617.79695000011</v>
      </c>
      <c r="D31" s="84">
        <v>-3441079</v>
      </c>
      <c r="I31" t="s">
        <v>131</v>
      </c>
      <c r="J31" s="72">
        <v>26383928.579999998</v>
      </c>
      <c r="K31" s="42">
        <f>J31*1.12</f>
        <v>29550000.009600002</v>
      </c>
    </row>
    <row r="32" spans="1:11" x14ac:dyDescent="0.25">
      <c r="A32" s="7" t="s">
        <v>87</v>
      </c>
      <c r="B32" s="8">
        <v>13</v>
      </c>
      <c r="C32" s="84">
        <f>-J31/1000</f>
        <v>-26383.92858</v>
      </c>
      <c r="D32" s="84">
        <v>-22894</v>
      </c>
      <c r="I32" t="s">
        <v>132</v>
      </c>
      <c r="J32" s="72">
        <v>292394694.48000002</v>
      </c>
      <c r="K32" s="42"/>
    </row>
    <row r="33" spans="1:10" x14ac:dyDescent="0.25">
      <c r="A33" s="7" t="s">
        <v>88</v>
      </c>
      <c r="B33" s="8">
        <v>17</v>
      </c>
      <c r="C33" s="84">
        <f>-J34/1000</f>
        <v>-12126.2</v>
      </c>
      <c r="D33" s="84">
        <v>-80626</v>
      </c>
      <c r="J33" s="72"/>
    </row>
    <row r="34" spans="1:10" ht="15.75" thickBot="1" x14ac:dyDescent="0.3">
      <c r="A34" s="7" t="s">
        <v>89</v>
      </c>
      <c r="B34" s="8">
        <v>19</v>
      </c>
      <c r="C34" s="86">
        <f>-1977.07143-27322+239</f>
        <v>-29060.07143</v>
      </c>
      <c r="D34" s="86">
        <v>-14165</v>
      </c>
      <c r="I34" t="s">
        <v>133</v>
      </c>
      <c r="J34" s="72">
        <v>12126200</v>
      </c>
    </row>
    <row r="35" spans="1:10" ht="24.75" thickBot="1" x14ac:dyDescent="0.3">
      <c r="A35" s="9" t="s">
        <v>90</v>
      </c>
      <c r="B35" s="10"/>
      <c r="C35" s="94">
        <f>SUM(C31:C34)</f>
        <v>-744187.99696000002</v>
      </c>
      <c r="D35" s="94">
        <f>SUM(D31:D34)</f>
        <v>-3558764</v>
      </c>
      <c r="J35" s="72"/>
    </row>
    <row r="36" spans="1:10" x14ac:dyDescent="0.25">
      <c r="A36" s="11"/>
      <c r="B36" s="126"/>
      <c r="C36" s="132"/>
      <c r="D36" s="132"/>
      <c r="J36" s="72"/>
    </row>
    <row r="37" spans="1:10" x14ac:dyDescent="0.25">
      <c r="A37" s="9" t="s">
        <v>91</v>
      </c>
      <c r="B37" s="126"/>
      <c r="C37" s="133"/>
      <c r="D37" s="133"/>
      <c r="J37" s="72"/>
    </row>
    <row r="38" spans="1:10" x14ac:dyDescent="0.25">
      <c r="A38" s="7" t="s">
        <v>92</v>
      </c>
      <c r="B38" s="8" t="s">
        <v>53</v>
      </c>
      <c r="C38" s="84">
        <v>0</v>
      </c>
      <c r="D38" s="84">
        <v>5370000</v>
      </c>
      <c r="J38" s="72"/>
    </row>
    <row r="39" spans="1:10" ht="15.75" thickBot="1" x14ac:dyDescent="0.3">
      <c r="A39" s="7" t="s">
        <v>93</v>
      </c>
      <c r="B39" s="8" t="s">
        <v>58</v>
      </c>
      <c r="C39" s="86">
        <v>-11260</v>
      </c>
      <c r="D39" s="86">
        <v>-12960</v>
      </c>
    </row>
    <row r="40" spans="1:10" ht="15.75" thickBot="1" x14ac:dyDescent="0.3">
      <c r="A40" s="9" t="s">
        <v>94</v>
      </c>
      <c r="B40" s="10"/>
      <c r="C40" s="94">
        <f>SUM(C38:C39)</f>
        <v>-11260</v>
      </c>
      <c r="D40" s="94">
        <f>SUM(D38:D39)</f>
        <v>5357040</v>
      </c>
    </row>
    <row r="41" spans="1:10" x14ac:dyDescent="0.25">
      <c r="A41" s="11"/>
      <c r="B41" s="126"/>
      <c r="C41" s="95"/>
      <c r="D41" s="95"/>
    </row>
    <row r="42" spans="1:10" x14ac:dyDescent="0.25">
      <c r="A42" s="7" t="s">
        <v>95</v>
      </c>
      <c r="B42" s="126"/>
      <c r="C42" s="84">
        <f>C28+C35+C40</f>
        <v>456193.72652999999</v>
      </c>
      <c r="D42" s="84">
        <f>D28+D35+D40</f>
        <v>155579</v>
      </c>
    </row>
    <row r="43" spans="1:10" x14ac:dyDescent="0.25">
      <c r="A43" s="7" t="s">
        <v>96</v>
      </c>
      <c r="B43" s="10"/>
      <c r="C43" s="84">
        <f>-C15</f>
        <v>1506.550379999999</v>
      </c>
      <c r="D43" s="84">
        <v>13</v>
      </c>
    </row>
    <row r="44" spans="1:10" ht="15.75" thickBot="1" x14ac:dyDescent="0.3">
      <c r="A44" s="7" t="s">
        <v>97</v>
      </c>
      <c r="B44" s="10"/>
      <c r="C44" s="86">
        <f>D45</f>
        <v>247136</v>
      </c>
      <c r="D44" s="86">
        <v>91544</v>
      </c>
      <c r="E44" s="31"/>
    </row>
    <row r="45" spans="1:10" ht="15.75" thickBot="1" x14ac:dyDescent="0.3">
      <c r="A45" s="9" t="s">
        <v>98</v>
      </c>
      <c r="B45" s="8">
        <v>17</v>
      </c>
      <c r="C45" s="96">
        <f>SUM(C42:C44)</f>
        <v>704836.27691000002</v>
      </c>
      <c r="D45" s="96">
        <f>SUM(D42:D44)</f>
        <v>247136</v>
      </c>
    </row>
    <row r="46" spans="1:10" ht="15.75" thickTop="1" x14ac:dyDescent="0.25">
      <c r="A46" s="32"/>
      <c r="C46" s="83"/>
      <c r="D46" s="83"/>
    </row>
    <row r="47" spans="1:10" x14ac:dyDescent="0.25">
      <c r="A47" s="33" t="s">
        <v>99</v>
      </c>
      <c r="C47" s="52"/>
      <c r="D47" s="20"/>
    </row>
    <row r="48" spans="1:10" x14ac:dyDescent="0.25">
      <c r="A48" s="34"/>
      <c r="C48" s="20"/>
      <c r="D48" s="20"/>
    </row>
    <row r="49" spans="1:4" x14ac:dyDescent="0.25">
      <c r="A49" s="16"/>
      <c r="B49" s="16"/>
      <c r="C49" s="60"/>
      <c r="D49" s="61"/>
    </row>
    <row r="50" spans="1:4" x14ac:dyDescent="0.25">
      <c r="A50" s="2" t="s">
        <v>70</v>
      </c>
      <c r="B50" s="4" t="s">
        <v>1</v>
      </c>
      <c r="C50" s="62">
        <v>2021</v>
      </c>
      <c r="D50" s="62">
        <v>2020</v>
      </c>
    </row>
    <row r="51" spans="1:4" ht="15.75" thickBot="1" x14ac:dyDescent="0.3">
      <c r="A51" s="3"/>
      <c r="B51" s="3"/>
      <c r="C51" s="63"/>
      <c r="D51" s="63"/>
    </row>
    <row r="52" spans="1:4" x14ac:dyDescent="0.25">
      <c r="A52" s="7" t="s">
        <v>100</v>
      </c>
      <c r="B52" s="8">
        <v>19</v>
      </c>
      <c r="C52" s="23" t="s">
        <v>9</v>
      </c>
      <c r="D52" s="23">
        <v>413448</v>
      </c>
    </row>
    <row r="53" spans="1:4" x14ac:dyDescent="0.25">
      <c r="A53" s="7" t="s">
        <v>101</v>
      </c>
      <c r="B53" s="8">
        <v>19</v>
      </c>
      <c r="C53" s="23" t="s">
        <v>9</v>
      </c>
      <c r="D53" s="23">
        <v>30127</v>
      </c>
    </row>
    <row r="54" spans="1:4" x14ac:dyDescent="0.25">
      <c r="A54" s="7" t="s">
        <v>102</v>
      </c>
      <c r="B54" s="8">
        <v>20</v>
      </c>
      <c r="C54" s="23">
        <v>60217</v>
      </c>
      <c r="D54" s="23">
        <v>59262</v>
      </c>
    </row>
    <row r="55" spans="1:4" x14ac:dyDescent="0.25">
      <c r="A55" s="7" t="s">
        <v>103</v>
      </c>
      <c r="B55" s="8">
        <v>20</v>
      </c>
      <c r="C55" s="23">
        <v>-42564</v>
      </c>
      <c r="D55" s="23">
        <v>-4878</v>
      </c>
    </row>
    <row r="56" spans="1:4" ht="15.75" thickBot="1" x14ac:dyDescent="0.3">
      <c r="A56" s="7" t="s">
        <v>104</v>
      </c>
      <c r="B56" s="10"/>
      <c r="C56" s="24">
        <v>773</v>
      </c>
      <c r="D56" s="24">
        <v>511</v>
      </c>
    </row>
    <row r="57" spans="1:4" x14ac:dyDescent="0.25">
      <c r="C57" s="20"/>
      <c r="D57" s="20"/>
    </row>
  </sheetData>
  <mergeCells count="15">
    <mergeCell ref="A1:D1"/>
    <mergeCell ref="J17:K17"/>
    <mergeCell ref="B41:B42"/>
    <mergeCell ref="A16:A17"/>
    <mergeCell ref="B16:B17"/>
    <mergeCell ref="A23:A24"/>
    <mergeCell ref="A27:A28"/>
    <mergeCell ref="B27:B28"/>
    <mergeCell ref="B29:B30"/>
    <mergeCell ref="A2:D2"/>
    <mergeCell ref="C29:C30"/>
    <mergeCell ref="D29:D30"/>
    <mergeCell ref="B36:B37"/>
    <mergeCell ref="C36:C37"/>
    <mergeCell ref="D36:D37"/>
  </mergeCells>
  <pageMargins left="0.70866141732283472" right="0.31496062992125984" top="0.74803149606299213" bottom="0.55118110236220474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0C01C-0716-496E-BFDE-647CC40E9BF0}">
  <sheetPr>
    <pageSetUpPr fitToPage="1"/>
  </sheetPr>
  <dimension ref="A1:K57"/>
  <sheetViews>
    <sheetView topLeftCell="A4" zoomScaleNormal="100" workbookViewId="0">
      <selection activeCell="J30" activeCellId="1" sqref="J32 J30"/>
    </sheetView>
  </sheetViews>
  <sheetFormatPr defaultRowHeight="15" x14ac:dyDescent="0.25"/>
  <cols>
    <col min="1" max="1" width="60.28515625" customWidth="1"/>
    <col min="3" max="4" width="17.5703125" customWidth="1"/>
    <col min="9" max="9" width="17" customWidth="1"/>
    <col min="10" max="10" width="16.5703125" customWidth="1"/>
    <col min="11" max="11" width="18" customWidth="1"/>
    <col min="12" max="12" width="9.140625" customWidth="1"/>
  </cols>
  <sheetData>
    <row r="1" spans="1:10" x14ac:dyDescent="0.25">
      <c r="A1" s="124" t="s">
        <v>135</v>
      </c>
      <c r="B1" s="124"/>
      <c r="C1" s="124"/>
      <c r="D1" s="124"/>
    </row>
    <row r="2" spans="1:10" ht="39.75" customHeight="1" x14ac:dyDescent="0.25">
      <c r="A2" s="123" t="s">
        <v>137</v>
      </c>
      <c r="B2" s="123"/>
      <c r="C2" s="123"/>
      <c r="D2" s="123"/>
    </row>
    <row r="3" spans="1:10" x14ac:dyDescent="0.25">
      <c r="A3" s="1"/>
      <c r="B3" s="1"/>
      <c r="C3" s="1"/>
      <c r="D3" s="4"/>
    </row>
    <row r="4" spans="1:10" x14ac:dyDescent="0.25">
      <c r="A4" s="2" t="s">
        <v>70</v>
      </c>
      <c r="B4" s="4" t="s">
        <v>1</v>
      </c>
      <c r="C4" s="5">
        <v>2021</v>
      </c>
      <c r="D4" s="5">
        <v>2020</v>
      </c>
    </row>
    <row r="5" spans="1:10" ht="15.75" thickBot="1" x14ac:dyDescent="0.3">
      <c r="A5" s="3"/>
      <c r="B5" s="3"/>
      <c r="C5" s="6"/>
      <c r="D5" s="6"/>
    </row>
    <row r="6" spans="1:10" x14ac:dyDescent="0.25">
      <c r="A6" s="99" t="s">
        <v>71</v>
      </c>
      <c r="B6" s="97"/>
      <c r="C6" s="50"/>
      <c r="D6" s="50"/>
    </row>
    <row r="7" spans="1:10" x14ac:dyDescent="0.25">
      <c r="A7" s="98" t="s">
        <v>16</v>
      </c>
      <c r="B7" s="97"/>
      <c r="C7" s="78">
        <f>'ОДР и ПСД'!C17</f>
        <v>2605202</v>
      </c>
      <c r="D7" s="84">
        <v>803404</v>
      </c>
      <c r="I7" t="s">
        <v>128</v>
      </c>
    </row>
    <row r="8" spans="1:10" x14ac:dyDescent="0.25">
      <c r="A8" s="98" t="s">
        <v>72</v>
      </c>
      <c r="B8" s="97"/>
      <c r="C8" s="100"/>
      <c r="D8" s="101"/>
    </row>
    <row r="9" spans="1:10" x14ac:dyDescent="0.25">
      <c r="A9" s="98" t="s">
        <v>11</v>
      </c>
      <c r="B9" s="8" t="s">
        <v>12</v>
      </c>
      <c r="C9" s="78">
        <f>-'ОДР и ПСД'!C13</f>
        <v>-7204</v>
      </c>
      <c r="D9" s="84">
        <v>-6055</v>
      </c>
      <c r="I9" s="18" t="s">
        <v>121</v>
      </c>
    </row>
    <row r="10" spans="1:10" x14ac:dyDescent="0.25">
      <c r="A10" s="98" t="s">
        <v>13</v>
      </c>
      <c r="B10" s="8" t="s">
        <v>14</v>
      </c>
      <c r="C10" s="78">
        <f>-'ОДР и ПСД'!C14</f>
        <v>12049</v>
      </c>
      <c r="D10" s="84">
        <v>24583</v>
      </c>
      <c r="I10" t="s">
        <v>125</v>
      </c>
      <c r="J10" s="71">
        <v>2021</v>
      </c>
    </row>
    <row r="11" spans="1:10" x14ac:dyDescent="0.25">
      <c r="A11" s="98" t="s">
        <v>73</v>
      </c>
      <c r="B11" s="8">
        <v>4.5999999999999996</v>
      </c>
      <c r="C11" s="78">
        <f>J15/1000</f>
        <v>346580.48984000005</v>
      </c>
      <c r="D11" s="84">
        <v>309383</v>
      </c>
      <c r="I11" t="s">
        <v>117</v>
      </c>
      <c r="J11" s="42">
        <v>1541402.38</v>
      </c>
    </row>
    <row r="12" spans="1:10" x14ac:dyDescent="0.25">
      <c r="A12" s="98" t="s">
        <v>8</v>
      </c>
      <c r="B12" s="8">
        <v>8</v>
      </c>
      <c r="C12" s="78">
        <v>0</v>
      </c>
      <c r="D12" s="84">
        <v>155521</v>
      </c>
      <c r="I12" t="s">
        <v>118</v>
      </c>
      <c r="J12" s="42">
        <v>328430212.48000002</v>
      </c>
    </row>
    <row r="13" spans="1:10" x14ac:dyDescent="0.25">
      <c r="A13" s="98" t="s">
        <v>74</v>
      </c>
      <c r="B13" s="39">
        <v>7</v>
      </c>
      <c r="C13" s="84">
        <v>19187</v>
      </c>
      <c r="D13" s="84">
        <v>30839</v>
      </c>
      <c r="I13" t="s">
        <v>119</v>
      </c>
      <c r="J13" s="42">
        <v>9729731.6799999997</v>
      </c>
    </row>
    <row r="14" spans="1:10" x14ac:dyDescent="0.25">
      <c r="A14" s="98" t="s">
        <v>105</v>
      </c>
      <c r="B14" s="97"/>
      <c r="C14" s="84"/>
      <c r="D14" s="84"/>
      <c r="I14" t="s">
        <v>120</v>
      </c>
      <c r="J14" s="42">
        <v>6879143.2999999998</v>
      </c>
    </row>
    <row r="15" spans="1:10" ht="15.75" thickBot="1" x14ac:dyDescent="0.3">
      <c r="A15" s="98" t="s">
        <v>75</v>
      </c>
      <c r="B15" s="97"/>
      <c r="C15" s="86">
        <f>-J22/1000</f>
        <v>-1506.550379999999</v>
      </c>
      <c r="D15" s="86">
        <v>-13</v>
      </c>
      <c r="J15" s="102">
        <f>SUM(J11:J14)</f>
        <v>346580489.84000003</v>
      </c>
    </row>
    <row r="16" spans="1:10" x14ac:dyDescent="0.25">
      <c r="A16" s="127" t="s">
        <v>76</v>
      </c>
      <c r="B16" s="126"/>
      <c r="C16" s="87"/>
      <c r="D16" s="87"/>
      <c r="I16" s="18" t="s">
        <v>122</v>
      </c>
      <c r="J16" s="42"/>
    </row>
    <row r="17" spans="1:11" s="18" customFormat="1" x14ac:dyDescent="0.25">
      <c r="A17" s="127"/>
      <c r="B17" s="126"/>
      <c r="C17" s="88">
        <f>SUM(C7:C15)</f>
        <v>2974307.93946</v>
      </c>
      <c r="D17" s="89">
        <f>SUM(D7:D15)</f>
        <v>1317662</v>
      </c>
      <c r="I17" s="18" t="s">
        <v>125</v>
      </c>
      <c r="J17" s="125">
        <v>2021</v>
      </c>
      <c r="K17" s="125"/>
    </row>
    <row r="18" spans="1:11" x14ac:dyDescent="0.25">
      <c r="A18" s="98" t="s">
        <v>77</v>
      </c>
      <c r="B18" s="97"/>
      <c r="C18" s="78">
        <f>-(ОФП!C16-ОФП!D16)</f>
        <v>-684309</v>
      </c>
      <c r="D18" s="84">
        <v>-2304766</v>
      </c>
      <c r="J18" s="70" t="s">
        <v>123</v>
      </c>
      <c r="K18" s="71" t="s">
        <v>124</v>
      </c>
    </row>
    <row r="19" spans="1:11" x14ac:dyDescent="0.25">
      <c r="A19" s="98" t="s">
        <v>78</v>
      </c>
      <c r="B19" s="97"/>
      <c r="C19" s="78">
        <f>-ОФП!C17+ОФП!D17</f>
        <v>-359135</v>
      </c>
      <c r="D19" s="84">
        <v>-750773</v>
      </c>
      <c r="I19">
        <v>1030</v>
      </c>
      <c r="J19" s="42">
        <v>30291221.57</v>
      </c>
      <c r="K19" s="42">
        <v>-29797091.84</v>
      </c>
    </row>
    <row r="20" spans="1:11" x14ac:dyDescent="0.25">
      <c r="A20" s="98" t="s">
        <v>79</v>
      </c>
      <c r="B20" s="97"/>
      <c r="C20" s="78">
        <f>-(ОФП!C19-ОФП!D19)</f>
        <v>-986670</v>
      </c>
      <c r="D20" s="84">
        <v>-1462310</v>
      </c>
      <c r="I20">
        <v>1050</v>
      </c>
      <c r="J20" s="42">
        <v>1634987.2</v>
      </c>
      <c r="K20" s="42">
        <v>-622566.55000000005</v>
      </c>
    </row>
    <row r="21" spans="1:11" x14ac:dyDescent="0.25">
      <c r="A21" s="98" t="s">
        <v>80</v>
      </c>
      <c r="B21" s="97"/>
      <c r="C21" s="78">
        <f>ОФП!C38-ОФП!D38</f>
        <v>83429</v>
      </c>
      <c r="D21" s="84">
        <v>108521</v>
      </c>
      <c r="I21" t="s">
        <v>108</v>
      </c>
      <c r="J21" s="42">
        <f>SUM(J19:J20)</f>
        <v>31926208.77</v>
      </c>
      <c r="K21" s="42">
        <f>SUM(K19:K20)</f>
        <v>-30419658.390000001</v>
      </c>
    </row>
    <row r="22" spans="1:11" ht="15.75" thickBot="1" x14ac:dyDescent="0.3">
      <c r="A22" s="98" t="s">
        <v>106</v>
      </c>
      <c r="B22" s="97"/>
      <c r="C22" s="79">
        <f>ОФП!C37-ОФП!D37</f>
        <v>307065</v>
      </c>
      <c r="D22" s="86">
        <v>1443425</v>
      </c>
      <c r="I22" s="18" t="s">
        <v>126</v>
      </c>
      <c r="J22" s="102">
        <f>J21+K21</f>
        <v>1506550.379999999</v>
      </c>
      <c r="K22" s="42"/>
    </row>
    <row r="23" spans="1:11" x14ac:dyDescent="0.25">
      <c r="A23" s="128" t="s">
        <v>81</v>
      </c>
      <c r="B23" s="66"/>
      <c r="C23" s="90"/>
      <c r="D23" s="91"/>
      <c r="J23" s="42"/>
      <c r="K23" s="42"/>
    </row>
    <row r="24" spans="1:11" x14ac:dyDescent="0.25">
      <c r="A24" s="128"/>
      <c r="B24" s="67">
        <v>23</v>
      </c>
      <c r="C24" s="88">
        <f>C17+C18+C19+C20+C21+C22</f>
        <v>1334687.93946</v>
      </c>
      <c r="D24" s="89">
        <f>D17+D18+D19+D20+D21+D22</f>
        <v>-1648241</v>
      </c>
      <c r="I24" s="18" t="s">
        <v>127</v>
      </c>
      <c r="J24" s="42"/>
    </row>
    <row r="25" spans="1:11" x14ac:dyDescent="0.25">
      <c r="A25" s="98" t="s">
        <v>82</v>
      </c>
      <c r="B25" s="97"/>
      <c r="C25" s="84">
        <f>J27/1000</f>
        <v>6953.7840300000007</v>
      </c>
      <c r="D25" s="84">
        <v>5544</v>
      </c>
      <c r="I25">
        <v>6110</v>
      </c>
      <c r="J25" s="42">
        <v>7203940.3300000001</v>
      </c>
    </row>
    <row r="26" spans="1:11" ht="15.75" thickBot="1" x14ac:dyDescent="0.3">
      <c r="A26" s="98" t="s">
        <v>83</v>
      </c>
      <c r="B26" s="97"/>
      <c r="C26" s="79">
        <v>-130000</v>
      </c>
      <c r="D26" s="86" t="s">
        <v>21</v>
      </c>
      <c r="I26">
        <v>1412</v>
      </c>
      <c r="J26" s="42">
        <v>250156.3</v>
      </c>
    </row>
    <row r="27" spans="1:11" x14ac:dyDescent="0.25">
      <c r="A27" s="129" t="s">
        <v>84</v>
      </c>
      <c r="B27" s="126"/>
      <c r="C27" s="87"/>
      <c r="D27" s="92"/>
      <c r="J27" s="43">
        <f>J25-J26</f>
        <v>6953784.0300000003</v>
      </c>
    </row>
    <row r="28" spans="1:11" ht="15.75" thickBot="1" x14ac:dyDescent="0.3">
      <c r="A28" s="129"/>
      <c r="B28" s="126"/>
      <c r="C28" s="93">
        <f>C24+C25+C26</f>
        <v>1211641.72349</v>
      </c>
      <c r="D28" s="94">
        <f>D24+D25</f>
        <v>-1642697</v>
      </c>
      <c r="J28" s="42"/>
    </row>
    <row r="29" spans="1:11" x14ac:dyDescent="0.25">
      <c r="A29" s="11"/>
      <c r="B29" s="126"/>
      <c r="C29" s="119">
        <f>'Ф.3-ДДС-П'!C39</f>
        <v>1027628.9758799989</v>
      </c>
      <c r="D29" s="132"/>
      <c r="I29" t="s">
        <v>129</v>
      </c>
      <c r="J29" t="s">
        <v>142</v>
      </c>
    </row>
    <row r="30" spans="1:11" x14ac:dyDescent="0.25">
      <c r="A30" s="99" t="s">
        <v>85</v>
      </c>
      <c r="B30" s="126"/>
      <c r="C30" s="120"/>
      <c r="D30" s="133"/>
      <c r="I30" t="s">
        <v>130</v>
      </c>
      <c r="J30" s="72">
        <v>384223102.47000003</v>
      </c>
      <c r="K30" s="42">
        <v>515015496.66000003</v>
      </c>
    </row>
    <row r="31" spans="1:11" x14ac:dyDescent="0.25">
      <c r="A31" s="98" t="s">
        <v>86</v>
      </c>
      <c r="B31" s="8">
        <v>11</v>
      </c>
      <c r="C31" s="121">
        <f>-K30/1000</f>
        <v>-515015.49666</v>
      </c>
      <c r="D31" s="84">
        <v>-3441079</v>
      </c>
      <c r="I31" t="s">
        <v>131</v>
      </c>
      <c r="J31" s="72">
        <v>26383928.579999998</v>
      </c>
      <c r="K31" s="42">
        <f>J31*1.12</f>
        <v>29550000.009600002</v>
      </c>
    </row>
    <row r="32" spans="1:11" x14ac:dyDescent="0.25">
      <c r="A32" s="98" t="s">
        <v>87</v>
      </c>
      <c r="B32" s="8">
        <v>13</v>
      </c>
      <c r="C32" s="121">
        <f>-K31/1000</f>
        <v>-29550.000009600004</v>
      </c>
      <c r="D32" s="84">
        <v>-22894</v>
      </c>
      <c r="I32" t="s">
        <v>132</v>
      </c>
      <c r="J32" s="72">
        <v>292394694.48000002</v>
      </c>
      <c r="K32" s="42"/>
    </row>
    <row r="33" spans="1:11" x14ac:dyDescent="0.25">
      <c r="A33" s="98" t="s">
        <v>88</v>
      </c>
      <c r="B33" s="8">
        <v>17</v>
      </c>
      <c r="C33" s="84">
        <f>-J34/1000</f>
        <v>-12126.2</v>
      </c>
      <c r="D33" s="84">
        <v>-80626</v>
      </c>
      <c r="I33" t="str">
        <f>A34</f>
        <v>Платежи по контракту на недропользование</v>
      </c>
      <c r="J33" s="72">
        <f>-C34*1000</f>
        <v>1977071.43</v>
      </c>
      <c r="K33" s="122">
        <f>J33</f>
        <v>1977071.43</v>
      </c>
    </row>
    <row r="34" spans="1:11" ht="15.75" thickBot="1" x14ac:dyDescent="0.3">
      <c r="A34" s="98" t="s">
        <v>89</v>
      </c>
      <c r="B34" s="8">
        <v>19</v>
      </c>
      <c r="C34" s="86">
        <f>-1977.07143</f>
        <v>-1977.07143</v>
      </c>
      <c r="D34" s="86">
        <v>-14165</v>
      </c>
      <c r="I34" t="s">
        <v>133</v>
      </c>
      <c r="J34" s="72">
        <v>12126200</v>
      </c>
      <c r="K34" s="122">
        <f>J34</f>
        <v>12126200</v>
      </c>
    </row>
    <row r="35" spans="1:11" ht="24.75" thickBot="1" x14ac:dyDescent="0.3">
      <c r="A35" s="99" t="s">
        <v>90</v>
      </c>
      <c r="B35" s="97"/>
      <c r="C35" s="94">
        <f>SUM(C31:C34)</f>
        <v>-558668.76809959998</v>
      </c>
      <c r="D35" s="94">
        <f>SUM(D31:D34)</f>
        <v>-3558764</v>
      </c>
      <c r="J35" s="72">
        <f>SUM(J30:J34)</f>
        <v>717104996.95999992</v>
      </c>
      <c r="K35" s="72">
        <f>SUM(K30:K34)</f>
        <v>558668768.09959996</v>
      </c>
    </row>
    <row r="36" spans="1:11" x14ac:dyDescent="0.25">
      <c r="A36" s="11"/>
      <c r="B36" s="126"/>
      <c r="C36" s="132"/>
      <c r="D36" s="132"/>
      <c r="J36" s="72">
        <f>J35-K35</f>
        <v>158436228.86039996</v>
      </c>
    </row>
    <row r="37" spans="1:11" x14ac:dyDescent="0.25">
      <c r="A37" s="99" t="s">
        <v>91</v>
      </c>
      <c r="B37" s="126"/>
      <c r="C37" s="133"/>
      <c r="D37" s="133"/>
      <c r="J37" s="72"/>
    </row>
    <row r="38" spans="1:11" x14ac:dyDescent="0.25">
      <c r="A38" s="98" t="s">
        <v>92</v>
      </c>
      <c r="B38" s="8" t="s">
        <v>53</v>
      </c>
      <c r="C38" s="84">
        <v>0</v>
      </c>
      <c r="D38" s="84">
        <v>5370000</v>
      </c>
      <c r="J38" s="72"/>
    </row>
    <row r="39" spans="1:11" ht="15.75" thickBot="1" x14ac:dyDescent="0.3">
      <c r="A39" s="98" t="s">
        <v>93</v>
      </c>
      <c r="B39" s="8" t="s">
        <v>58</v>
      </c>
      <c r="C39" s="86">
        <v>-11260</v>
      </c>
      <c r="D39" s="86">
        <v>-12960</v>
      </c>
    </row>
    <row r="40" spans="1:11" ht="15.75" thickBot="1" x14ac:dyDescent="0.3">
      <c r="A40" s="99" t="s">
        <v>94</v>
      </c>
      <c r="B40" s="97"/>
      <c r="C40" s="94">
        <f>SUM(C38:C39)</f>
        <v>-11260</v>
      </c>
      <c r="D40" s="94">
        <f>SUM(D38:D39)</f>
        <v>5357040</v>
      </c>
    </row>
    <row r="41" spans="1:11" x14ac:dyDescent="0.25">
      <c r="A41" s="11"/>
      <c r="B41" s="126"/>
      <c r="C41" s="95"/>
      <c r="D41" s="95"/>
    </row>
    <row r="42" spans="1:11" x14ac:dyDescent="0.25">
      <c r="A42" s="98" t="s">
        <v>95</v>
      </c>
      <c r="B42" s="126"/>
      <c r="C42" s="84">
        <f>C28+C35+C40</f>
        <v>641712.95539040002</v>
      </c>
      <c r="D42" s="84">
        <f>D28+D35+D40</f>
        <v>155579</v>
      </c>
    </row>
    <row r="43" spans="1:11" x14ac:dyDescent="0.25">
      <c r="A43" s="98" t="s">
        <v>96</v>
      </c>
      <c r="B43" s="97"/>
      <c r="C43" s="84">
        <f>-C15</f>
        <v>1506.550379999999</v>
      </c>
      <c r="D43" s="84">
        <v>13</v>
      </c>
    </row>
    <row r="44" spans="1:11" ht="15.75" thickBot="1" x14ac:dyDescent="0.3">
      <c r="A44" s="98" t="s">
        <v>97</v>
      </c>
      <c r="B44" s="97"/>
      <c r="C44" s="86">
        <f>D45</f>
        <v>247136</v>
      </c>
      <c r="D44" s="86">
        <v>91544</v>
      </c>
      <c r="E44" s="31"/>
    </row>
    <row r="45" spans="1:11" ht="15.75" thickBot="1" x14ac:dyDescent="0.3">
      <c r="A45" s="99" t="s">
        <v>98</v>
      </c>
      <c r="B45" s="8">
        <v>17</v>
      </c>
      <c r="C45" s="96">
        <f>SUM(C42:C44)</f>
        <v>890355.50577040005</v>
      </c>
      <c r="D45" s="96">
        <f>SUM(D42:D44)</f>
        <v>247136</v>
      </c>
    </row>
    <row r="46" spans="1:11" ht="15.75" thickTop="1" x14ac:dyDescent="0.25">
      <c r="A46" s="32"/>
      <c r="C46" s="103">
        <f>ОФП!C20</f>
        <v>704836.29</v>
      </c>
      <c r="D46" s="83"/>
    </row>
    <row r="47" spans="1:11" x14ac:dyDescent="0.25">
      <c r="A47" s="33" t="s">
        <v>99</v>
      </c>
      <c r="C47" s="52">
        <f>C45-C46</f>
        <v>185519.21577040001</v>
      </c>
      <c r="D47" s="20"/>
    </row>
    <row r="48" spans="1:11" x14ac:dyDescent="0.25">
      <c r="A48" s="34"/>
      <c r="C48" s="20"/>
      <c r="D48" s="20"/>
    </row>
    <row r="49" spans="1:4" x14ac:dyDescent="0.25">
      <c r="A49" s="16"/>
      <c r="B49" s="16"/>
      <c r="C49" s="60"/>
      <c r="D49" s="61"/>
    </row>
    <row r="50" spans="1:4" x14ac:dyDescent="0.25">
      <c r="A50" s="2" t="s">
        <v>70</v>
      </c>
      <c r="B50" s="4" t="s">
        <v>1</v>
      </c>
      <c r="C50" s="62">
        <v>2021</v>
      </c>
      <c r="D50" s="62">
        <v>2020</v>
      </c>
    </row>
    <row r="51" spans="1:4" ht="15.75" thickBot="1" x14ac:dyDescent="0.3">
      <c r="A51" s="3"/>
      <c r="B51" s="3"/>
      <c r="C51" s="63"/>
      <c r="D51" s="63"/>
    </row>
    <row r="52" spans="1:4" x14ac:dyDescent="0.25">
      <c r="A52" s="98" t="s">
        <v>100</v>
      </c>
      <c r="B52" s="8">
        <v>19</v>
      </c>
      <c r="C52" s="78" t="s">
        <v>9</v>
      </c>
      <c r="D52" s="78">
        <v>413448</v>
      </c>
    </row>
    <row r="53" spans="1:4" x14ac:dyDescent="0.25">
      <c r="A53" s="98" t="s">
        <v>101</v>
      </c>
      <c r="B53" s="8">
        <v>19</v>
      </c>
      <c r="C53" s="78" t="s">
        <v>9</v>
      </c>
      <c r="D53" s="78">
        <v>30127</v>
      </c>
    </row>
    <row r="54" spans="1:4" x14ac:dyDescent="0.25">
      <c r="A54" s="98" t="s">
        <v>102</v>
      </c>
      <c r="B54" s="8">
        <v>20</v>
      </c>
      <c r="C54" s="78">
        <v>60217</v>
      </c>
      <c r="D54" s="78">
        <v>59262</v>
      </c>
    </row>
    <row r="55" spans="1:4" x14ac:dyDescent="0.25">
      <c r="A55" s="98" t="s">
        <v>103</v>
      </c>
      <c r="B55" s="8">
        <v>20</v>
      </c>
      <c r="C55" s="78">
        <v>-42564</v>
      </c>
      <c r="D55" s="78">
        <v>-4878</v>
      </c>
    </row>
    <row r="56" spans="1:4" ht="15.75" thickBot="1" x14ac:dyDescent="0.3">
      <c r="A56" s="98" t="s">
        <v>104</v>
      </c>
      <c r="B56" s="97"/>
      <c r="C56" s="79">
        <v>773</v>
      </c>
      <c r="D56" s="79">
        <v>511</v>
      </c>
    </row>
    <row r="57" spans="1:4" x14ac:dyDescent="0.25">
      <c r="C57" s="20"/>
      <c r="D57" s="20"/>
    </row>
  </sheetData>
  <mergeCells count="14">
    <mergeCell ref="J17:K17"/>
    <mergeCell ref="B41:B42"/>
    <mergeCell ref="A27:A28"/>
    <mergeCell ref="B27:B28"/>
    <mergeCell ref="B29:B30"/>
    <mergeCell ref="D29:D30"/>
    <mergeCell ref="B36:B37"/>
    <mergeCell ref="C36:C37"/>
    <mergeCell ref="D36:D37"/>
    <mergeCell ref="A23:A24"/>
    <mergeCell ref="A1:D1"/>
    <mergeCell ref="A2:D2"/>
    <mergeCell ref="A16:A17"/>
    <mergeCell ref="B16:B17"/>
  </mergeCells>
  <pageMargins left="0.70866141732283472" right="0.31496062992125984" top="0.74803149606299213" bottom="0.55118110236220474" header="0.31496062992125984" footer="0.31496062992125984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F5E65-50F7-40F8-BA64-A051946B5FCA}">
  <dimension ref="A1:J99"/>
  <sheetViews>
    <sheetView topLeftCell="A22" zoomScaleNormal="100" workbookViewId="0">
      <selection activeCell="C34" sqref="C34"/>
    </sheetView>
  </sheetViews>
  <sheetFormatPr defaultRowHeight="15" x14ac:dyDescent="0.25"/>
  <cols>
    <col min="1" max="1" width="54.28515625" style="106" customWidth="1"/>
    <col min="2" max="2" width="9.140625" style="106"/>
    <col min="3" max="3" width="15.5703125" style="106" customWidth="1"/>
    <col min="4" max="4" width="18.5703125" style="106" customWidth="1"/>
    <col min="5" max="7" width="9.140625" style="106"/>
    <col min="8" max="9" width="12.7109375" style="107" customWidth="1"/>
    <col min="10" max="16384" width="9.140625" style="106"/>
  </cols>
  <sheetData>
    <row r="1" spans="1:9" s="104" customFormat="1" ht="9" x14ac:dyDescent="0.15">
      <c r="A1" s="135" t="s">
        <v>143</v>
      </c>
      <c r="B1" s="135"/>
      <c r="C1" s="135"/>
      <c r="D1" s="135"/>
      <c r="H1" s="105"/>
      <c r="I1" s="105"/>
    </row>
    <row r="2" spans="1:9" s="104" customFormat="1" ht="9" x14ac:dyDescent="0.15">
      <c r="A2" s="135" t="s">
        <v>144</v>
      </c>
      <c r="B2" s="135"/>
      <c r="C2" s="135"/>
      <c r="D2" s="135"/>
      <c r="H2" s="105"/>
      <c r="I2" s="105"/>
    </row>
    <row r="3" spans="1:9" s="104" customFormat="1" ht="9" x14ac:dyDescent="0.15">
      <c r="A3" s="135" t="s">
        <v>145</v>
      </c>
      <c r="B3" s="135"/>
      <c r="C3" s="135"/>
      <c r="D3" s="135"/>
      <c r="H3" s="105"/>
      <c r="I3" s="105"/>
    </row>
    <row r="4" spans="1:9" s="104" customFormat="1" ht="9" x14ac:dyDescent="0.15">
      <c r="A4" s="135" t="s">
        <v>146</v>
      </c>
      <c r="B4" s="135"/>
      <c r="C4" s="135"/>
      <c r="D4" s="135"/>
      <c r="H4" s="105"/>
      <c r="I4" s="105"/>
    </row>
    <row r="5" spans="1:9" ht="15.75" x14ac:dyDescent="0.25">
      <c r="A5" s="136"/>
      <c r="B5" s="136"/>
      <c r="C5" s="136"/>
      <c r="D5" s="136"/>
    </row>
    <row r="6" spans="1:9" x14ac:dyDescent="0.25">
      <c r="A6" s="137" t="s">
        <v>147</v>
      </c>
      <c r="B6" s="137"/>
      <c r="C6" s="137"/>
      <c r="D6" s="137"/>
    </row>
    <row r="7" spans="1:9" ht="15.75" x14ac:dyDescent="0.25">
      <c r="A7" s="136"/>
      <c r="B7" s="136"/>
      <c r="C7" s="136"/>
      <c r="D7" s="136"/>
    </row>
    <row r="8" spans="1:9" s="108" customFormat="1" x14ac:dyDescent="0.25">
      <c r="A8" s="138" t="s">
        <v>148</v>
      </c>
      <c r="B8" s="138"/>
      <c r="C8" s="138"/>
      <c r="D8" s="138"/>
      <c r="H8" s="109"/>
      <c r="I8" s="109"/>
    </row>
    <row r="9" spans="1:9" s="108" customFormat="1" x14ac:dyDescent="0.25">
      <c r="A9" s="139" t="s">
        <v>149</v>
      </c>
      <c r="B9" s="139"/>
      <c r="C9" s="139"/>
      <c r="D9" s="139"/>
      <c r="H9" s="109"/>
      <c r="I9" s="109"/>
    </row>
    <row r="10" spans="1:9" s="110" customFormat="1" ht="12" x14ac:dyDescent="0.2">
      <c r="A10" s="140"/>
      <c r="B10" s="140"/>
      <c r="C10" s="140"/>
      <c r="D10" s="140"/>
      <c r="H10" s="111"/>
      <c r="I10" s="111"/>
    </row>
    <row r="11" spans="1:9" s="110" customFormat="1" ht="12" x14ac:dyDescent="0.2">
      <c r="A11" s="134" t="s">
        <v>150</v>
      </c>
      <c r="B11" s="134"/>
      <c r="C11" s="134"/>
      <c r="D11" s="134"/>
      <c r="H11" s="111"/>
      <c r="I11" s="111"/>
    </row>
    <row r="12" spans="1:9" s="110" customFormat="1" ht="12" x14ac:dyDescent="0.2">
      <c r="A12" s="134" t="s">
        <v>151</v>
      </c>
      <c r="B12" s="134"/>
      <c r="C12" s="134"/>
      <c r="D12" s="134"/>
      <c r="H12" s="111"/>
      <c r="I12" s="111"/>
    </row>
    <row r="13" spans="1:9" s="110" customFormat="1" ht="16.5" customHeight="1" x14ac:dyDescent="0.2">
      <c r="A13" s="134" t="s">
        <v>152</v>
      </c>
      <c r="B13" s="134"/>
      <c r="C13" s="134"/>
      <c r="D13" s="134"/>
      <c r="H13" s="111"/>
      <c r="I13" s="111"/>
    </row>
    <row r="14" spans="1:9" s="110" customFormat="1" ht="30.75" customHeight="1" x14ac:dyDescent="0.2">
      <c r="A14" s="134" t="s">
        <v>153</v>
      </c>
      <c r="B14" s="134"/>
      <c r="C14" s="134"/>
      <c r="D14" s="134"/>
      <c r="H14" s="111"/>
      <c r="I14" s="111"/>
    </row>
    <row r="15" spans="1:9" s="110" customFormat="1" ht="15.75" customHeight="1" x14ac:dyDescent="0.2">
      <c r="A15" s="134" t="s">
        <v>154</v>
      </c>
      <c r="B15" s="134"/>
      <c r="C15" s="134"/>
      <c r="D15" s="134"/>
      <c r="H15" s="111"/>
      <c r="I15" s="111"/>
    </row>
    <row r="16" spans="1:9" s="110" customFormat="1" ht="48" customHeight="1" x14ac:dyDescent="0.2">
      <c r="A16" s="134" t="s">
        <v>155</v>
      </c>
      <c r="B16" s="134"/>
      <c r="C16" s="134"/>
      <c r="D16" s="134"/>
      <c r="H16" s="111">
        <v>247136161.63999999</v>
      </c>
      <c r="I16" s="111"/>
    </row>
    <row r="17" spans="1:10" s="110" customFormat="1" ht="12" x14ac:dyDescent="0.2">
      <c r="A17" s="134" t="s">
        <v>156</v>
      </c>
      <c r="B17" s="134"/>
      <c r="C17" s="134"/>
      <c r="D17" s="134"/>
      <c r="H17" s="111"/>
      <c r="I17" s="111"/>
    </row>
    <row r="18" spans="1:10" s="110" customFormat="1" ht="12" x14ac:dyDescent="0.2">
      <c r="A18" s="134" t="s">
        <v>157</v>
      </c>
      <c r="B18" s="134"/>
      <c r="C18" s="134"/>
      <c r="D18" s="134"/>
      <c r="H18" s="111"/>
      <c r="I18" s="111"/>
    </row>
    <row r="19" spans="1:10" s="110" customFormat="1" ht="12" x14ac:dyDescent="0.2">
      <c r="A19" s="142" t="s">
        <v>158</v>
      </c>
      <c r="B19" s="142"/>
      <c r="C19" s="142"/>
      <c r="D19" s="142"/>
      <c r="H19" s="111"/>
      <c r="I19" s="111"/>
    </row>
    <row r="20" spans="1:10" s="110" customFormat="1" ht="24" x14ac:dyDescent="0.2">
      <c r="A20" s="112" t="s">
        <v>159</v>
      </c>
      <c r="B20" s="112" t="s">
        <v>160</v>
      </c>
      <c r="C20" s="112" t="s">
        <v>161</v>
      </c>
      <c r="D20" s="112" t="s">
        <v>162</v>
      </c>
      <c r="H20" s="111"/>
      <c r="I20" s="111"/>
    </row>
    <row r="21" spans="1:10" s="110" customFormat="1" ht="12" x14ac:dyDescent="0.2">
      <c r="A21" s="143" t="s">
        <v>163</v>
      </c>
      <c r="B21" s="143"/>
      <c r="C21" s="143"/>
      <c r="D21" s="143"/>
      <c r="H21" s="111"/>
      <c r="I21" s="111"/>
    </row>
    <row r="22" spans="1:10" s="110" customFormat="1" ht="24" x14ac:dyDescent="0.2">
      <c r="A22" s="113" t="s">
        <v>164</v>
      </c>
      <c r="B22" s="114" t="s">
        <v>165</v>
      </c>
      <c r="C22" s="115">
        <f>SUM(C24:C29)</f>
        <v>4836208.2733699996</v>
      </c>
      <c r="D22" s="115">
        <f>SUM(D24:D29)</f>
        <v>0</v>
      </c>
      <c r="H22" s="111"/>
      <c r="I22" s="111"/>
    </row>
    <row r="23" spans="1:10" s="110" customFormat="1" ht="12" x14ac:dyDescent="0.2">
      <c r="A23" s="113" t="s">
        <v>166</v>
      </c>
      <c r="B23" s="116"/>
      <c r="C23" s="115"/>
      <c r="D23" s="115"/>
      <c r="H23" s="111"/>
      <c r="I23" s="111"/>
    </row>
    <row r="24" spans="1:10" s="110" customFormat="1" ht="12" x14ac:dyDescent="0.2">
      <c r="A24" s="113" t="s">
        <v>167</v>
      </c>
      <c r="B24" s="114" t="s">
        <v>168</v>
      </c>
      <c r="C24" s="115">
        <f>H27/1000</f>
        <v>4260802.7417000001</v>
      </c>
      <c r="D24" s="115"/>
      <c r="H24" s="111"/>
      <c r="I24" s="111"/>
    </row>
    <row r="25" spans="1:10" s="110" customFormat="1" ht="12" x14ac:dyDescent="0.2">
      <c r="A25" s="113" t="s">
        <v>169</v>
      </c>
      <c r="B25" s="114" t="s">
        <v>170</v>
      </c>
      <c r="C25" s="115"/>
      <c r="D25" s="115"/>
      <c r="H25" s="111"/>
      <c r="I25" s="111">
        <v>12126200</v>
      </c>
      <c r="J25" s="110">
        <v>67</v>
      </c>
    </row>
    <row r="26" spans="1:10" s="110" customFormat="1" ht="12" x14ac:dyDescent="0.2">
      <c r="A26" s="113" t="s">
        <v>171</v>
      </c>
      <c r="B26" s="114" t="s">
        <v>172</v>
      </c>
      <c r="C26" s="115">
        <f>H67/1000</f>
        <v>432807.58746999997</v>
      </c>
      <c r="D26" s="115"/>
      <c r="H26" s="111"/>
      <c r="I26" s="111"/>
    </row>
    <row r="27" spans="1:10" s="110" customFormat="1" ht="12" x14ac:dyDescent="0.2">
      <c r="A27" s="113" t="s">
        <v>173</v>
      </c>
      <c r="B27" s="114" t="s">
        <v>174</v>
      </c>
      <c r="C27" s="115"/>
      <c r="D27" s="115"/>
      <c r="H27" s="111">
        <v>4260802741.6999998</v>
      </c>
      <c r="I27" s="111"/>
      <c r="J27" s="110">
        <v>11</v>
      </c>
    </row>
    <row r="28" spans="1:10" s="110" customFormat="1" ht="12" x14ac:dyDescent="0.2">
      <c r="A28" s="113" t="s">
        <v>175</v>
      </c>
      <c r="B28" s="114" t="s">
        <v>176</v>
      </c>
      <c r="C28" s="115">
        <f>H30/1000</f>
        <v>389.73142999999999</v>
      </c>
      <c r="D28" s="115"/>
      <c r="H28" s="111"/>
      <c r="I28" s="111">
        <v>4577397.75</v>
      </c>
      <c r="J28" s="110">
        <v>27</v>
      </c>
    </row>
    <row r="29" spans="1:10" s="110" customFormat="1" ht="12" x14ac:dyDescent="0.2">
      <c r="A29" s="113" t="s">
        <v>177</v>
      </c>
      <c r="B29" s="114" t="s">
        <v>178</v>
      </c>
      <c r="C29" s="115">
        <f>(H32+H69)/1000</f>
        <v>142208.21277000001</v>
      </c>
      <c r="D29" s="115"/>
      <c r="H29" s="111"/>
      <c r="I29" s="111"/>
    </row>
    <row r="30" spans="1:10" s="110" customFormat="1" ht="24" x14ac:dyDescent="0.2">
      <c r="A30" s="113" t="s">
        <v>179</v>
      </c>
      <c r="B30" s="114" t="s">
        <v>180</v>
      </c>
      <c r="C30" s="115">
        <f>SUM(C32:C38)</f>
        <v>3808579.2974900007</v>
      </c>
      <c r="D30" s="115">
        <f>SUM(D32:D38)</f>
        <v>0</v>
      </c>
      <c r="H30" s="111">
        <v>389731.43</v>
      </c>
      <c r="I30" s="111"/>
      <c r="J30" s="110">
        <v>15</v>
      </c>
    </row>
    <row r="31" spans="1:10" s="110" customFormat="1" ht="12" x14ac:dyDescent="0.2">
      <c r="A31" s="113" t="s">
        <v>166</v>
      </c>
      <c r="B31" s="116"/>
      <c r="C31" s="115"/>
      <c r="D31" s="115"/>
      <c r="H31" s="111"/>
      <c r="I31" s="111"/>
    </row>
    <row r="32" spans="1:10" s="110" customFormat="1" ht="12" x14ac:dyDescent="0.2">
      <c r="A32" s="113" t="s">
        <v>181</v>
      </c>
      <c r="B32" s="114" t="s">
        <v>182</v>
      </c>
      <c r="C32" s="115">
        <f>I61/1000-C57-C58-C59+307064.55215</f>
        <v>2357655.6252300004</v>
      </c>
      <c r="D32" s="115"/>
      <c r="H32" s="111">
        <v>110282004</v>
      </c>
      <c r="I32" s="111"/>
      <c r="J32" s="110">
        <v>16</v>
      </c>
    </row>
    <row r="33" spans="1:10" s="110" customFormat="1" ht="12" x14ac:dyDescent="0.2">
      <c r="A33" s="113" t="s">
        <v>183</v>
      </c>
      <c r="B33" s="114" t="s">
        <v>184</v>
      </c>
      <c r="C33" s="115">
        <f>(I35-307064552.15)/1000-11260-1977.07143</f>
        <v>322412.71902000002</v>
      </c>
      <c r="D33" s="115"/>
      <c r="H33" s="111"/>
      <c r="I33" s="111"/>
    </row>
    <row r="34" spans="1:10" s="110" customFormat="1" ht="12" x14ac:dyDescent="0.2">
      <c r="A34" s="113" t="s">
        <v>185</v>
      </c>
      <c r="B34" s="114" t="s">
        <v>186</v>
      </c>
      <c r="C34" s="115">
        <f>I62/1000</f>
        <v>454649.19225000002</v>
      </c>
      <c r="D34" s="115"/>
      <c r="H34" s="111"/>
      <c r="I34" s="111"/>
    </row>
    <row r="35" spans="1:10" s="110" customFormat="1" ht="12" x14ac:dyDescent="0.2">
      <c r="A35" s="113" t="s">
        <v>187</v>
      </c>
      <c r="B35" s="114" t="s">
        <v>188</v>
      </c>
      <c r="C35" s="115"/>
      <c r="D35" s="115"/>
      <c r="H35" s="111"/>
      <c r="I35" s="111">
        <v>642714342.60000002</v>
      </c>
      <c r="J35" s="110">
        <v>22</v>
      </c>
    </row>
    <row r="36" spans="1:10" s="110" customFormat="1" ht="12" x14ac:dyDescent="0.2">
      <c r="A36" s="113" t="s">
        <v>189</v>
      </c>
      <c r="B36" s="114" t="s">
        <v>190</v>
      </c>
      <c r="C36" s="115"/>
      <c r="D36" s="115"/>
      <c r="H36" s="111"/>
      <c r="I36" s="111"/>
    </row>
    <row r="37" spans="1:10" s="110" customFormat="1" ht="12" x14ac:dyDescent="0.2">
      <c r="A37" s="113" t="s">
        <v>191</v>
      </c>
      <c r="B37" s="114" t="s">
        <v>192</v>
      </c>
      <c r="C37" s="115">
        <f>(I38+I51)/1000</f>
        <v>577082.86744000006</v>
      </c>
      <c r="D37" s="115"/>
      <c r="H37" s="111"/>
      <c r="I37" s="111"/>
    </row>
    <row r="38" spans="1:10" s="110" customFormat="1" ht="12" x14ac:dyDescent="0.2">
      <c r="A38" s="113" t="s">
        <v>193</v>
      </c>
      <c r="B38" s="114" t="s">
        <v>194</v>
      </c>
      <c r="C38" s="115">
        <f>(I28+I63+I72)/1000</f>
        <v>96778.893549999993</v>
      </c>
      <c r="D38" s="115"/>
      <c r="H38" s="111"/>
      <c r="I38" s="111">
        <v>475774990.87</v>
      </c>
      <c r="J38" s="110">
        <v>26</v>
      </c>
    </row>
    <row r="39" spans="1:10" s="110" customFormat="1" ht="24" x14ac:dyDescent="0.2">
      <c r="A39" s="113" t="s">
        <v>195</v>
      </c>
      <c r="B39" s="114" t="s">
        <v>196</v>
      </c>
      <c r="C39" s="115">
        <f>C22-C30</f>
        <v>1027628.9758799989</v>
      </c>
      <c r="D39" s="115">
        <f>D22-D30</f>
        <v>0</v>
      </c>
      <c r="H39" s="111"/>
      <c r="I39" s="111"/>
    </row>
    <row r="40" spans="1:10" s="110" customFormat="1" ht="12" x14ac:dyDescent="0.2">
      <c r="A40" s="143" t="s">
        <v>197</v>
      </c>
      <c r="B40" s="143"/>
      <c r="C40" s="143"/>
      <c r="D40" s="143"/>
      <c r="H40" s="111"/>
      <c r="I40" s="111"/>
    </row>
    <row r="41" spans="1:10" s="110" customFormat="1" ht="24" x14ac:dyDescent="0.2">
      <c r="A41" s="113" t="s">
        <v>198</v>
      </c>
      <c r="B41" s="114" t="s">
        <v>199</v>
      </c>
      <c r="C41" s="115">
        <f>SUM(C43:C54)</f>
        <v>0</v>
      </c>
      <c r="D41" s="115">
        <f>SUM(D43:D54)</f>
        <v>0</v>
      </c>
      <c r="H41" s="111"/>
      <c r="I41" s="111"/>
    </row>
    <row r="42" spans="1:10" s="110" customFormat="1" ht="12" x14ac:dyDescent="0.2">
      <c r="A42" s="113" t="s">
        <v>166</v>
      </c>
      <c r="B42" s="116"/>
      <c r="C42" s="115"/>
      <c r="D42" s="115"/>
      <c r="H42" s="111"/>
      <c r="I42" s="111"/>
    </row>
    <row r="43" spans="1:10" s="110" customFormat="1" ht="12" x14ac:dyDescent="0.2">
      <c r="A43" s="113" t="s">
        <v>200</v>
      </c>
      <c r="B43" s="114" t="s">
        <v>201</v>
      </c>
      <c r="C43" s="115"/>
      <c r="D43" s="115"/>
      <c r="H43" s="111"/>
      <c r="I43" s="111"/>
    </row>
    <row r="44" spans="1:10" s="110" customFormat="1" ht="12" x14ac:dyDescent="0.2">
      <c r="A44" s="113" t="s">
        <v>202</v>
      </c>
      <c r="B44" s="114" t="s">
        <v>203</v>
      </c>
      <c r="C44" s="115"/>
      <c r="D44" s="115"/>
      <c r="H44" s="111"/>
      <c r="I44" s="111"/>
    </row>
    <row r="45" spans="1:10" s="110" customFormat="1" ht="12" x14ac:dyDescent="0.2">
      <c r="A45" s="113" t="s">
        <v>204</v>
      </c>
      <c r="B45" s="114" t="s">
        <v>205</v>
      </c>
      <c r="C45" s="115"/>
      <c r="D45" s="115"/>
      <c r="H45" s="111"/>
      <c r="I45" s="111"/>
    </row>
    <row r="46" spans="1:10" s="110" customFormat="1" ht="36" x14ac:dyDescent="0.2">
      <c r="A46" s="113" t="s">
        <v>206</v>
      </c>
      <c r="B46" s="114" t="s">
        <v>207</v>
      </c>
      <c r="C46" s="115"/>
      <c r="D46" s="115"/>
      <c r="H46" s="111"/>
      <c r="I46" s="111"/>
    </row>
    <row r="47" spans="1:10" s="110" customFormat="1" ht="12" x14ac:dyDescent="0.2">
      <c r="A47" s="113" t="s">
        <v>208</v>
      </c>
      <c r="B47" s="114" t="s">
        <v>209</v>
      </c>
      <c r="C47" s="115"/>
      <c r="D47" s="115"/>
      <c r="H47" s="111"/>
      <c r="I47" s="111"/>
    </row>
    <row r="48" spans="1:10" s="110" customFormat="1" ht="24" x14ac:dyDescent="0.2">
      <c r="A48" s="113" t="s">
        <v>210</v>
      </c>
      <c r="B48" s="114" t="s">
        <v>211</v>
      </c>
      <c r="C48" s="115"/>
      <c r="D48" s="115"/>
      <c r="H48" s="111"/>
      <c r="I48" s="111"/>
    </row>
    <row r="49" spans="1:10" s="110" customFormat="1" ht="12" x14ac:dyDescent="0.2">
      <c r="A49" s="113" t="s">
        <v>212</v>
      </c>
      <c r="B49" s="114" t="s">
        <v>213</v>
      </c>
      <c r="C49" s="115"/>
      <c r="D49" s="115"/>
      <c r="H49" s="111"/>
      <c r="I49" s="111"/>
    </row>
    <row r="50" spans="1:10" s="110" customFormat="1" ht="12" x14ac:dyDescent="0.2">
      <c r="A50" s="113" t="s">
        <v>214</v>
      </c>
      <c r="B50" s="114" t="s">
        <v>215</v>
      </c>
      <c r="C50" s="115"/>
      <c r="D50" s="115"/>
      <c r="H50" s="111"/>
      <c r="I50" s="111"/>
    </row>
    <row r="51" spans="1:10" s="110" customFormat="1" ht="12" x14ac:dyDescent="0.2">
      <c r="A51" s="113" t="s">
        <v>216</v>
      </c>
      <c r="B51" s="114" t="s">
        <v>217</v>
      </c>
      <c r="C51" s="115"/>
      <c r="D51" s="115"/>
      <c r="H51" s="111"/>
      <c r="I51" s="111">
        <v>101307876.56999999</v>
      </c>
      <c r="J51" s="110">
        <v>26</v>
      </c>
    </row>
    <row r="52" spans="1:10" s="110" customFormat="1" ht="12" x14ac:dyDescent="0.2">
      <c r="A52" s="113" t="s">
        <v>218</v>
      </c>
      <c r="B52" s="114" t="s">
        <v>219</v>
      </c>
      <c r="C52" s="115"/>
      <c r="D52" s="115"/>
      <c r="H52" s="111"/>
      <c r="I52" s="111"/>
    </row>
    <row r="53" spans="1:10" s="110" customFormat="1" ht="12" x14ac:dyDescent="0.2">
      <c r="A53" s="113" t="s">
        <v>175</v>
      </c>
      <c r="B53" s="114" t="s">
        <v>220</v>
      </c>
      <c r="C53" s="115"/>
      <c r="D53" s="115"/>
      <c r="H53" s="111"/>
      <c r="I53" s="111"/>
    </row>
    <row r="54" spans="1:10" s="110" customFormat="1" ht="12" x14ac:dyDescent="0.2">
      <c r="A54" s="113" t="s">
        <v>177</v>
      </c>
      <c r="B54" s="114" t="s">
        <v>221</v>
      </c>
      <c r="C54" s="115"/>
      <c r="D54" s="115"/>
      <c r="H54" s="111"/>
      <c r="I54" s="111"/>
    </row>
    <row r="55" spans="1:10" s="110" customFormat="1" ht="24" x14ac:dyDescent="0.2">
      <c r="A55" s="113" t="s">
        <v>222</v>
      </c>
      <c r="B55" s="114" t="s">
        <v>223</v>
      </c>
      <c r="C55" s="115">
        <f>SUM(C57:C69)</f>
        <v>556691.77665999997</v>
      </c>
      <c r="D55" s="115">
        <f>SUM(D57:D69)</f>
        <v>0</v>
      </c>
      <c r="H55" s="111"/>
      <c r="I55" s="111"/>
    </row>
    <row r="56" spans="1:10" s="110" customFormat="1" ht="12" x14ac:dyDescent="0.2">
      <c r="A56" s="113" t="s">
        <v>166</v>
      </c>
      <c r="B56" s="116"/>
      <c r="C56" s="115"/>
      <c r="D56" s="115"/>
      <c r="H56" s="111"/>
      <c r="I56" s="111"/>
    </row>
    <row r="57" spans="1:10" s="110" customFormat="1" ht="12" x14ac:dyDescent="0.2">
      <c r="A57" s="113" t="s">
        <v>224</v>
      </c>
      <c r="B57" s="114" t="s">
        <v>225</v>
      </c>
      <c r="C57" s="115">
        <f>E57</f>
        <v>515015.49666</v>
      </c>
      <c r="D57" s="115"/>
      <c r="E57" s="110">
        <v>515015.49666</v>
      </c>
      <c r="H57" s="111"/>
      <c r="I57" s="111"/>
    </row>
    <row r="58" spans="1:10" s="110" customFormat="1" ht="12" x14ac:dyDescent="0.2">
      <c r="A58" s="113" t="s">
        <v>226</v>
      </c>
      <c r="B58" s="114" t="s">
        <v>227</v>
      </c>
      <c r="C58" s="115">
        <f>E58</f>
        <v>29550.080000000002</v>
      </c>
      <c r="D58" s="115"/>
      <c r="E58" s="110">
        <v>29550.080000000002</v>
      </c>
      <c r="H58" s="111"/>
      <c r="I58" s="111"/>
    </row>
    <row r="59" spans="1:10" s="110" customFormat="1" ht="12" x14ac:dyDescent="0.2">
      <c r="A59" s="113" t="s">
        <v>228</v>
      </c>
      <c r="B59" s="114" t="s">
        <v>229</v>
      </c>
      <c r="C59" s="115"/>
      <c r="D59" s="115"/>
      <c r="E59" s="110">
        <v>12126</v>
      </c>
      <c r="H59" s="111"/>
      <c r="I59" s="111"/>
    </row>
    <row r="60" spans="1:10" s="110" customFormat="1" ht="36" x14ac:dyDescent="0.2">
      <c r="A60" s="113" t="s">
        <v>230</v>
      </c>
      <c r="B60" s="114" t="s">
        <v>231</v>
      </c>
      <c r="C60" s="115"/>
      <c r="D60" s="115"/>
      <c r="H60" s="111"/>
      <c r="I60" s="111"/>
    </row>
    <row r="61" spans="1:10" s="110" customFormat="1" ht="12" x14ac:dyDescent="0.2">
      <c r="A61" s="113" t="s">
        <v>232</v>
      </c>
      <c r="B61" s="114" t="s">
        <v>233</v>
      </c>
      <c r="C61" s="115"/>
      <c r="D61" s="115"/>
      <c r="H61" s="111"/>
      <c r="I61" s="111">
        <v>2595156649.7400002</v>
      </c>
      <c r="J61" s="110">
        <v>21</v>
      </c>
    </row>
    <row r="62" spans="1:10" s="110" customFormat="1" ht="12" x14ac:dyDescent="0.2">
      <c r="A62" s="113" t="s">
        <v>234</v>
      </c>
      <c r="B62" s="114" t="s">
        <v>235</v>
      </c>
      <c r="C62" s="115"/>
      <c r="D62" s="115"/>
      <c r="H62" s="111"/>
      <c r="I62" s="111">
        <v>454649192.25</v>
      </c>
      <c r="J62" s="110">
        <v>23</v>
      </c>
    </row>
    <row r="63" spans="1:10" s="110" customFormat="1" ht="12" x14ac:dyDescent="0.2">
      <c r="A63" s="113" t="s">
        <v>236</v>
      </c>
      <c r="B63" s="114" t="s">
        <v>237</v>
      </c>
      <c r="C63" s="115">
        <f>I25/1000</f>
        <v>12126.2</v>
      </c>
      <c r="D63" s="115"/>
      <c r="H63" s="111"/>
      <c r="I63" s="111">
        <v>21762895.34</v>
      </c>
      <c r="J63" s="110">
        <v>27</v>
      </c>
    </row>
    <row r="64" spans="1:10" s="110" customFormat="1" ht="12" x14ac:dyDescent="0.2">
      <c r="A64" s="113" t="s">
        <v>187</v>
      </c>
      <c r="B64" s="114" t="s">
        <v>238</v>
      </c>
      <c r="C64" s="115"/>
      <c r="D64" s="115"/>
      <c r="H64" s="111"/>
      <c r="I64" s="111"/>
    </row>
    <row r="65" spans="1:10" s="110" customFormat="1" ht="12" x14ac:dyDescent="0.2">
      <c r="A65" s="113" t="s">
        <v>239</v>
      </c>
      <c r="B65" s="114" t="s">
        <v>240</v>
      </c>
      <c r="C65" s="115"/>
      <c r="D65" s="115"/>
      <c r="H65" s="111"/>
      <c r="I65" s="111"/>
    </row>
    <row r="66" spans="1:10" s="110" customFormat="1" ht="12" x14ac:dyDescent="0.2">
      <c r="A66" s="113" t="s">
        <v>241</v>
      </c>
      <c r="B66" s="114" t="s">
        <v>242</v>
      </c>
      <c r="C66" s="115"/>
      <c r="D66" s="115"/>
      <c r="H66" s="111"/>
      <c r="I66" s="111"/>
    </row>
    <row r="67" spans="1:10" s="110" customFormat="1" ht="12" x14ac:dyDescent="0.2">
      <c r="A67" s="113" t="s">
        <v>216</v>
      </c>
      <c r="B67" s="114" t="s">
        <v>243</v>
      </c>
      <c r="C67" s="115"/>
      <c r="D67" s="115"/>
      <c r="H67" s="111">
        <v>432807587.46999997</v>
      </c>
      <c r="I67" s="111"/>
      <c r="J67" s="110">
        <v>13</v>
      </c>
    </row>
    <row r="68" spans="1:10" s="110" customFormat="1" ht="12" x14ac:dyDescent="0.2">
      <c r="A68" s="113" t="s">
        <v>244</v>
      </c>
      <c r="B68" s="114" t="s">
        <v>245</v>
      </c>
      <c r="C68" s="115"/>
      <c r="D68" s="115"/>
      <c r="H68" s="111"/>
      <c r="I68" s="111"/>
    </row>
    <row r="69" spans="1:10" s="110" customFormat="1" ht="12" x14ac:dyDescent="0.2">
      <c r="A69" s="113" t="s">
        <v>193</v>
      </c>
      <c r="B69" s="114" t="s">
        <v>246</v>
      </c>
      <c r="C69" s="115"/>
      <c r="D69" s="115"/>
      <c r="H69" s="111">
        <v>31926208.77</v>
      </c>
      <c r="I69" s="111"/>
      <c r="J69" s="110">
        <v>16</v>
      </c>
    </row>
    <row r="70" spans="1:10" s="110" customFormat="1" ht="24" x14ac:dyDescent="0.2">
      <c r="A70" s="113" t="s">
        <v>247</v>
      </c>
      <c r="B70" s="114" t="s">
        <v>248</v>
      </c>
      <c r="C70" s="115">
        <f>C41-C55</f>
        <v>-556691.77665999997</v>
      </c>
      <c r="D70" s="115">
        <f>D41-D55</f>
        <v>0</v>
      </c>
      <c r="H70" s="111"/>
      <c r="I70" s="111"/>
    </row>
    <row r="71" spans="1:10" s="110" customFormat="1" ht="12" x14ac:dyDescent="0.2">
      <c r="A71" s="143" t="s">
        <v>249</v>
      </c>
      <c r="B71" s="143"/>
      <c r="C71" s="143"/>
      <c r="D71" s="143"/>
      <c r="H71" s="111"/>
      <c r="I71" s="111"/>
    </row>
    <row r="72" spans="1:10" s="110" customFormat="1" ht="24" x14ac:dyDescent="0.2">
      <c r="A72" s="113" t="s">
        <v>250</v>
      </c>
      <c r="B72" s="114" t="s">
        <v>251</v>
      </c>
      <c r="C72" s="115">
        <f>SUM(C74:C77)</f>
        <v>0</v>
      </c>
      <c r="D72" s="115">
        <f>SUM(D74:D77)</f>
        <v>0</v>
      </c>
      <c r="H72" s="111"/>
      <c r="I72" s="111">
        <v>70438600.459999993</v>
      </c>
      <c r="J72" s="110">
        <v>27</v>
      </c>
    </row>
    <row r="73" spans="1:10" s="110" customFormat="1" ht="12" x14ac:dyDescent="0.2">
      <c r="A73" s="113" t="s">
        <v>166</v>
      </c>
      <c r="B73" s="116"/>
      <c r="C73" s="115"/>
      <c r="D73" s="115"/>
      <c r="H73" s="111"/>
      <c r="I73" s="111"/>
    </row>
    <row r="74" spans="1:10" s="110" customFormat="1" ht="12" x14ac:dyDescent="0.2">
      <c r="A74" s="113" t="s">
        <v>252</v>
      </c>
      <c r="B74" s="114" t="s">
        <v>253</v>
      </c>
      <c r="C74" s="115"/>
      <c r="D74" s="115"/>
      <c r="H74" s="111"/>
      <c r="I74" s="111"/>
    </row>
    <row r="75" spans="1:10" s="110" customFormat="1" ht="12" x14ac:dyDescent="0.2">
      <c r="A75" s="113" t="s">
        <v>254</v>
      </c>
      <c r="B75" s="114" t="s">
        <v>255</v>
      </c>
      <c r="C75" s="115"/>
      <c r="D75" s="115"/>
      <c r="H75" s="111"/>
      <c r="I75" s="111"/>
    </row>
    <row r="76" spans="1:10" s="110" customFormat="1" ht="12" x14ac:dyDescent="0.2">
      <c r="A76" s="113" t="s">
        <v>175</v>
      </c>
      <c r="B76" s="114" t="s">
        <v>256</v>
      </c>
      <c r="C76" s="115"/>
      <c r="D76" s="115"/>
      <c r="H76" s="111">
        <v>4836208273.3699999</v>
      </c>
      <c r="I76" s="111">
        <v>4378508145.5799999</v>
      </c>
    </row>
    <row r="77" spans="1:10" s="110" customFormat="1" ht="12" x14ac:dyDescent="0.2">
      <c r="A77" s="113" t="s">
        <v>177</v>
      </c>
      <c r="B77" s="114" t="s">
        <v>257</v>
      </c>
      <c r="C77" s="115"/>
      <c r="D77" s="115"/>
      <c r="H77" s="111">
        <v>704836289.43000031</v>
      </c>
      <c r="I77" s="111"/>
    </row>
    <row r="78" spans="1:10" s="110" customFormat="1" ht="24" x14ac:dyDescent="0.2">
      <c r="A78" s="113" t="s">
        <v>258</v>
      </c>
      <c r="B78" s="114">
        <v>100</v>
      </c>
      <c r="C78" s="115">
        <f>SUM(C80:C84)</f>
        <v>0</v>
      </c>
      <c r="D78" s="115">
        <f>SUM(D80:D84)</f>
        <v>0</v>
      </c>
      <c r="H78" s="111">
        <v>704836289.42999995</v>
      </c>
      <c r="I78" s="111"/>
    </row>
    <row r="79" spans="1:10" s="110" customFormat="1" ht="12" x14ac:dyDescent="0.2">
      <c r="A79" s="113" t="s">
        <v>166</v>
      </c>
      <c r="B79" s="116"/>
      <c r="C79" s="115"/>
      <c r="D79" s="115"/>
      <c r="H79" s="111">
        <v>0</v>
      </c>
      <c r="I79" s="111"/>
    </row>
    <row r="80" spans="1:10" s="110" customFormat="1" ht="12" x14ac:dyDescent="0.2">
      <c r="A80" s="113" t="s">
        <v>259</v>
      </c>
      <c r="B80" s="114">
        <v>101</v>
      </c>
      <c r="C80" s="115"/>
      <c r="D80" s="115"/>
      <c r="H80" s="111"/>
      <c r="I80" s="111"/>
    </row>
    <row r="81" spans="1:9" s="110" customFormat="1" ht="12" x14ac:dyDescent="0.2">
      <c r="A81" s="113" t="s">
        <v>187</v>
      </c>
      <c r="B81" s="114">
        <v>102</v>
      </c>
      <c r="C81" s="115"/>
      <c r="D81" s="115"/>
      <c r="H81" s="111"/>
      <c r="I81" s="111"/>
    </row>
    <row r="82" spans="1:9" s="110" customFormat="1" ht="12" x14ac:dyDescent="0.2">
      <c r="A82" s="113" t="s">
        <v>260</v>
      </c>
      <c r="B82" s="114">
        <v>103</v>
      </c>
      <c r="C82" s="115"/>
      <c r="D82" s="115"/>
      <c r="H82" s="111"/>
      <c r="I82" s="111"/>
    </row>
    <row r="83" spans="1:9" s="110" customFormat="1" ht="12" x14ac:dyDescent="0.2">
      <c r="A83" s="113" t="s">
        <v>261</v>
      </c>
      <c r="B83" s="114">
        <v>104</v>
      </c>
      <c r="C83" s="115"/>
      <c r="D83" s="115"/>
      <c r="H83" s="111"/>
      <c r="I83" s="111"/>
    </row>
    <row r="84" spans="1:9" s="110" customFormat="1" ht="12" x14ac:dyDescent="0.2">
      <c r="A84" s="113" t="s">
        <v>262</v>
      </c>
      <c r="B84" s="114">
        <v>105</v>
      </c>
      <c r="C84" s="115"/>
      <c r="D84" s="115"/>
      <c r="H84" s="111"/>
      <c r="I84" s="111"/>
    </row>
    <row r="85" spans="1:9" s="110" customFormat="1" ht="24" x14ac:dyDescent="0.2">
      <c r="A85" s="113" t="s">
        <v>263</v>
      </c>
      <c r="B85" s="114">
        <v>110</v>
      </c>
      <c r="C85" s="115">
        <f>C72-C78</f>
        <v>0</v>
      </c>
      <c r="D85" s="115">
        <f>D72-D78</f>
        <v>0</v>
      </c>
      <c r="H85" s="111"/>
      <c r="I85" s="111"/>
    </row>
    <row r="86" spans="1:9" s="110" customFormat="1" ht="12" x14ac:dyDescent="0.2">
      <c r="A86" s="113" t="s">
        <v>264</v>
      </c>
      <c r="B86" s="114">
        <v>120</v>
      </c>
      <c r="C86" s="115"/>
      <c r="D86" s="115"/>
      <c r="H86" s="111"/>
      <c r="I86" s="111"/>
    </row>
    <row r="87" spans="1:9" s="110" customFormat="1" ht="24" x14ac:dyDescent="0.2">
      <c r="A87" s="113" t="s">
        <v>265</v>
      </c>
      <c r="B87" s="114">
        <v>130</v>
      </c>
      <c r="C87" s="115"/>
      <c r="D87" s="115"/>
      <c r="H87" s="111"/>
      <c r="I87" s="111"/>
    </row>
    <row r="88" spans="1:9" s="110" customFormat="1" ht="24" x14ac:dyDescent="0.2">
      <c r="A88" s="113" t="s">
        <v>266</v>
      </c>
      <c r="B88" s="114">
        <v>140</v>
      </c>
      <c r="C88" s="115">
        <f>C39+C70+C85+C86+C87</f>
        <v>470937.1992199989</v>
      </c>
      <c r="D88" s="115">
        <f>D39+D70+D85+D86+D87</f>
        <v>0</v>
      </c>
      <c r="H88" s="111"/>
      <c r="I88" s="111"/>
    </row>
    <row r="89" spans="1:9" s="110" customFormat="1" ht="24" x14ac:dyDescent="0.2">
      <c r="A89" s="113" t="s">
        <v>267</v>
      </c>
      <c r="B89" s="114">
        <v>150</v>
      </c>
      <c r="C89" s="115">
        <f>H16/1000</f>
        <v>247136.16163999998</v>
      </c>
      <c r="D89" s="115"/>
      <c r="H89" s="111"/>
      <c r="I89" s="111"/>
    </row>
    <row r="90" spans="1:9" s="110" customFormat="1" ht="24" x14ac:dyDescent="0.2">
      <c r="A90" s="113" t="s">
        <v>268</v>
      </c>
      <c r="B90" s="114">
        <v>160</v>
      </c>
      <c r="C90" s="115">
        <f>SUM(C88:C89)</f>
        <v>718073.36085999885</v>
      </c>
      <c r="D90" s="115"/>
      <c r="H90" s="111"/>
      <c r="I90" s="111"/>
    </row>
    <row r="91" spans="1:9" s="110" customFormat="1" ht="12" x14ac:dyDescent="0.2">
      <c r="A91" s="144"/>
      <c r="B91" s="144"/>
      <c r="C91" s="144"/>
      <c r="D91" s="144"/>
      <c r="H91" s="111"/>
      <c r="I91" s="111"/>
    </row>
    <row r="92" spans="1:9" s="110" customFormat="1" ht="12" x14ac:dyDescent="0.2">
      <c r="A92" s="141" t="s">
        <v>269</v>
      </c>
      <c r="B92" s="141"/>
      <c r="C92" s="141"/>
      <c r="D92" s="141"/>
      <c r="H92" s="111"/>
      <c r="I92" s="111"/>
    </row>
    <row r="93" spans="1:9" s="110" customFormat="1" ht="12" x14ac:dyDescent="0.2">
      <c r="A93" s="141" t="s">
        <v>270</v>
      </c>
      <c r="B93" s="141"/>
      <c r="C93" s="141"/>
      <c r="D93" s="141"/>
      <c r="H93" s="111"/>
      <c r="I93" s="111"/>
    </row>
    <row r="94" spans="1:9" s="110" customFormat="1" ht="12" x14ac:dyDescent="0.2">
      <c r="A94" s="141" t="s">
        <v>271</v>
      </c>
      <c r="B94" s="141"/>
      <c r="C94" s="141"/>
      <c r="D94" s="141"/>
      <c r="H94" s="111"/>
      <c r="I94" s="111"/>
    </row>
    <row r="95" spans="1:9" s="110" customFormat="1" ht="12" x14ac:dyDescent="0.2">
      <c r="A95" s="141" t="s">
        <v>272</v>
      </c>
      <c r="B95" s="141"/>
      <c r="C95" s="141"/>
      <c r="D95" s="141"/>
      <c r="H95" s="111"/>
      <c r="I95" s="111"/>
    </row>
    <row r="96" spans="1:9" s="110" customFormat="1" ht="12" x14ac:dyDescent="0.2">
      <c r="A96" s="141"/>
      <c r="B96" s="141"/>
      <c r="C96" s="141"/>
      <c r="D96" s="141"/>
      <c r="H96" s="111"/>
      <c r="I96" s="111"/>
    </row>
    <row r="97" spans="1:9" s="110" customFormat="1" ht="12" x14ac:dyDescent="0.2">
      <c r="A97" s="141" t="s">
        <v>273</v>
      </c>
      <c r="B97" s="141"/>
      <c r="C97" s="141"/>
      <c r="D97" s="141"/>
      <c r="H97" s="111"/>
      <c r="I97" s="111"/>
    </row>
    <row r="98" spans="1:9" s="110" customFormat="1" ht="12" x14ac:dyDescent="0.2">
      <c r="A98" s="117"/>
      <c r="H98" s="111"/>
      <c r="I98" s="111"/>
    </row>
    <row r="99" spans="1:9" s="110" customFormat="1" ht="12" x14ac:dyDescent="0.2">
      <c r="A99" s="118"/>
      <c r="H99" s="111"/>
      <c r="I99" s="111"/>
    </row>
  </sheetData>
  <mergeCells count="29">
    <mergeCell ref="A93:D93"/>
    <mergeCell ref="A94:D94"/>
    <mergeCell ref="A95:D95"/>
    <mergeCell ref="A96:D96"/>
    <mergeCell ref="A97:D97"/>
    <mergeCell ref="A92:D92"/>
    <mergeCell ref="A13:D13"/>
    <mergeCell ref="A14:D14"/>
    <mergeCell ref="A15:D15"/>
    <mergeCell ref="A16:D16"/>
    <mergeCell ref="A17:D17"/>
    <mergeCell ref="A18:D18"/>
    <mergeCell ref="A19:D19"/>
    <mergeCell ref="A21:D21"/>
    <mergeCell ref="A40:D40"/>
    <mergeCell ref="A71:D71"/>
    <mergeCell ref="A91:D91"/>
    <mergeCell ref="A12:D12"/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1:D11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47CA6-ED95-4281-B8FC-FAC3E5FF913C}">
  <sheetPr>
    <pageSetUpPr fitToPage="1"/>
  </sheetPr>
  <dimension ref="A1:E16"/>
  <sheetViews>
    <sheetView workbookViewId="0">
      <selection activeCell="E31" sqref="E31"/>
    </sheetView>
  </sheetViews>
  <sheetFormatPr defaultRowHeight="15" x14ac:dyDescent="0.25"/>
  <cols>
    <col min="1" max="1" width="34.42578125" customWidth="1"/>
    <col min="3" max="5" width="18" customWidth="1"/>
  </cols>
  <sheetData>
    <row r="1" spans="1:5" x14ac:dyDescent="0.25">
      <c r="A1" s="124" t="s">
        <v>135</v>
      </c>
      <c r="B1" s="124"/>
      <c r="C1" s="124"/>
      <c r="D1" s="124"/>
      <c r="E1" s="124"/>
    </row>
    <row r="2" spans="1:5" ht="47.25" customHeight="1" x14ac:dyDescent="0.25">
      <c r="A2" s="123" t="s">
        <v>138</v>
      </c>
      <c r="B2" s="123"/>
      <c r="C2" s="123"/>
      <c r="D2" s="123"/>
      <c r="E2" s="82"/>
    </row>
    <row r="3" spans="1:5" x14ac:dyDescent="0.25">
      <c r="A3" s="46"/>
    </row>
    <row r="4" spans="1:5" x14ac:dyDescent="0.25">
      <c r="A4" s="16"/>
      <c r="B4" s="16"/>
      <c r="C4" s="16"/>
      <c r="D4" s="4"/>
      <c r="E4" s="16"/>
    </row>
    <row r="5" spans="1:5" x14ac:dyDescent="0.25">
      <c r="A5" s="16"/>
      <c r="B5" s="16"/>
      <c r="E5" s="16"/>
    </row>
    <row r="6" spans="1:5" ht="34.5" thickBot="1" x14ac:dyDescent="0.3">
      <c r="A6" s="2" t="s">
        <v>70</v>
      </c>
      <c r="B6" s="4" t="s">
        <v>1</v>
      </c>
      <c r="C6" s="47" t="s">
        <v>52</v>
      </c>
      <c r="D6" s="47" t="s">
        <v>112</v>
      </c>
      <c r="E6" s="47" t="s">
        <v>108</v>
      </c>
    </row>
    <row r="7" spans="1:5" x14ac:dyDescent="0.25">
      <c r="A7" s="37" t="s">
        <v>109</v>
      </c>
      <c r="B7" s="35"/>
      <c r="C7" s="49">
        <v>130000</v>
      </c>
      <c r="D7" s="49">
        <v>-32779</v>
      </c>
      <c r="E7" s="49">
        <v>97221</v>
      </c>
    </row>
    <row r="8" spans="1:5" x14ac:dyDescent="0.25">
      <c r="A8" s="36" t="s">
        <v>110</v>
      </c>
      <c r="B8" s="35"/>
      <c r="C8" s="65" t="s">
        <v>21</v>
      </c>
      <c r="D8" s="65">
        <v>642399</v>
      </c>
      <c r="E8" s="65">
        <v>642399</v>
      </c>
    </row>
    <row r="9" spans="1:5" ht="15.75" thickBot="1" x14ac:dyDescent="0.3">
      <c r="A9" s="36" t="s">
        <v>92</v>
      </c>
      <c r="B9" s="8" t="s">
        <v>53</v>
      </c>
      <c r="C9" s="25">
        <v>5370000</v>
      </c>
      <c r="D9" s="25"/>
      <c r="E9" s="25">
        <v>5370000</v>
      </c>
    </row>
    <row r="10" spans="1:5" x14ac:dyDescent="0.25">
      <c r="A10" s="37" t="s">
        <v>111</v>
      </c>
      <c r="B10" s="35"/>
      <c r="C10" s="26">
        <f>SUM(C7:C9)</f>
        <v>5500000</v>
      </c>
      <c r="D10" s="26">
        <f>SUM(D7:D9)</f>
        <v>609620</v>
      </c>
      <c r="E10" s="26">
        <f t="shared" ref="E10" si="0">SUM(E7:E9)</f>
        <v>6109620</v>
      </c>
    </row>
    <row r="11" spans="1:5" x14ac:dyDescent="0.25">
      <c r="A11" s="74" t="s">
        <v>134</v>
      </c>
      <c r="B11" s="73"/>
      <c r="C11" s="26"/>
      <c r="D11" s="23">
        <v>4003</v>
      </c>
      <c r="E11" s="23">
        <f>C11+D11</f>
        <v>4003</v>
      </c>
    </row>
    <row r="12" spans="1:5" x14ac:dyDescent="0.25">
      <c r="A12" s="36" t="s">
        <v>110</v>
      </c>
      <c r="B12" s="35"/>
      <c r="C12" s="23" t="s">
        <v>21</v>
      </c>
      <c r="D12" s="23">
        <f>'ОДР и ПСД'!C19</f>
        <v>2058109.5591899999</v>
      </c>
      <c r="E12" s="23">
        <f>SUM(C12:D12)</f>
        <v>2058109.5591899999</v>
      </c>
    </row>
    <row r="13" spans="1:5" ht="15.75" thickBot="1" x14ac:dyDescent="0.3">
      <c r="A13" s="36" t="s">
        <v>92</v>
      </c>
      <c r="B13" s="8" t="s">
        <v>53</v>
      </c>
      <c r="C13" s="24" t="s">
        <v>21</v>
      </c>
      <c r="D13" s="64" t="s">
        <v>21</v>
      </c>
      <c r="E13" s="24"/>
    </row>
    <row r="14" spans="1:5" ht="15.75" thickBot="1" x14ac:dyDescent="0.3">
      <c r="A14" s="37" t="s">
        <v>116</v>
      </c>
      <c r="B14" s="35"/>
      <c r="C14" s="27">
        <f>SUM(C10:C13)</f>
        <v>5500000</v>
      </c>
      <c r="D14" s="27">
        <f>D10+D11+D12</f>
        <v>2671732.5591899999</v>
      </c>
      <c r="E14" s="27">
        <f>E10+E12+E13+E11</f>
        <v>8171732.5591899995</v>
      </c>
    </row>
    <row r="15" spans="1:5" ht="15.75" thickTop="1" x14ac:dyDescent="0.25">
      <c r="A15" s="48"/>
      <c r="C15" s="20"/>
      <c r="D15" s="20"/>
      <c r="E15" s="20"/>
    </row>
    <row r="16" spans="1:5" x14ac:dyDescent="0.25">
      <c r="C16" s="20"/>
      <c r="D16" s="20"/>
      <c r="E16" s="20"/>
    </row>
  </sheetData>
  <mergeCells count="2">
    <mergeCell ref="A1:E1"/>
    <mergeCell ref="A2:D2"/>
  </mergeCells>
  <pageMargins left="0.70866141732283472" right="0.31496062992125984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ОФП</vt:lpstr>
      <vt:lpstr>ОДР и ПСД</vt:lpstr>
      <vt:lpstr>ОДДС-К</vt:lpstr>
      <vt:lpstr>ОДДС-К (2)</vt:lpstr>
      <vt:lpstr>Ф.3-ДДС-П</vt:lpstr>
      <vt:lpstr>ОИК</vt:lpstr>
      <vt:lpstr>'Ф.3-ДДС-П'!Область_печати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Алия Кустанова</dc:creator>
  <cp:lastModifiedBy>Алия Кустанова</cp:lastModifiedBy>
  <cp:lastPrinted>2021-11-10T05:16:29Z</cp:lastPrinted>
  <dcterms:created xsi:type="dcterms:W3CDTF">2021-08-20T06:10:20Z</dcterms:created>
  <dcterms:modified xsi:type="dcterms:W3CDTF">2021-11-25T10:45:13Z</dcterms:modified>
</cp:coreProperties>
</file>