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4capital-my.sharepoint.com/personal/aliya_kustanova_e4-capital_kz/Documents/Рабочий стол/Desktop/Фин. отчетность/2022/"/>
    </mc:Choice>
  </mc:AlternateContent>
  <xr:revisionPtr revIDLastSave="349" documentId="8_{3C037264-8F64-407C-8EF7-B627F3B4D969}" xr6:coauthVersionLast="45" xr6:coauthVersionMax="47" xr10:uidLastSave="{5F37A076-2459-42B0-BBB7-902C14012DE1}"/>
  <bookViews>
    <workbookView xWindow="-108" yWindow="-108" windowWidth="23256" windowHeight="12576" activeTab="3" xr2:uid="{7A91306D-1A52-4F02-891D-526B79E580FC}"/>
  </bookViews>
  <sheets>
    <sheet name="ОФП" sheetId="2" r:id="rId1"/>
    <sheet name="ОДР и ПСД" sheetId="1" r:id="rId2"/>
    <sheet name="ОДДС-К" sheetId="3" state="hidden" r:id="rId3"/>
    <sheet name="ОДДС_К" sheetId="5" r:id="rId4"/>
    <sheet name="Ф.3-ДДС-П" sheetId="7" state="hidden" r:id="rId5"/>
    <sheet name="ОИК" sheetId="4" r:id="rId6"/>
  </sheets>
  <definedNames>
    <definedName name="_xlnm.Print_Area" localSheetId="4">'Ф.3-ДДС-П'!$A$1:$D$97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5" l="1"/>
  <c r="C26" i="5" l="1"/>
  <c r="C20" i="5"/>
  <c r="C23" i="1" l="1"/>
  <c r="C43" i="2"/>
  <c r="D43" i="2"/>
  <c r="D17" i="1" l="1"/>
  <c r="C13" i="1"/>
  <c r="C17" i="1" s="1"/>
  <c r="C6" i="1"/>
  <c r="C16" i="1"/>
  <c r="C11" i="4"/>
  <c r="D90" i="7"/>
  <c r="D57" i="7"/>
  <c r="D22" i="7"/>
  <c r="C89" i="7"/>
  <c r="D78" i="7"/>
  <c r="D85" i="7" s="1"/>
  <c r="C78" i="7"/>
  <c r="D72" i="7"/>
  <c r="C72" i="7"/>
  <c r="C63" i="7"/>
  <c r="C55" i="7" s="1"/>
  <c r="C57" i="7"/>
  <c r="D55" i="7"/>
  <c r="D41" i="7"/>
  <c r="C41" i="7"/>
  <c r="C38" i="7"/>
  <c r="C37" i="7"/>
  <c r="C34" i="7"/>
  <c r="C33" i="7"/>
  <c r="C32" i="7"/>
  <c r="D30" i="7"/>
  <c r="C29" i="7"/>
  <c r="C28" i="7"/>
  <c r="C26" i="7"/>
  <c r="C24" i="7"/>
  <c r="C30" i="7" l="1"/>
  <c r="C22" i="7"/>
  <c r="C39" i="7" s="1"/>
  <c r="C88" i="7" s="1"/>
  <c r="C90" i="7" s="1"/>
  <c r="D39" i="7"/>
  <c r="C70" i="7"/>
  <c r="C85" i="7"/>
  <c r="D70" i="7"/>
  <c r="D88" i="7" l="1"/>
  <c r="C11" i="1" l="1"/>
  <c r="C5" i="1"/>
  <c r="C13" i="2"/>
  <c r="C20" i="2"/>
  <c r="C19" i="2"/>
  <c r="C17" i="2"/>
  <c r="C7" i="2"/>
  <c r="C37" i="2"/>
  <c r="C39" i="2" s="1"/>
  <c r="C21" i="2" l="1"/>
  <c r="C35" i="5"/>
  <c r="D40" i="5"/>
  <c r="C40" i="5"/>
  <c r="D35" i="5"/>
  <c r="C43" i="5"/>
  <c r="C21" i="5"/>
  <c r="C19" i="5"/>
  <c r="C18" i="5"/>
  <c r="D17" i="5"/>
  <c r="D24" i="5" s="1"/>
  <c r="D28" i="5" s="1"/>
  <c r="C10" i="5"/>
  <c r="C9" i="5"/>
  <c r="C31" i="3"/>
  <c r="C21" i="3"/>
  <c r="C32" i="3"/>
  <c r="C34" i="3"/>
  <c r="C35" i="3"/>
  <c r="K31" i="3"/>
  <c r="C19" i="3"/>
  <c r="C18" i="3"/>
  <c r="D7" i="1"/>
  <c r="D13" i="1" s="1"/>
  <c r="D19" i="1" s="1"/>
  <c r="D21" i="1" s="1"/>
  <c r="D42" i="5" l="1"/>
  <c r="D45" i="5" s="1"/>
  <c r="C22" i="5"/>
  <c r="C22" i="3"/>
  <c r="C33" i="3"/>
  <c r="J27" i="3"/>
  <c r="C25" i="3" s="1"/>
  <c r="J22" i="3"/>
  <c r="C15" i="3" s="1"/>
  <c r="C43" i="3" s="1"/>
  <c r="K21" i="3"/>
  <c r="J21" i="3"/>
  <c r="J15" i="3" l="1"/>
  <c r="C11" i="3" s="1"/>
  <c r="C20" i="3" l="1"/>
  <c r="C7" i="1"/>
  <c r="C14" i="2" l="1"/>
  <c r="D14" i="2"/>
  <c r="D21" i="2"/>
  <c r="C27" i="2"/>
  <c r="D27" i="2"/>
  <c r="D41" i="2" s="1"/>
  <c r="C32" i="2"/>
  <c r="C40" i="2" s="1"/>
  <c r="D32" i="2"/>
  <c r="D39" i="2"/>
  <c r="C41" i="2" l="1"/>
  <c r="D22" i="2"/>
  <c r="C22" i="2"/>
  <c r="D17" i="3" l="1"/>
  <c r="D24" i="3" s="1"/>
  <c r="D28" i="3" s="1"/>
  <c r="C40" i="3"/>
  <c r="D40" i="3"/>
  <c r="D35" i="3"/>
  <c r="C10" i="3"/>
  <c r="C9" i="3"/>
  <c r="D42" i="3" l="1"/>
  <c r="D45" i="3"/>
  <c r="C44" i="3" s="1"/>
  <c r="C7" i="5"/>
  <c r="C17" i="5" s="1"/>
  <c r="C24" i="5" s="1"/>
  <c r="C28" i="5" s="1"/>
  <c r="C42" i="5" s="1"/>
  <c r="C45" i="5" s="1"/>
  <c r="C19" i="1" l="1"/>
  <c r="C7" i="3"/>
  <c r="C17" i="3" s="1"/>
  <c r="C24" i="3" l="1"/>
  <c r="C28" i="3" s="1"/>
  <c r="C42" i="3" s="1"/>
  <c r="C45" i="3" s="1"/>
  <c r="C21" i="1"/>
  <c r="D10" i="4" l="1"/>
  <c r="E8" i="4"/>
  <c r="D11" i="4" l="1"/>
  <c r="E10" i="4"/>
  <c r="E11" i="4" s="1"/>
  <c r="C7" i="4"/>
  <c r="E7" i="4"/>
  <c r="D7" i="4"/>
</calcChain>
</file>

<file path=xl/sharedStrings.xml><?xml version="1.0" encoding="utf-8"?>
<sst xmlns="http://schemas.openxmlformats.org/spreadsheetml/2006/main" count="375" uniqueCount="272">
  <si>
    <t>тыс. тенге (если не указано иное)</t>
  </si>
  <si>
    <t>Прим.</t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</si>
  <si>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</si>
  <si>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</si>
  <si>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</si>
  <si>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</si>
  <si>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</si>
  <si>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</si>
  <si>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</si>
  <si>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</si>
  <si>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</si>
  <si>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</si>
  <si>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</si>
  <si>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</si>
  <si>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</si>
  <si>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(убыток) до налогообложения</t>
  </si>
  <si>
    <t>(Расходы) экономия по подоходному налогу</t>
  </si>
  <si>
    <t>10(а)</t>
  </si>
  <si>
    <t>Чистый доход (убыток) за полугодие</t>
  </si>
  <si>
    <t>Прочий совокупный доход</t>
  </si>
  <si>
    <t>–</t>
  </si>
  <si>
    <t>Общий совокупный доход (убыток) за полугодие</t>
  </si>
  <si>
    <t>Базовый и разводненный доход (убыток) на акцию, тенге</t>
  </si>
  <si>
    <t>18(б)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</si>
  <si>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</si>
  <si>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</si>
  <si>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</si>
  <si>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</si>
  <si>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</si>
  <si>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</si>
  <si>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 xml:space="preserve">     АО «Горнорудная Компания «Бенкала»                                          АО «Горнорудная Компания «Бенкала»</t>
  </si>
  <si>
    <t>АКТИВЫ</t>
  </si>
  <si>
    <t>Внеоборотные активы</t>
  </si>
  <si>
    <t>Основные средства</t>
  </si>
  <si>
    <t>Актив в форме права пользования</t>
  </si>
  <si>
    <t>20(а)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</si>
  <si>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</si>
  <si>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</si>
  <si>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</si>
  <si>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</si>
  <si>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</si>
  <si>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</si>
  <si>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</si>
  <si>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</si>
  <si>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</si>
  <si>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</si>
  <si>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</si>
  <si>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</si>
  <si>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</si>
  <si>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</si>
  <si>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</si>
  <si>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</si>
  <si>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</si>
  <si>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</si>
  <si>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</si>
  <si>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</si>
  <si>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</si>
  <si>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</si>
  <si>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</si>
  <si>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</si>
  <si>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</si>
  <si>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</si>
  <si>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</si>
  <si>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</si>
  <si>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</si>
  <si>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</si>
  <si>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</si>
  <si>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</si>
  <si>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</si>
  <si>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</si>
  <si>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</si>
  <si>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</si>
  <si>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</si>
  <si>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</si>
  <si>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</si>
  <si>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</si>
  <si>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</si>
  <si>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</si>
  <si>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</si>
  <si>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</si>
  <si>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</si>
  <si>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</si>
  <si>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</si>
  <si>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</si>
  <si>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</si>
  <si>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</si>
  <si>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</si>
  <si>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</si>
  <si>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</si>
  <si>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</si>
  <si>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</si>
  <si>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</si>
  <si>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</si>
  <si>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</si>
  <si>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</si>
  <si>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</si>
  <si>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</si>
  <si>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</si>
  <si>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</si>
  <si>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</si>
  <si>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</si>
  <si>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</si>
  <si>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</si>
  <si>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</si>
  <si>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Итого</t>
  </si>
  <si>
    <t>Чистый доход за год</t>
  </si>
  <si>
    <t>На 31 декабря 2020</t>
  </si>
  <si>
    <t>(Непокрытый убыток) нераспреде-ленный доход</t>
  </si>
  <si>
    <t>Расход по курсовой разнице</t>
  </si>
  <si>
    <t>Аморт.ИИ</t>
  </si>
  <si>
    <t>Аморт.ОС</t>
  </si>
  <si>
    <t>Аморт Права</t>
  </si>
  <si>
    <t>Аморт.НМА</t>
  </si>
  <si>
    <t>Расчет амортизации</t>
  </si>
  <si>
    <t>Расчет нереализованной курсовой разницы</t>
  </si>
  <si>
    <t>Доход</t>
  </si>
  <si>
    <t>Убыток</t>
  </si>
  <si>
    <t>тенге</t>
  </si>
  <si>
    <t>Нереализ.доход</t>
  </si>
  <si>
    <t>% полученные</t>
  </si>
  <si>
    <t>Расшифровки</t>
  </si>
  <si>
    <t>Приобретение ФА</t>
  </si>
  <si>
    <t>ОС</t>
  </si>
  <si>
    <t>НМА</t>
  </si>
  <si>
    <t>НЗС</t>
  </si>
  <si>
    <t>Пополнение ЛФ</t>
  </si>
  <si>
    <t xml:space="preserve">АО "Горнорудная Компания "Бенкала"  </t>
  </si>
  <si>
    <t>3310 без НДС</t>
  </si>
  <si>
    <t>Приложение 4</t>
  </si>
  <si>
    <t>к приказу 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</si>
  <si>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</si>
  <si>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</si>
  <si>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</si>
  <si>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(прямой метод)</t>
  </si>
  <si>
    <t>Индекс: № 3 - ДДС-П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</si>
  <si>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</si>
  <si>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</si>
  <si>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</si>
  <si>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</si>
  <si>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</si>
  <si>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</si>
  <si>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</si>
  <si>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</si>
  <si>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</si>
  <si>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</si>
  <si>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</si>
  <si>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</si>
  <si>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</si>
  <si>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</si>
  <si>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</si>
  <si>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</si>
  <si>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</si>
  <si>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</si>
  <si>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</si>
  <si>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</si>
  <si>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</si>
  <si>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</si>
  <si>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</si>
  <si>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</si>
  <si>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</si>
  <si>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</si>
  <si>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</si>
  <si>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</si>
  <si>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</si>
  <si>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</si>
  <si>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</si>
  <si>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</si>
  <si>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</si>
  <si>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</si>
  <si>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</si>
  <si>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</si>
  <si>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</si>
  <si>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</si>
  <si>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</si>
  <si>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</si>
  <si>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</si>
  <si>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</si>
  <si>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</si>
  <si>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</si>
  <si>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</si>
  <si>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</si>
  <si>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</si>
  <si>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</si>
  <si>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</si>
  <si>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</si>
  <si>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</si>
  <si>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</si>
  <si>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</si>
  <si>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</si>
  <si>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</si>
  <si>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</si>
  <si>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</si>
  <si>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</si>
  <si>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</si>
  <si>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</si>
  <si>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</si>
  <si>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</si>
  <si>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</si>
  <si>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</si>
  <si>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</si>
  <si>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</si>
  <si>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</si>
  <si>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</si>
  <si>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</si>
  <si>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</si>
  <si>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</si>
  <si>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</si>
  <si>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</si>
  <si>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</si>
  <si>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</si>
  <si>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</si>
  <si>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</si>
  <si>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</si>
  <si>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</si>
  <si>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</si>
  <si>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</si>
  <si>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</si>
  <si>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</si>
  <si>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</si>
  <si>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</si>
  <si>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</si>
  <si>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</si>
  <si>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</si>
  <si>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</si>
  <si>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</si>
  <si>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</si>
  <si>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</si>
  <si>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</si>
  <si>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</si>
  <si>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</si>
  <si>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</si>
  <si>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</si>
  <si>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</si>
  <si>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</si>
  <si>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</si>
  <si>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</si>
  <si>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</si>
  <si>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</si>
  <si>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</si>
  <si>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</si>
  <si>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</si>
  <si>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</si>
  <si>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</si>
  <si>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</si>
  <si>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</si>
  <si>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</si>
  <si>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</si>
  <si>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</si>
  <si>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</si>
  <si>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</si>
  <si>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</si>
  <si>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                                          (фамилия, имя, отчество (при его наличии))                           (подпись)</t>
  </si>
  <si>
    <t>                                                   (фамилия, имя, отчество (при его наличии))                   (подпись)</t>
  </si>
  <si>
    <t>Место печати (при наличии)</t>
  </si>
  <si>
    <t xml:space="preserve"> Отчет о финансовом положении                                                                                                                                               за период, закончившийся 31 марта 2022 года</t>
  </si>
  <si>
    <t xml:space="preserve"> Отчет о доходах и расходах и прочем совокупном доходе (убытке)                                                                                                         за период, закончившийся 31 марта 2022 года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</si>
  <si>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31 марта 2022 года</t>
  </si>
  <si>
    <t>На 31 декабря 2021</t>
  </si>
  <si>
    <t>На 31 марта 2022</t>
  </si>
  <si>
    <t xml:space="preserve"> Отчет об изменениях в собственном капитале за период,                                                                                                                                                        закончившийся 31 марта 2022 года</t>
  </si>
  <si>
    <t>Прочие операционные доходы, нетто</t>
  </si>
  <si>
    <t>за период, заканчивающийся 31 марта 2022 года</t>
  </si>
  <si>
    <t>отчетный период за 1 кв. 2022 год</t>
  </si>
  <si>
    <t>долгоср.фин.актив</t>
  </si>
  <si>
    <t>Чистый доход за период</t>
  </si>
  <si>
    <t xml:space="preserve">      Данная финансовая отчетность утверждена руководством  Компании 30.04.2022 года и подписана от его имени:</t>
  </si>
  <si>
    <t>Наименование организации АО "Горнорудная Компания "Бенкала"</t>
  </si>
  <si>
    <t>Руководитель ___________Акжолов Б.Ж.________________________________ _____________</t>
  </si>
  <si>
    <t>Главный бухгалтер _____________Кустанова А.Е.________________________ _____________</t>
  </si>
  <si>
    <t>Приобретение основных средств в счет кредиторской задолженности</t>
  </si>
  <si>
    <t>Признание обязательств по контракту на недропользование</t>
  </si>
  <si>
    <t>(Нереализованный убыток (доход) от курсовой разницы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</si>
</sst>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136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0" fillId="0" borderId="0" xfId="0" applyNumberForma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/>
    <xf numFmtId="0" fontId="19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3" fontId="6" fillId="2" borderId="0" xfId="0" applyNumberFormat="1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165" fontId="0" fillId="0" borderId="0" xfId="0" applyNumberFormat="1" applyFill="1"/>
    <xf numFmtId="3" fontId="6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wrapText="1"/>
    </xf>
    <xf numFmtId="3" fontId="13" fillId="0" borderId="0" xfId="1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horizontal="left" vertical="center" wrapText="1"/>
    </xf>
    <xf numFmtId="3" fontId="18" fillId="0" borderId="0" xfId="1" applyNumberFormat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0" xfId="0" applyNumberFormat="1" applyFont="1" applyFill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4" fontId="2" fillId="3" borderId="0" xfId="0" applyNumberFormat="1" applyFont="1" applyFill="1"/>
    <xf numFmtId="3" fontId="0" fillId="0" borderId="0" xfId="0" applyNumberFormat="1" applyFill="1"/>
    <xf numFmtId="0" fontId="25" fillId="0" borderId="0" xfId="3" applyFont="1"/>
    <xf numFmtId="3" fontId="25" fillId="0" borderId="0" xfId="3" applyNumberFormat="1" applyFont="1"/>
    <xf numFmtId="0" fontId="23" fillId="0" borderId="0" xfId="3"/>
    <xf numFmtId="3" fontId="23" fillId="0" borderId="0" xfId="3" applyNumberFormat="1"/>
    <xf numFmtId="0" fontId="29" fillId="0" borderId="0" xfId="3" applyFont="1"/>
    <xf numFmtId="3" fontId="29" fillId="0" borderId="0" xfId="3" applyNumberFormat="1" applyFont="1"/>
    <xf numFmtId="0" fontId="3" fillId="0" borderId="0" xfId="3" applyFont="1"/>
    <xf numFmtId="3" fontId="3" fillId="0" borderId="0" xfId="3" applyNumberFormat="1" applyFont="1"/>
    <xf numFmtId="0" fontId="6" fillId="0" borderId="5" xfId="3" applyFont="1" applyBorder="1" applyAlignment="1">
      <alignment horizontal="center" vertical="top" wrapText="1"/>
    </xf>
    <xf numFmtId="49" fontId="6" fillId="0" borderId="5" xfId="3" applyNumberFormat="1" applyFont="1" applyBorder="1" applyAlignment="1">
      <alignment horizontal="center" vertical="top" wrapText="1"/>
    </xf>
    <xf numFmtId="3" fontId="3" fillId="0" borderId="5" xfId="3" applyNumberFormat="1" applyFont="1" applyBorder="1" applyAlignment="1">
      <alignment vertical="top" wrapText="1"/>
    </xf>
    <xf numFmtId="49" fontId="3" fillId="0" borderId="5" xfId="3" applyNumberFormat="1" applyFont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3" fontId="9" fillId="0" borderId="3" xfId="0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0" fontId="6" fillId="0" borderId="0" xfId="3" applyFont="1" applyAlignment="1">
      <alignment horizontal="justify" vertical="center"/>
    </xf>
    <xf numFmtId="0" fontId="6" fillId="0" borderId="5" xfId="3" applyFont="1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3" fontId="8" fillId="0" borderId="5" xfId="3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3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6" fillId="0" borderId="0" xfId="3" applyFont="1" applyAlignment="1">
      <alignment horizontal="justify" vertical="top"/>
    </xf>
    <xf numFmtId="0" fontId="24" fillId="0" borderId="0" xfId="3" applyFont="1" applyAlignment="1">
      <alignment horizontal="right" vertical="center"/>
    </xf>
    <xf numFmtId="0" fontId="26" fillId="0" borderId="0" xfId="3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28" fillId="0" borderId="0" xfId="3" applyFont="1" applyAlignment="1">
      <alignment horizontal="center" vertical="center"/>
    </xf>
    <xf numFmtId="0" fontId="28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justify" vertical="center"/>
    </xf>
    <xf numFmtId="0" fontId="6" fillId="0" borderId="4" xfId="3" applyFont="1" applyBorder="1" applyAlignment="1">
      <alignment horizontal="right" vertical="top"/>
    </xf>
    <xf numFmtId="0" fontId="6" fillId="0" borderId="7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center"/>
    </xf>
    <xf numFmtId="3" fontId="30" fillId="0" borderId="0" xfId="1" applyNumberFormat="1" applyFont="1" applyFill="1" applyAlignment="1">
      <alignment horizontal="right" vertical="center" wrapText="1"/>
    </xf>
  </cellXfs>
  <cellStyles count="4">
    <cellStyle name="Обычный" xfId="0" builtinId="0"/>
    <cellStyle name="Обычный 3" xfId="3" xr:uid="{988C7B93-AAC4-4D61-93E3-A2BE5CF59CF9}"/>
    <cellStyle name="Финансовый" xfId="1" builtinId="3"/>
    <cellStyle name="Финансовый 2" xfId="2" xr:uid="{467AEFDC-49E8-41CC-80E9-CF627553A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F44"/>
  <sheetViews>
    <sheetView zoomScaleNormal="100" workbookViewId="0">
      <selection activeCell="C38" sqref="C38"/>
    </sheetView>
  </sheetViews>
  <sheetFormatPr defaultRowHeight="14.4" x14ac:dyDescent="0.3"/>
  <cols>
    <col min="1" max="1" width="43.88671875" customWidth="1"/>
    <col min="2" max="2" width="9.44140625" customWidth="1"/>
    <col min="3" max="3" width="18.5546875" customWidth="1"/>
    <col min="4" max="4" width="18.33203125" customWidth="1"/>
    <col min="5" max="7" width="8.88671875" customWidth="1"/>
  </cols>
  <sheetData>
    <row r="1" spans="1:4" ht="24.75" customHeight="1" x14ac:dyDescent="0.3">
      <c r="A1" s="112" t="s">
        <v>126</v>
      </c>
      <c r="B1" s="112"/>
      <c r="C1" s="112"/>
      <c r="D1" s="112"/>
    </row>
    <row r="2" spans="1:4" ht="36.75" customHeight="1" x14ac:dyDescent="0.3">
      <c r="A2" s="111" t="s">
        <v>254</v>
      </c>
      <c r="B2" s="111"/>
      <c r="C2" s="111"/>
      <c r="D2" s="111"/>
    </row>
    <row r="3" spans="1:4" ht="19.5" customHeight="1" x14ac:dyDescent="0.3">
      <c r="A3" s="19"/>
      <c r="B3" s="19"/>
      <c r="C3" s="19"/>
      <c r="D3" s="19"/>
    </row>
    <row r="4" spans="1:4" ht="15" thickBot="1" x14ac:dyDescent="0.35">
      <c r="A4" s="2" t="s">
        <v>0</v>
      </c>
      <c r="B4" s="4" t="s">
        <v>1</v>
      </c>
      <c r="C4" s="17">
        <v>2022</v>
      </c>
      <c r="D4" s="17">
        <v>2021</v>
      </c>
    </row>
    <row r="5" spans="1:4" x14ac:dyDescent="0.3">
      <c r="A5" s="9" t="s">
        <v>31</v>
      </c>
      <c r="B5" s="10"/>
      <c r="C5" s="42"/>
      <c r="D5" s="42"/>
    </row>
    <row r="6" spans="1:4" x14ac:dyDescent="0.3">
      <c r="A6" s="9" t="s">
        <v>32</v>
      </c>
      <c r="B6" s="10"/>
      <c r="C6" s="42"/>
      <c r="D6" s="43"/>
    </row>
    <row r="7" spans="1:4" x14ac:dyDescent="0.3">
      <c r="A7" s="7" t="s">
        <v>33</v>
      </c>
      <c r="B7" s="8">
        <v>11</v>
      </c>
      <c r="C7" s="22">
        <f>1220+3441933+391273-C9</f>
        <v>3455570</v>
      </c>
      <c r="D7" s="44">
        <v>3399044</v>
      </c>
    </row>
    <row r="8" spans="1:4" x14ac:dyDescent="0.3">
      <c r="A8" s="7" t="s">
        <v>34</v>
      </c>
      <c r="B8" s="8" t="s">
        <v>35</v>
      </c>
      <c r="C8" s="22">
        <v>48880</v>
      </c>
      <c r="D8" s="44">
        <v>52019</v>
      </c>
    </row>
    <row r="9" spans="1:4" x14ac:dyDescent="0.3">
      <c r="A9" s="7" t="s">
        <v>36</v>
      </c>
      <c r="B9" s="8">
        <v>12</v>
      </c>
      <c r="C9" s="22">
        <v>378856</v>
      </c>
      <c r="D9" s="44">
        <v>383582</v>
      </c>
    </row>
    <row r="10" spans="1:4" x14ac:dyDescent="0.3">
      <c r="A10" s="7" t="s">
        <v>37</v>
      </c>
      <c r="B10" s="8">
        <v>13</v>
      </c>
      <c r="C10" s="22">
        <v>49339</v>
      </c>
      <c r="D10" s="44">
        <v>48921</v>
      </c>
    </row>
    <row r="11" spans="1:4" x14ac:dyDescent="0.3">
      <c r="A11" s="7" t="s">
        <v>38</v>
      </c>
      <c r="B11" s="8" t="s">
        <v>39</v>
      </c>
      <c r="C11" s="22" t="s">
        <v>20</v>
      </c>
      <c r="D11" s="44" t="s">
        <v>20</v>
      </c>
    </row>
    <row r="12" spans="1:4" ht="22.8" x14ac:dyDescent="0.3">
      <c r="A12" s="7" t="s">
        <v>66</v>
      </c>
      <c r="B12" s="8"/>
      <c r="C12" s="22"/>
      <c r="D12" s="44"/>
    </row>
    <row r="13" spans="1:4" ht="15" thickBot="1" x14ac:dyDescent="0.35">
      <c r="A13" s="7" t="s">
        <v>40</v>
      </c>
      <c r="B13" s="8">
        <v>17</v>
      </c>
      <c r="C13" s="23">
        <f>105878+12187-27630-2732</f>
        <v>87703</v>
      </c>
      <c r="D13" s="45">
        <v>85614</v>
      </c>
    </row>
    <row r="14" spans="1:4" s="18" customFormat="1" ht="15" thickBot="1" x14ac:dyDescent="0.35">
      <c r="A14" s="27"/>
      <c r="B14" s="27"/>
      <c r="C14" s="46">
        <f>SUM(C7:C13)</f>
        <v>4020348</v>
      </c>
      <c r="D14" s="47">
        <f>SUM(D7:D13)</f>
        <v>3969180</v>
      </c>
    </row>
    <row r="15" spans="1:4" x14ac:dyDescent="0.3">
      <c r="A15" s="9" t="s">
        <v>41</v>
      </c>
      <c r="B15" s="10"/>
      <c r="C15" s="48"/>
      <c r="D15" s="43"/>
    </row>
    <row r="16" spans="1:4" x14ac:dyDescent="0.3">
      <c r="A16" s="7" t="s">
        <v>42</v>
      </c>
      <c r="B16" s="8">
        <v>14</v>
      </c>
      <c r="C16" s="22">
        <v>3934366</v>
      </c>
      <c r="D16" s="44">
        <v>3434739</v>
      </c>
    </row>
    <row r="17" spans="1:6" x14ac:dyDescent="0.3">
      <c r="A17" s="7" t="s">
        <v>43</v>
      </c>
      <c r="B17" s="8">
        <v>15</v>
      </c>
      <c r="C17" s="22">
        <f>1088377+317+169884</f>
        <v>1258578</v>
      </c>
      <c r="D17" s="44">
        <v>968000</v>
      </c>
    </row>
    <row r="18" spans="1:6" x14ac:dyDescent="0.3">
      <c r="A18" s="7" t="s">
        <v>44</v>
      </c>
      <c r="B18" s="10"/>
      <c r="C18" s="22">
        <v>877</v>
      </c>
      <c r="D18" s="44" t="s">
        <v>20</v>
      </c>
    </row>
    <row r="19" spans="1:6" x14ac:dyDescent="0.3">
      <c r="A19" s="7" t="s">
        <v>45</v>
      </c>
      <c r="B19" s="8">
        <v>16</v>
      </c>
      <c r="C19" s="22">
        <f>1606845+645673-134517</f>
        <v>2118001</v>
      </c>
      <c r="D19" s="44">
        <v>2396677</v>
      </c>
    </row>
    <row r="20" spans="1:6" ht="15" thickBot="1" x14ac:dyDescent="0.35">
      <c r="A20" s="7" t="s">
        <v>46</v>
      </c>
      <c r="B20" s="8">
        <v>17</v>
      </c>
      <c r="C20" s="23">
        <f>120+1064260</f>
        <v>1064380</v>
      </c>
      <c r="D20" s="45">
        <v>1310839</v>
      </c>
    </row>
    <row r="21" spans="1:6" ht="15" thickBot="1" x14ac:dyDescent="0.35">
      <c r="A21" s="10"/>
      <c r="B21" s="10"/>
      <c r="C21" s="46">
        <f>SUM(C16:C20)</f>
        <v>8376202</v>
      </c>
      <c r="D21" s="47">
        <f>SUM(D16:D20)</f>
        <v>8110255</v>
      </c>
    </row>
    <row r="22" spans="1:6" ht="15" thickBot="1" x14ac:dyDescent="0.35">
      <c r="A22" s="9" t="s">
        <v>47</v>
      </c>
      <c r="B22" s="10"/>
      <c r="C22" s="25">
        <f>C14+C21</f>
        <v>12396550</v>
      </c>
      <c r="D22" s="49">
        <f>D14+D21</f>
        <v>12079435</v>
      </c>
    </row>
    <row r="23" spans="1:6" ht="15" thickTop="1" x14ac:dyDescent="0.3">
      <c r="A23" s="9" t="s">
        <v>48</v>
      </c>
      <c r="B23" s="10"/>
      <c r="C23" s="50"/>
      <c r="D23" s="43"/>
    </row>
    <row r="24" spans="1:6" x14ac:dyDescent="0.3">
      <c r="A24" s="9" t="s">
        <v>49</v>
      </c>
      <c r="B24" s="10"/>
      <c r="C24" s="50"/>
      <c r="D24" s="43"/>
    </row>
    <row r="25" spans="1:6" x14ac:dyDescent="0.3">
      <c r="A25" s="7" t="s">
        <v>50</v>
      </c>
      <c r="B25" s="8" t="s">
        <v>51</v>
      </c>
      <c r="C25" s="22">
        <v>5500000</v>
      </c>
      <c r="D25" s="44">
        <v>5500000</v>
      </c>
    </row>
    <row r="26" spans="1:6" ht="15" thickBot="1" x14ac:dyDescent="0.35">
      <c r="A26" s="7" t="s">
        <v>52</v>
      </c>
      <c r="B26" s="10"/>
      <c r="C26" s="23">
        <v>4299407</v>
      </c>
      <c r="D26" s="45">
        <v>3561788</v>
      </c>
      <c r="F26" s="28"/>
    </row>
    <row r="27" spans="1:6" ht="15" thickBot="1" x14ac:dyDescent="0.35">
      <c r="A27" s="10"/>
      <c r="B27" s="10"/>
      <c r="C27" s="23">
        <f>SUM(C25:C26)</f>
        <v>9799407</v>
      </c>
      <c r="D27" s="45">
        <f>D25+D26</f>
        <v>9061788</v>
      </c>
    </row>
    <row r="28" spans="1:6" x14ac:dyDescent="0.3">
      <c r="A28" s="9" t="s">
        <v>53</v>
      </c>
      <c r="B28" s="10"/>
      <c r="C28" s="50"/>
      <c r="D28" s="43"/>
    </row>
    <row r="29" spans="1:6" x14ac:dyDescent="0.3">
      <c r="A29" s="7" t="s">
        <v>54</v>
      </c>
      <c r="B29" s="8">
        <v>19</v>
      </c>
      <c r="C29" s="22">
        <v>392882</v>
      </c>
      <c r="D29" s="44">
        <v>388416</v>
      </c>
    </row>
    <row r="30" spans="1:6" x14ac:dyDescent="0.3">
      <c r="A30" s="7" t="s">
        <v>55</v>
      </c>
      <c r="B30" s="8" t="s">
        <v>56</v>
      </c>
      <c r="C30" s="22">
        <v>40586</v>
      </c>
      <c r="D30" s="44">
        <v>40586</v>
      </c>
    </row>
    <row r="31" spans="1:6" ht="15" thickBot="1" x14ac:dyDescent="0.35">
      <c r="A31" s="7" t="s">
        <v>57</v>
      </c>
      <c r="B31" s="8" t="s">
        <v>39</v>
      </c>
      <c r="C31" s="23">
        <v>67940</v>
      </c>
      <c r="D31" s="45">
        <v>67940</v>
      </c>
    </row>
    <row r="32" spans="1:6" ht="15" thickBot="1" x14ac:dyDescent="0.35">
      <c r="A32" s="10"/>
      <c r="B32" s="10"/>
      <c r="C32" s="65">
        <f>SUM(C29:C31)</f>
        <v>501408</v>
      </c>
      <c r="D32" s="45">
        <f>D29+D30+D31</f>
        <v>496942</v>
      </c>
    </row>
    <row r="33" spans="1:4" x14ac:dyDescent="0.3">
      <c r="A33" s="9" t="s">
        <v>58</v>
      </c>
      <c r="B33" s="10"/>
      <c r="C33" s="50"/>
      <c r="D33" s="43"/>
    </row>
    <row r="34" spans="1:4" x14ac:dyDescent="0.3">
      <c r="A34" s="7" t="s">
        <v>54</v>
      </c>
      <c r="B34" s="8">
        <v>19</v>
      </c>
      <c r="C34" s="61">
        <v>7701</v>
      </c>
      <c r="D34" s="44">
        <v>10261</v>
      </c>
    </row>
    <row r="35" spans="1:4" x14ac:dyDescent="0.3">
      <c r="A35" s="7" t="s">
        <v>55</v>
      </c>
      <c r="B35" s="8" t="s">
        <v>56</v>
      </c>
      <c r="C35" s="61">
        <v>12023</v>
      </c>
      <c r="D35" s="44">
        <v>14181</v>
      </c>
    </row>
    <row r="36" spans="1:4" x14ac:dyDescent="0.3">
      <c r="A36" s="7" t="s">
        <v>59</v>
      </c>
      <c r="B36" s="10"/>
      <c r="C36" s="61">
        <v>695020</v>
      </c>
      <c r="D36" s="44">
        <v>691729</v>
      </c>
    </row>
    <row r="37" spans="1:4" x14ac:dyDescent="0.3">
      <c r="A37" s="7" t="s">
        <v>60</v>
      </c>
      <c r="B37" s="8">
        <v>21</v>
      </c>
      <c r="C37" s="61">
        <f>1110385+45073+75191+20856</f>
        <v>1251505</v>
      </c>
      <c r="D37" s="44">
        <v>1609027</v>
      </c>
    </row>
    <row r="38" spans="1:4" ht="15" thickBot="1" x14ac:dyDescent="0.35">
      <c r="A38" s="7" t="s">
        <v>61</v>
      </c>
      <c r="B38" s="8">
        <v>22</v>
      </c>
      <c r="C38" s="62">
        <v>129486</v>
      </c>
      <c r="D38" s="45">
        <v>195507</v>
      </c>
    </row>
    <row r="39" spans="1:4" ht="15" thickBot="1" x14ac:dyDescent="0.35">
      <c r="A39" s="10"/>
      <c r="B39" s="10"/>
      <c r="C39" s="23">
        <f>SUM(C34:C38)</f>
        <v>2095735</v>
      </c>
      <c r="D39" s="45">
        <f>D34+D35+D36+D37+D38</f>
        <v>2520705</v>
      </c>
    </row>
    <row r="40" spans="1:4" ht="15" thickBot="1" x14ac:dyDescent="0.35">
      <c r="A40" s="9" t="s">
        <v>62</v>
      </c>
      <c r="B40" s="10"/>
      <c r="C40" s="23">
        <f>C32+C39</f>
        <v>2597143</v>
      </c>
      <c r="D40" s="45">
        <v>3017647</v>
      </c>
    </row>
    <row r="41" spans="1:4" ht="15" thickBot="1" x14ac:dyDescent="0.35">
      <c r="A41" s="9" t="s">
        <v>63</v>
      </c>
      <c r="B41" s="10"/>
      <c r="C41" s="25">
        <f>C27+C40</f>
        <v>12396550</v>
      </c>
      <c r="D41" s="49">
        <f>D27+D40</f>
        <v>12079435</v>
      </c>
    </row>
    <row r="42" spans="1:4" ht="15" thickTop="1" x14ac:dyDescent="0.3">
      <c r="A42" s="11"/>
      <c r="B42" s="11"/>
      <c r="C42" s="51"/>
      <c r="D42" s="51"/>
    </row>
    <row r="43" spans="1:4" ht="15" thickBot="1" x14ac:dyDescent="0.35">
      <c r="A43" s="7" t="s">
        <v>64</v>
      </c>
      <c r="B43" s="8" t="s">
        <v>65</v>
      </c>
      <c r="C43" s="65">
        <f>(C22-C10-C9-C8-C40)/C25*1000</f>
        <v>1694.9694545454545</v>
      </c>
      <c r="D43" s="65">
        <f>(D22-D10-D9-D8-D40)/D25*1000</f>
        <v>1559.5029090909093</v>
      </c>
    </row>
    <row r="44" spans="1:4" x14ac:dyDescent="0.3">
      <c r="C44" s="35"/>
    </row>
  </sheetData>
  <mergeCells count="2">
    <mergeCell ref="A2:D2"/>
    <mergeCell ref="A1:D1"/>
  </mergeCells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D36"/>
  <sheetViews>
    <sheetView zoomScaleNormal="100" workbookViewId="0">
      <selection activeCell="D24" sqref="D24"/>
    </sheetView>
  </sheetViews>
  <sheetFormatPr defaultRowHeight="14.4" x14ac:dyDescent="0.3"/>
  <cols>
    <col min="1" max="1" width="47.44140625" customWidth="1"/>
    <col min="2" max="2" width="9.33203125" customWidth="1"/>
    <col min="3" max="3" width="20" customWidth="1"/>
    <col min="4" max="4" width="18" customWidth="1"/>
    <col min="12" max="12" width="9.109375" customWidth="1"/>
  </cols>
  <sheetData>
    <row r="1" spans="1:4" x14ac:dyDescent="0.3">
      <c r="A1" s="112" t="s">
        <v>126</v>
      </c>
      <c r="B1" s="112"/>
      <c r="C1" s="112"/>
      <c r="D1" s="112"/>
    </row>
    <row r="2" spans="1:4" ht="39" customHeight="1" x14ac:dyDescent="0.3">
      <c r="A2" s="111" t="s">
        <v>255</v>
      </c>
      <c r="B2" s="111"/>
      <c r="C2" s="111"/>
      <c r="D2" s="111"/>
    </row>
    <row r="3" spans="1:4" ht="16.5" customHeight="1" x14ac:dyDescent="0.3">
      <c r="C3" s="20"/>
      <c r="D3" s="21"/>
    </row>
    <row r="4" spans="1:4" ht="15" thickBot="1" x14ac:dyDescent="0.35">
      <c r="A4" s="2" t="s">
        <v>0</v>
      </c>
      <c r="B4" s="4" t="s">
        <v>1</v>
      </c>
      <c r="C4" s="46">
        <v>2022</v>
      </c>
      <c r="D4" s="63">
        <v>2021</v>
      </c>
    </row>
    <row r="5" spans="1:4" ht="18.75" customHeight="1" x14ac:dyDescent="0.3">
      <c r="A5" s="7" t="s">
        <v>2</v>
      </c>
      <c r="B5" s="8">
        <v>3</v>
      </c>
      <c r="C5" s="22">
        <f>2430712+1794</f>
        <v>2432506</v>
      </c>
      <c r="D5" s="64">
        <v>1273429</v>
      </c>
    </row>
    <row r="6" spans="1:4" ht="15" thickBot="1" x14ac:dyDescent="0.35">
      <c r="A6" s="7" t="s">
        <v>3</v>
      </c>
      <c r="B6" s="8">
        <v>4</v>
      </c>
      <c r="C6" s="65">
        <f>-515526-17823</f>
        <v>-533349</v>
      </c>
      <c r="D6" s="65">
        <v>-481131</v>
      </c>
    </row>
    <row r="7" spans="1:4" x14ac:dyDescent="0.3">
      <c r="A7" s="9" t="s">
        <v>4</v>
      </c>
      <c r="B7" s="10"/>
      <c r="C7" s="24">
        <f>C5+C6</f>
        <v>1899157</v>
      </c>
      <c r="D7" s="66">
        <f>D5+D6</f>
        <v>792298</v>
      </c>
    </row>
    <row r="8" spans="1:4" x14ac:dyDescent="0.3">
      <c r="A8" s="7" t="s">
        <v>5</v>
      </c>
      <c r="B8" s="8">
        <v>5</v>
      </c>
      <c r="C8" s="22">
        <v>-686542</v>
      </c>
      <c r="D8" s="64">
        <v>-200687</v>
      </c>
    </row>
    <row r="9" spans="1:4" x14ac:dyDescent="0.3">
      <c r="A9" s="7" t="s">
        <v>6</v>
      </c>
      <c r="B9" s="8">
        <v>6</v>
      </c>
      <c r="C9" s="22">
        <v>-99608</v>
      </c>
      <c r="D9" s="64">
        <v>-117880</v>
      </c>
    </row>
    <row r="10" spans="1:4" x14ac:dyDescent="0.3">
      <c r="A10" s="107" t="s">
        <v>260</v>
      </c>
      <c r="B10" s="8"/>
      <c r="C10" s="64">
        <v>1320</v>
      </c>
      <c r="D10" s="64">
        <v>0</v>
      </c>
    </row>
    <row r="11" spans="1:4" x14ac:dyDescent="0.3">
      <c r="A11" s="7" t="s">
        <v>7</v>
      </c>
      <c r="B11" s="8">
        <v>7</v>
      </c>
      <c r="C11" s="22">
        <f>-925405+882791+40621</f>
        <v>-1993</v>
      </c>
      <c r="D11" s="64">
        <v>-30821</v>
      </c>
    </row>
    <row r="12" spans="1:4" ht="15" thickBot="1" x14ac:dyDescent="0.35">
      <c r="A12" s="7" t="s">
        <v>8</v>
      </c>
      <c r="B12" s="8">
        <v>8</v>
      </c>
      <c r="C12" s="23">
        <v>0</v>
      </c>
      <c r="D12" s="65">
        <v>0</v>
      </c>
    </row>
    <row r="13" spans="1:4" x14ac:dyDescent="0.3">
      <c r="A13" s="9" t="s">
        <v>10</v>
      </c>
      <c r="B13" s="10"/>
      <c r="C13" s="24">
        <f>C7+C8+C9+C11+C12+C10</f>
        <v>1112334</v>
      </c>
      <c r="D13" s="66">
        <f>D7+D8+D9+D11+D12</f>
        <v>442910</v>
      </c>
    </row>
    <row r="14" spans="1:4" x14ac:dyDescent="0.3">
      <c r="A14" s="7" t="s">
        <v>11</v>
      </c>
      <c r="B14" s="8" t="s">
        <v>12</v>
      </c>
      <c r="C14" s="22">
        <v>10750</v>
      </c>
      <c r="D14" s="64">
        <v>1890</v>
      </c>
    </row>
    <row r="15" spans="1:4" x14ac:dyDescent="0.3">
      <c r="A15" s="7" t="s">
        <v>13</v>
      </c>
      <c r="B15" s="8" t="s">
        <v>14</v>
      </c>
      <c r="C15" s="22">
        <v>-6088</v>
      </c>
      <c r="D15" s="64">
        <v>-4999</v>
      </c>
    </row>
    <row r="16" spans="1:4" ht="15" thickBot="1" x14ac:dyDescent="0.35">
      <c r="A16" s="7" t="s">
        <v>108</v>
      </c>
      <c r="B16" s="10"/>
      <c r="C16" s="23">
        <f>-173447</f>
        <v>-173447</v>
      </c>
      <c r="D16" s="65">
        <v>-11723</v>
      </c>
    </row>
    <row r="17" spans="1:4" x14ac:dyDescent="0.3">
      <c r="A17" s="9" t="s">
        <v>15</v>
      </c>
      <c r="B17" s="10"/>
      <c r="C17" s="24">
        <f>C13+C14+C15+C16</f>
        <v>943549</v>
      </c>
      <c r="D17" s="66">
        <f>D13+D14+D15+D16</f>
        <v>428078</v>
      </c>
    </row>
    <row r="18" spans="1:4" ht="15" thickBot="1" x14ac:dyDescent="0.35">
      <c r="A18" s="7" t="s">
        <v>16</v>
      </c>
      <c r="B18" s="8" t="s">
        <v>17</v>
      </c>
      <c r="C18" s="23">
        <v>-205930</v>
      </c>
      <c r="D18" s="65">
        <v>0</v>
      </c>
    </row>
    <row r="19" spans="1:4" x14ac:dyDescent="0.3">
      <c r="A19" s="9" t="s">
        <v>18</v>
      </c>
      <c r="B19" s="10"/>
      <c r="C19" s="24">
        <f>C17+C18</f>
        <v>737619</v>
      </c>
      <c r="D19" s="66">
        <f>D17+D18</f>
        <v>428078</v>
      </c>
    </row>
    <row r="20" spans="1:4" ht="15" thickBot="1" x14ac:dyDescent="0.35">
      <c r="A20" s="7" t="s">
        <v>19</v>
      </c>
      <c r="B20" s="10"/>
      <c r="C20" s="23">
        <v>0</v>
      </c>
      <c r="D20" s="65">
        <v>0</v>
      </c>
    </row>
    <row r="21" spans="1:4" ht="15" thickBot="1" x14ac:dyDescent="0.35">
      <c r="A21" s="9" t="s">
        <v>21</v>
      </c>
      <c r="B21" s="10"/>
      <c r="C21" s="25">
        <f>C19+C20</f>
        <v>737619</v>
      </c>
      <c r="D21" s="67">
        <f>D19+D20</f>
        <v>428078</v>
      </c>
    </row>
    <row r="22" spans="1:4" ht="15" thickTop="1" x14ac:dyDescent="0.3">
      <c r="A22" s="11"/>
      <c r="B22" s="11"/>
      <c r="C22" s="26"/>
      <c r="D22" s="26"/>
    </row>
    <row r="23" spans="1:4" ht="15" thickBot="1" x14ac:dyDescent="0.35">
      <c r="A23" s="7" t="s">
        <v>22</v>
      </c>
      <c r="B23" s="8" t="s">
        <v>23</v>
      </c>
      <c r="C23" s="65">
        <f>C21/5500000*1000</f>
        <v>134.11254545454545</v>
      </c>
      <c r="D23" s="65">
        <v>374.20173803454497</v>
      </c>
    </row>
    <row r="24" spans="1:4" x14ac:dyDescent="0.3">
      <c r="A24" s="13"/>
      <c r="C24" s="20"/>
      <c r="D24" s="20"/>
    </row>
    <row r="25" spans="1:4" x14ac:dyDescent="0.3">
      <c r="A25" s="12"/>
      <c r="C25" s="35"/>
    </row>
    <row r="26" spans="1:4" x14ac:dyDescent="0.3">
      <c r="A26" s="12"/>
    </row>
    <row r="27" spans="1:4" x14ac:dyDescent="0.3">
      <c r="A27" s="12" t="s">
        <v>265</v>
      </c>
    </row>
    <row r="28" spans="1:4" x14ac:dyDescent="0.3">
      <c r="A28" s="12"/>
    </row>
    <row r="29" spans="1:4" x14ac:dyDescent="0.3">
      <c r="A29" s="12"/>
    </row>
    <row r="30" spans="1:4" x14ac:dyDescent="0.3">
      <c r="A30" s="12" t="s">
        <v>24</v>
      </c>
    </row>
    <row r="31" spans="1:4" ht="16.8" x14ac:dyDescent="0.3">
      <c r="A31" s="14" t="s">
        <v>25</v>
      </c>
    </row>
    <row r="32" spans="1:4" x14ac:dyDescent="0.3">
      <c r="A32" s="15" t="s">
        <v>26</v>
      </c>
      <c r="C32" s="15" t="s">
        <v>27</v>
      </c>
    </row>
    <row r="33" spans="1:3" ht="6" customHeight="1" x14ac:dyDescent="0.3">
      <c r="A33" s="12"/>
    </row>
    <row r="34" spans="1:3" x14ac:dyDescent="0.3">
      <c r="A34" s="12" t="s">
        <v>28</v>
      </c>
      <c r="C34" s="12" t="s">
        <v>29</v>
      </c>
    </row>
    <row r="35" spans="1:3" ht="6" customHeight="1" x14ac:dyDescent="0.3">
      <c r="A35" s="12"/>
    </row>
    <row r="36" spans="1:3" x14ac:dyDescent="0.3">
      <c r="A36" s="12" t="s">
        <v>30</v>
      </c>
    </row>
  </sheetData>
  <mergeCells count="2">
    <mergeCell ref="A2:D2"/>
    <mergeCell ref="A1:D1"/>
  </mergeCells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L57"/>
  <sheetViews>
    <sheetView zoomScaleNormal="100" workbookViewId="0">
      <selection activeCell="D7" sqref="D7"/>
    </sheetView>
  </sheetViews>
  <sheetFormatPr defaultRowHeight="14.4" x14ac:dyDescent="0.3"/>
  <cols>
    <col min="1" max="1" width="60.33203125" customWidth="1"/>
    <col min="3" max="4" width="17.5546875" customWidth="1"/>
    <col min="8" max="8" width="0" hidden="1" customWidth="1"/>
    <col min="9" max="9" width="17" hidden="1" customWidth="1"/>
    <col min="10" max="10" width="16.5546875" hidden="1" customWidth="1"/>
    <col min="11" max="11" width="18" hidden="1" customWidth="1"/>
    <col min="12" max="12" width="9.109375" hidden="1" customWidth="1"/>
    <col min="13" max="14" width="0" hidden="1" customWidth="1"/>
  </cols>
  <sheetData>
    <row r="1" spans="1:10" x14ac:dyDescent="0.3">
      <c r="A1" s="112" t="s">
        <v>126</v>
      </c>
      <c r="B1" s="112"/>
      <c r="C1" s="112"/>
      <c r="D1" s="112"/>
    </row>
    <row r="2" spans="1:10" ht="39.75" customHeight="1" x14ac:dyDescent="0.3">
      <c r="A2" s="111" t="s">
        <v>256</v>
      </c>
      <c r="B2" s="111"/>
      <c r="C2" s="111"/>
      <c r="D2" s="111"/>
    </row>
    <row r="3" spans="1:10" x14ac:dyDescent="0.3">
      <c r="A3" s="1"/>
      <c r="B3" s="1"/>
      <c r="C3" s="1"/>
      <c r="D3" s="4"/>
    </row>
    <row r="4" spans="1:10" x14ac:dyDescent="0.3">
      <c r="A4" s="2" t="s">
        <v>67</v>
      </c>
      <c r="B4" s="4" t="s">
        <v>1</v>
      </c>
      <c r="C4" s="5">
        <v>2022</v>
      </c>
      <c r="D4" s="5">
        <v>2021</v>
      </c>
    </row>
    <row r="5" spans="1:10" ht="15" thickBot="1" x14ac:dyDescent="0.35">
      <c r="A5" s="3"/>
      <c r="B5" s="3"/>
      <c r="C5" s="6"/>
      <c r="D5" s="6"/>
    </row>
    <row r="6" spans="1:10" x14ac:dyDescent="0.3">
      <c r="A6" s="9" t="s">
        <v>68</v>
      </c>
      <c r="B6" s="10"/>
      <c r="C6" s="42"/>
      <c r="D6" s="42"/>
    </row>
    <row r="7" spans="1:10" x14ac:dyDescent="0.3">
      <c r="A7" s="7" t="s">
        <v>15</v>
      </c>
      <c r="B7" s="10"/>
      <c r="C7" s="64">
        <f>'ОДР и ПСД'!C17</f>
        <v>943549</v>
      </c>
      <c r="D7" s="70">
        <v>803404</v>
      </c>
      <c r="I7" t="s">
        <v>120</v>
      </c>
    </row>
    <row r="8" spans="1:10" x14ac:dyDescent="0.3">
      <c r="A8" s="7" t="s">
        <v>69</v>
      </c>
      <c r="B8" s="10"/>
      <c r="C8" s="50"/>
      <c r="D8" s="71"/>
    </row>
    <row r="9" spans="1:10" x14ac:dyDescent="0.3">
      <c r="A9" s="7" t="s">
        <v>11</v>
      </c>
      <c r="B9" s="8" t="s">
        <v>12</v>
      </c>
      <c r="C9" s="64">
        <f>-'ОДР и ПСД'!C14</f>
        <v>-10750</v>
      </c>
      <c r="D9" s="70">
        <v>-6055</v>
      </c>
      <c r="I9" s="18" t="s">
        <v>113</v>
      </c>
    </row>
    <row r="10" spans="1:10" x14ac:dyDescent="0.3">
      <c r="A10" s="7" t="s">
        <v>13</v>
      </c>
      <c r="B10" s="8" t="s">
        <v>14</v>
      </c>
      <c r="C10" s="64">
        <f>-'ОДР и ПСД'!C15</f>
        <v>6088</v>
      </c>
      <c r="D10" s="70">
        <v>24583</v>
      </c>
      <c r="I10" t="s">
        <v>117</v>
      </c>
      <c r="J10" s="59">
        <v>2021</v>
      </c>
    </row>
    <row r="11" spans="1:10" x14ac:dyDescent="0.3">
      <c r="A11" s="7" t="s">
        <v>70</v>
      </c>
      <c r="B11" s="8">
        <v>4.5999999999999996</v>
      </c>
      <c r="C11" s="64">
        <f>J15/1000</f>
        <v>346580.48984000005</v>
      </c>
      <c r="D11" s="70">
        <v>309383</v>
      </c>
      <c r="I11" t="s">
        <v>109</v>
      </c>
      <c r="J11" s="37">
        <v>1541402.38</v>
      </c>
    </row>
    <row r="12" spans="1:10" x14ac:dyDescent="0.3">
      <c r="A12" s="7" t="s">
        <v>8</v>
      </c>
      <c r="B12" s="8">
        <v>8</v>
      </c>
      <c r="C12" s="64">
        <v>0</v>
      </c>
      <c r="D12" s="70">
        <v>155521</v>
      </c>
      <c r="I12" t="s">
        <v>110</v>
      </c>
      <c r="J12" s="37">
        <v>328430212.48000002</v>
      </c>
    </row>
    <row r="13" spans="1:10" x14ac:dyDescent="0.3">
      <c r="A13" s="7" t="s">
        <v>71</v>
      </c>
      <c r="B13" s="36">
        <v>7</v>
      </c>
      <c r="C13" s="70">
        <v>19187</v>
      </c>
      <c r="D13" s="70">
        <v>30839</v>
      </c>
      <c r="I13" t="s">
        <v>111</v>
      </c>
      <c r="J13" s="37">
        <v>9729731.6799999997</v>
      </c>
    </row>
    <row r="14" spans="1:10" x14ac:dyDescent="0.3">
      <c r="A14" s="33" t="s">
        <v>102</v>
      </c>
      <c r="B14" s="32"/>
      <c r="C14" s="70"/>
      <c r="D14" s="70"/>
      <c r="I14" t="s">
        <v>112</v>
      </c>
      <c r="J14" s="37">
        <v>6879143.2999999998</v>
      </c>
    </row>
    <row r="15" spans="1:10" ht="15" thickBot="1" x14ac:dyDescent="0.35">
      <c r="A15" s="7" t="s">
        <v>72</v>
      </c>
      <c r="B15" s="10"/>
      <c r="C15" s="72">
        <f>-J22/1000</f>
        <v>-1506.550379999999</v>
      </c>
      <c r="D15" s="72">
        <v>-13</v>
      </c>
      <c r="J15" s="88">
        <f>SUM(J11:J14)</f>
        <v>346580489.84000003</v>
      </c>
    </row>
    <row r="16" spans="1:10" x14ac:dyDescent="0.3">
      <c r="A16" s="115" t="s">
        <v>73</v>
      </c>
      <c r="B16" s="114"/>
      <c r="C16" s="73"/>
      <c r="D16" s="73"/>
      <c r="I16" s="18" t="s">
        <v>114</v>
      </c>
      <c r="J16" s="37"/>
    </row>
    <row r="17" spans="1:11" s="18" customFormat="1" x14ac:dyDescent="0.3">
      <c r="A17" s="115"/>
      <c r="B17" s="114"/>
      <c r="C17" s="74">
        <f>SUM(C7:C15)</f>
        <v>1303147.93946</v>
      </c>
      <c r="D17" s="75">
        <f>SUM(D7:D15)</f>
        <v>1317662</v>
      </c>
      <c r="I17" s="18" t="s">
        <v>117</v>
      </c>
      <c r="J17" s="113">
        <v>2021</v>
      </c>
      <c r="K17" s="113"/>
    </row>
    <row r="18" spans="1:11" x14ac:dyDescent="0.3">
      <c r="A18" s="7" t="s">
        <v>74</v>
      </c>
      <c r="B18" s="10"/>
      <c r="C18" s="64">
        <f>-(ОФП!C16-ОФП!D16)</f>
        <v>-499627</v>
      </c>
      <c r="D18" s="70">
        <v>-2304766</v>
      </c>
      <c r="J18" s="58" t="s">
        <v>115</v>
      </c>
      <c r="K18" s="59" t="s">
        <v>116</v>
      </c>
    </row>
    <row r="19" spans="1:11" x14ac:dyDescent="0.3">
      <c r="A19" s="7" t="s">
        <v>75</v>
      </c>
      <c r="B19" s="10"/>
      <c r="C19" s="64">
        <f>-ОФП!C17+ОФП!D17</f>
        <v>-290578</v>
      </c>
      <c r="D19" s="70">
        <v>-750773</v>
      </c>
      <c r="I19">
        <v>1030</v>
      </c>
      <c r="J19" s="37">
        <v>30291221.57</v>
      </c>
      <c r="K19" s="37">
        <v>-29797091.84</v>
      </c>
    </row>
    <row r="20" spans="1:11" x14ac:dyDescent="0.3">
      <c r="A20" s="7" t="s">
        <v>76</v>
      </c>
      <c r="B20" s="10"/>
      <c r="C20" s="64">
        <f>-(ОФП!C19-ОФП!D19)</f>
        <v>278676</v>
      </c>
      <c r="D20" s="70">
        <v>-1462310</v>
      </c>
      <c r="I20">
        <v>1050</v>
      </c>
      <c r="J20" s="37">
        <v>1634987.2</v>
      </c>
      <c r="K20" s="37">
        <v>-622566.55000000005</v>
      </c>
    </row>
    <row r="21" spans="1:11" x14ac:dyDescent="0.3">
      <c r="A21" s="7" t="s">
        <v>77</v>
      </c>
      <c r="B21" s="10"/>
      <c r="C21" s="64">
        <f>ОФП!C38-ОФП!D38</f>
        <v>-66021</v>
      </c>
      <c r="D21" s="70">
        <v>108521</v>
      </c>
      <c r="I21" t="s">
        <v>104</v>
      </c>
      <c r="J21" s="37">
        <f>SUM(J19:J20)</f>
        <v>31926208.77</v>
      </c>
      <c r="K21" s="37">
        <f>SUM(K19:K20)</f>
        <v>-30419658.390000001</v>
      </c>
    </row>
    <row r="22" spans="1:11" ht="15" thickBot="1" x14ac:dyDescent="0.35">
      <c r="A22" s="7" t="s">
        <v>103</v>
      </c>
      <c r="B22" s="10"/>
      <c r="C22" s="65">
        <f>ОФП!C37-ОФП!D37</f>
        <v>-357522</v>
      </c>
      <c r="D22" s="72">
        <v>1443425</v>
      </c>
      <c r="I22" s="18" t="s">
        <v>118</v>
      </c>
      <c r="J22" s="88">
        <f>J21+K21</f>
        <v>1506550.379999999</v>
      </c>
      <c r="K22" s="37"/>
    </row>
    <row r="23" spans="1:11" x14ac:dyDescent="0.3">
      <c r="A23" s="116" t="s">
        <v>78</v>
      </c>
      <c r="B23" s="56"/>
      <c r="C23" s="76"/>
      <c r="D23" s="77"/>
      <c r="J23" s="37"/>
      <c r="K23" s="37"/>
    </row>
    <row r="24" spans="1:11" x14ac:dyDescent="0.3">
      <c r="A24" s="116"/>
      <c r="B24" s="57">
        <v>23</v>
      </c>
      <c r="C24" s="74">
        <f>C17+C18+C19+C20+C21+C22</f>
        <v>368075.93946000002</v>
      </c>
      <c r="D24" s="75">
        <f>D17+D18+D19+D20+D21+D22</f>
        <v>-1648241</v>
      </c>
      <c r="I24" s="18" t="s">
        <v>119</v>
      </c>
      <c r="J24" s="37"/>
    </row>
    <row r="25" spans="1:11" x14ac:dyDescent="0.3">
      <c r="A25" s="7" t="s">
        <v>79</v>
      </c>
      <c r="B25" s="10"/>
      <c r="C25" s="70">
        <f>J27/1000</f>
        <v>6953.7840300000007</v>
      </c>
      <c r="D25" s="70">
        <v>5544</v>
      </c>
      <c r="I25">
        <v>6110</v>
      </c>
      <c r="J25" s="37">
        <v>7203940.3300000001</v>
      </c>
    </row>
    <row r="26" spans="1:11" ht="15" thickBot="1" x14ac:dyDescent="0.35">
      <c r="A26" s="7" t="s">
        <v>80</v>
      </c>
      <c r="B26" s="10"/>
      <c r="C26" s="65">
        <v>-130000</v>
      </c>
      <c r="D26" s="72" t="s">
        <v>20</v>
      </c>
      <c r="I26">
        <v>1412</v>
      </c>
      <c r="J26" s="37">
        <v>250156.3</v>
      </c>
    </row>
    <row r="27" spans="1:11" x14ac:dyDescent="0.3">
      <c r="A27" s="117" t="s">
        <v>81</v>
      </c>
      <c r="B27" s="114"/>
      <c r="C27" s="73"/>
      <c r="D27" s="78"/>
      <c r="J27" s="38">
        <f>J25-J26</f>
        <v>6953784.0300000003</v>
      </c>
    </row>
    <row r="28" spans="1:11" ht="15" thickBot="1" x14ac:dyDescent="0.35">
      <c r="A28" s="117"/>
      <c r="B28" s="114"/>
      <c r="C28" s="79">
        <f>C24+C25+C26</f>
        <v>245029.72349</v>
      </c>
      <c r="D28" s="80">
        <f>D24+D25</f>
        <v>-1642697</v>
      </c>
      <c r="J28" s="37"/>
    </row>
    <row r="29" spans="1:11" x14ac:dyDescent="0.3">
      <c r="A29" s="11"/>
      <c r="B29" s="114"/>
      <c r="C29" s="118"/>
      <c r="D29" s="120"/>
      <c r="I29" t="s">
        <v>121</v>
      </c>
      <c r="J29" t="s">
        <v>127</v>
      </c>
    </row>
    <row r="30" spans="1:11" x14ac:dyDescent="0.3">
      <c r="A30" s="9" t="s">
        <v>82</v>
      </c>
      <c r="B30" s="114"/>
      <c r="C30" s="119"/>
      <c r="D30" s="121"/>
      <c r="I30" t="s">
        <v>122</v>
      </c>
      <c r="J30" s="60">
        <v>384223102.47000003</v>
      </c>
      <c r="K30" s="37">
        <v>515015496.66000003</v>
      </c>
    </row>
    <row r="31" spans="1:11" x14ac:dyDescent="0.3">
      <c r="A31" s="7" t="s">
        <v>83</v>
      </c>
      <c r="B31" s="8">
        <v>11</v>
      </c>
      <c r="C31" s="70">
        <f>(-J30-J32)/1000</f>
        <v>-676617.79695000011</v>
      </c>
      <c r="D31" s="70">
        <v>-3441079</v>
      </c>
      <c r="I31" t="s">
        <v>123</v>
      </c>
      <c r="J31" s="60">
        <v>26383928.579999998</v>
      </c>
      <c r="K31" s="37">
        <f>J31*1.12</f>
        <v>29550000.009600002</v>
      </c>
    </row>
    <row r="32" spans="1:11" x14ac:dyDescent="0.3">
      <c r="A32" s="7" t="s">
        <v>84</v>
      </c>
      <c r="B32" s="8">
        <v>13</v>
      </c>
      <c r="C32" s="70">
        <f>-J31/1000</f>
        <v>-26383.92858</v>
      </c>
      <c r="D32" s="70">
        <v>-22894</v>
      </c>
      <c r="I32" t="s">
        <v>124</v>
      </c>
      <c r="J32" s="60">
        <v>292394694.48000002</v>
      </c>
      <c r="K32" s="37"/>
    </row>
    <row r="33" spans="1:10" x14ac:dyDescent="0.3">
      <c r="A33" s="7" t="s">
        <v>85</v>
      </c>
      <c r="B33" s="8">
        <v>17</v>
      </c>
      <c r="C33" s="70">
        <f>-J34/1000</f>
        <v>-12126.2</v>
      </c>
      <c r="D33" s="70">
        <v>-80626</v>
      </c>
      <c r="J33" s="60"/>
    </row>
    <row r="34" spans="1:10" ht="15" thickBot="1" x14ac:dyDescent="0.35">
      <c r="A34" s="7" t="s">
        <v>86</v>
      </c>
      <c r="B34" s="8">
        <v>19</v>
      </c>
      <c r="C34" s="72">
        <f>-1977.07143-27322+239</f>
        <v>-29060.07143</v>
      </c>
      <c r="D34" s="72">
        <v>-14165</v>
      </c>
      <c r="I34" t="s">
        <v>125</v>
      </c>
      <c r="J34" s="60">
        <v>12126200</v>
      </c>
    </row>
    <row r="35" spans="1:10" ht="24.6" thickBot="1" x14ac:dyDescent="0.35">
      <c r="A35" s="9" t="s">
        <v>87</v>
      </c>
      <c r="B35" s="10"/>
      <c r="C35" s="80">
        <f>SUM(C31:C34)</f>
        <v>-744187.99696000002</v>
      </c>
      <c r="D35" s="80">
        <f>SUM(D31:D34)</f>
        <v>-3558764</v>
      </c>
      <c r="J35" s="60"/>
    </row>
    <row r="36" spans="1:10" x14ac:dyDescent="0.3">
      <c r="A36" s="11"/>
      <c r="B36" s="114"/>
      <c r="C36" s="120"/>
      <c r="D36" s="120"/>
      <c r="J36" s="60"/>
    </row>
    <row r="37" spans="1:10" x14ac:dyDescent="0.3">
      <c r="A37" s="9" t="s">
        <v>88</v>
      </c>
      <c r="B37" s="114"/>
      <c r="C37" s="121"/>
      <c r="D37" s="121"/>
      <c r="J37" s="60"/>
    </row>
    <row r="38" spans="1:10" x14ac:dyDescent="0.3">
      <c r="A38" s="7" t="s">
        <v>89</v>
      </c>
      <c r="B38" s="8" t="s">
        <v>51</v>
      </c>
      <c r="C38" s="70">
        <v>0</v>
      </c>
      <c r="D38" s="70">
        <v>5370000</v>
      </c>
      <c r="J38" s="60"/>
    </row>
    <row r="39" spans="1:10" ht="15" thickBot="1" x14ac:dyDescent="0.35">
      <c r="A39" s="7" t="s">
        <v>90</v>
      </c>
      <c r="B39" s="8" t="s">
        <v>56</v>
      </c>
      <c r="C39" s="72">
        <v>-11260</v>
      </c>
      <c r="D39" s="72">
        <v>-12960</v>
      </c>
    </row>
    <row r="40" spans="1:10" ht="15" thickBot="1" x14ac:dyDescent="0.35">
      <c r="A40" s="9" t="s">
        <v>91</v>
      </c>
      <c r="B40" s="10"/>
      <c r="C40" s="80">
        <f>SUM(C38:C39)</f>
        <v>-11260</v>
      </c>
      <c r="D40" s="80">
        <f>SUM(D38:D39)</f>
        <v>5357040</v>
      </c>
    </row>
    <row r="41" spans="1:10" x14ac:dyDescent="0.3">
      <c r="A41" s="11"/>
      <c r="B41" s="114"/>
      <c r="C41" s="81"/>
      <c r="D41" s="81"/>
    </row>
    <row r="42" spans="1:10" x14ac:dyDescent="0.3">
      <c r="A42" s="7" t="s">
        <v>92</v>
      </c>
      <c r="B42" s="114"/>
      <c r="C42" s="70">
        <f>C28+C35+C40</f>
        <v>-510418.27347000001</v>
      </c>
      <c r="D42" s="70">
        <f>D28+D35+D40</f>
        <v>155579</v>
      </c>
    </row>
    <row r="43" spans="1:10" x14ac:dyDescent="0.3">
      <c r="A43" s="7" t="s">
        <v>93</v>
      </c>
      <c r="B43" s="10"/>
      <c r="C43" s="70">
        <f>-C15</f>
        <v>1506.550379999999</v>
      </c>
      <c r="D43" s="70">
        <v>13</v>
      </c>
    </row>
    <row r="44" spans="1:10" ht="15" thickBot="1" x14ac:dyDescent="0.35">
      <c r="A44" s="7" t="s">
        <v>94</v>
      </c>
      <c r="B44" s="10"/>
      <c r="C44" s="72">
        <f>D45</f>
        <v>247136</v>
      </c>
      <c r="D44" s="72">
        <v>91544</v>
      </c>
      <c r="E44" s="28"/>
    </row>
    <row r="45" spans="1:10" ht="15" thickBot="1" x14ac:dyDescent="0.35">
      <c r="A45" s="9" t="s">
        <v>95</v>
      </c>
      <c r="B45" s="8">
        <v>17</v>
      </c>
      <c r="C45" s="82">
        <f>SUM(C42:C44)</f>
        <v>-261775.72309000004</v>
      </c>
      <c r="D45" s="82">
        <f>SUM(D42:D44)</f>
        <v>247136</v>
      </c>
    </row>
    <row r="46" spans="1:10" ht="15" thickTop="1" x14ac:dyDescent="0.3">
      <c r="A46" s="29"/>
      <c r="C46" s="69"/>
      <c r="D46" s="69"/>
    </row>
    <row r="47" spans="1:10" x14ac:dyDescent="0.3">
      <c r="A47" s="30" t="s">
        <v>96</v>
      </c>
      <c r="C47" s="44"/>
      <c r="D47" s="20"/>
    </row>
    <row r="48" spans="1:10" x14ac:dyDescent="0.3">
      <c r="A48" s="31"/>
      <c r="C48" s="20"/>
      <c r="D48" s="20"/>
    </row>
    <row r="49" spans="1:4" x14ac:dyDescent="0.3">
      <c r="A49" s="16"/>
      <c r="B49" s="16"/>
      <c r="C49" s="52"/>
      <c r="D49" s="53"/>
    </row>
    <row r="50" spans="1:4" x14ac:dyDescent="0.3">
      <c r="A50" s="2" t="s">
        <v>67</v>
      </c>
      <c r="B50" s="4" t="s">
        <v>1</v>
      </c>
      <c r="C50" s="54">
        <v>2021</v>
      </c>
      <c r="D50" s="54">
        <v>2020</v>
      </c>
    </row>
    <row r="51" spans="1:4" ht="15" thickBot="1" x14ac:dyDescent="0.35">
      <c r="A51" s="3"/>
      <c r="B51" s="3"/>
      <c r="C51" s="55"/>
      <c r="D51" s="55"/>
    </row>
    <row r="52" spans="1:4" x14ac:dyDescent="0.3">
      <c r="A52" s="7" t="s">
        <v>97</v>
      </c>
      <c r="B52" s="8">
        <v>19</v>
      </c>
      <c r="C52" s="22" t="s">
        <v>9</v>
      </c>
      <c r="D52" s="22">
        <v>413448</v>
      </c>
    </row>
    <row r="53" spans="1:4" x14ac:dyDescent="0.3">
      <c r="A53" s="7" t="s">
        <v>98</v>
      </c>
      <c r="B53" s="8">
        <v>19</v>
      </c>
      <c r="C53" s="22" t="s">
        <v>9</v>
      </c>
      <c r="D53" s="22">
        <v>30127</v>
      </c>
    </row>
    <row r="54" spans="1:4" x14ac:dyDescent="0.3">
      <c r="A54" s="7" t="s">
        <v>99</v>
      </c>
      <c r="B54" s="8">
        <v>20</v>
      </c>
      <c r="C54" s="22">
        <v>60217</v>
      </c>
      <c r="D54" s="22">
        <v>59262</v>
      </c>
    </row>
    <row r="55" spans="1:4" x14ac:dyDescent="0.3">
      <c r="A55" s="7" t="s">
        <v>100</v>
      </c>
      <c r="B55" s="8">
        <v>20</v>
      </c>
      <c r="C55" s="22">
        <v>-42564</v>
      </c>
      <c r="D55" s="22">
        <v>-4878</v>
      </c>
    </row>
    <row r="56" spans="1:4" ht="15" thickBot="1" x14ac:dyDescent="0.35">
      <c r="A56" s="7" t="s">
        <v>101</v>
      </c>
      <c r="B56" s="10"/>
      <c r="C56" s="23">
        <v>773</v>
      </c>
      <c r="D56" s="23">
        <v>511</v>
      </c>
    </row>
    <row r="57" spans="1:4" x14ac:dyDescent="0.3">
      <c r="C57" s="20"/>
      <c r="D57" s="20"/>
    </row>
  </sheetData>
  <mergeCells count="15">
    <mergeCell ref="A1:D1"/>
    <mergeCell ref="J17:K17"/>
    <mergeCell ref="B41:B42"/>
    <mergeCell ref="A16:A17"/>
    <mergeCell ref="B16:B17"/>
    <mergeCell ref="A23:A24"/>
    <mergeCell ref="A27:A28"/>
    <mergeCell ref="B27:B28"/>
    <mergeCell ref="B29:B30"/>
    <mergeCell ref="A2:D2"/>
    <mergeCell ref="C29:C30"/>
    <mergeCell ref="D29:D30"/>
    <mergeCell ref="B36:B37"/>
    <mergeCell ref="C36:C37"/>
    <mergeCell ref="D36:D3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C01C-0716-496E-BFDE-647CC40E9BF0}">
  <sheetPr>
    <pageSetUpPr fitToPage="1"/>
  </sheetPr>
  <dimension ref="A1:E57"/>
  <sheetViews>
    <sheetView tabSelected="1" zoomScaleNormal="100" workbookViewId="0">
      <selection activeCell="D32" sqref="D32"/>
    </sheetView>
  </sheetViews>
  <sheetFormatPr defaultRowHeight="14.4" x14ac:dyDescent="0.3"/>
  <cols>
    <col min="1" max="1" width="60.33203125" customWidth="1"/>
    <col min="3" max="4" width="17.5546875" customWidth="1"/>
    <col min="9" max="9" width="9.109375" customWidth="1"/>
  </cols>
  <sheetData>
    <row r="1" spans="1:4" x14ac:dyDescent="0.3">
      <c r="A1" s="112" t="s">
        <v>126</v>
      </c>
      <c r="B1" s="112"/>
      <c r="C1" s="112"/>
      <c r="D1" s="112"/>
    </row>
    <row r="2" spans="1:4" ht="39.75" customHeight="1" x14ac:dyDescent="0.3">
      <c r="A2" s="111" t="s">
        <v>256</v>
      </c>
      <c r="B2" s="111"/>
      <c r="C2" s="111"/>
      <c r="D2" s="111"/>
    </row>
    <row r="3" spans="1:4" x14ac:dyDescent="0.3">
      <c r="A3" s="1"/>
      <c r="B3" s="1"/>
      <c r="C3" s="1"/>
      <c r="D3" s="4"/>
    </row>
    <row r="4" spans="1:4" x14ac:dyDescent="0.3">
      <c r="A4" s="2" t="s">
        <v>67</v>
      </c>
      <c r="B4" s="4" t="s">
        <v>1</v>
      </c>
      <c r="C4" s="5">
        <v>2022</v>
      </c>
      <c r="D4" s="5">
        <v>2021</v>
      </c>
    </row>
    <row r="5" spans="1:4" ht="15" thickBot="1" x14ac:dyDescent="0.35">
      <c r="A5" s="3"/>
      <c r="B5" s="3"/>
      <c r="C5" s="6"/>
      <c r="D5" s="6"/>
    </row>
    <row r="6" spans="1:4" x14ac:dyDescent="0.3">
      <c r="A6" s="85" t="s">
        <v>68</v>
      </c>
      <c r="B6" s="83"/>
      <c r="C6" s="42"/>
      <c r="D6" s="42"/>
    </row>
    <row r="7" spans="1:4" x14ac:dyDescent="0.3">
      <c r="A7" s="84" t="s">
        <v>15</v>
      </c>
      <c r="B7" s="83"/>
      <c r="C7" s="64">
        <f>'ОДР и ПСД'!C17</f>
        <v>943549</v>
      </c>
      <c r="D7" s="70">
        <v>428078</v>
      </c>
    </row>
    <row r="8" spans="1:4" x14ac:dyDescent="0.3">
      <c r="A8" s="84" t="s">
        <v>69</v>
      </c>
      <c r="B8" s="83"/>
      <c r="C8" s="86"/>
      <c r="D8" s="87"/>
    </row>
    <row r="9" spans="1:4" x14ac:dyDescent="0.3">
      <c r="A9" s="84" t="s">
        <v>11</v>
      </c>
      <c r="B9" s="8" t="s">
        <v>12</v>
      </c>
      <c r="C9" s="64">
        <f>-'ОДР и ПСД'!C14</f>
        <v>-10750</v>
      </c>
      <c r="D9" s="70">
        <v>-1890</v>
      </c>
    </row>
    <row r="10" spans="1:4" x14ac:dyDescent="0.3">
      <c r="A10" s="84" t="s">
        <v>13</v>
      </c>
      <c r="B10" s="8" t="s">
        <v>14</v>
      </c>
      <c r="C10" s="64">
        <f>-'ОДР и ПСД'!C15</f>
        <v>6088</v>
      </c>
      <c r="D10" s="70">
        <v>4999</v>
      </c>
    </row>
    <row r="11" spans="1:4" x14ac:dyDescent="0.3">
      <c r="A11" s="84" t="s">
        <v>70</v>
      </c>
      <c r="B11" s="8">
        <v>4.5999999999999996</v>
      </c>
      <c r="C11" s="64">
        <v>159258</v>
      </c>
      <c r="D11" s="70">
        <v>107411</v>
      </c>
    </row>
    <row r="12" spans="1:4" x14ac:dyDescent="0.3">
      <c r="A12" s="84" t="s">
        <v>8</v>
      </c>
      <c r="B12" s="8">
        <v>8</v>
      </c>
      <c r="C12" s="64" t="s">
        <v>9</v>
      </c>
      <c r="D12" s="70" t="s">
        <v>9</v>
      </c>
    </row>
    <row r="13" spans="1:4" x14ac:dyDescent="0.3">
      <c r="A13" s="84" t="s">
        <v>71</v>
      </c>
      <c r="B13" s="36">
        <v>7</v>
      </c>
      <c r="C13" s="70" t="s">
        <v>9</v>
      </c>
      <c r="D13" s="70">
        <v>19187</v>
      </c>
    </row>
    <row r="14" spans="1:4" x14ac:dyDescent="0.3">
      <c r="A14" s="84" t="s">
        <v>102</v>
      </c>
      <c r="B14" s="83"/>
      <c r="C14" s="70"/>
      <c r="D14" s="70"/>
    </row>
    <row r="15" spans="1:4" ht="15" thickBot="1" x14ac:dyDescent="0.35">
      <c r="A15" s="84" t="s">
        <v>271</v>
      </c>
      <c r="B15" s="83"/>
      <c r="C15" s="72">
        <v>167964</v>
      </c>
      <c r="D15" s="72">
        <v>14459</v>
      </c>
    </row>
    <row r="16" spans="1:4" x14ac:dyDescent="0.3">
      <c r="A16" s="115" t="s">
        <v>73</v>
      </c>
      <c r="B16" s="114"/>
      <c r="C16" s="73"/>
      <c r="D16" s="73"/>
    </row>
    <row r="17" spans="1:4" s="18" customFormat="1" x14ac:dyDescent="0.3">
      <c r="A17" s="115"/>
      <c r="B17" s="114"/>
      <c r="C17" s="74">
        <f>SUM(C7:C15)</f>
        <v>1266109</v>
      </c>
      <c r="D17" s="75">
        <f>SUM(D7:D15)</f>
        <v>572244</v>
      </c>
    </row>
    <row r="18" spans="1:4" x14ac:dyDescent="0.3">
      <c r="A18" s="84" t="s">
        <v>74</v>
      </c>
      <c r="B18" s="83"/>
      <c r="C18" s="64">
        <f>-(ОФП!C16-ОФП!D16)</f>
        <v>-499627</v>
      </c>
      <c r="D18" s="70">
        <v>-252717</v>
      </c>
    </row>
    <row r="19" spans="1:4" x14ac:dyDescent="0.3">
      <c r="A19" s="84" t="s">
        <v>75</v>
      </c>
      <c r="B19" s="83"/>
      <c r="C19" s="64">
        <f>-ОФП!C17+ОФП!D17</f>
        <v>-290578</v>
      </c>
      <c r="D19" s="70">
        <v>-52440</v>
      </c>
    </row>
    <row r="20" spans="1:4" x14ac:dyDescent="0.3">
      <c r="A20" s="84" t="s">
        <v>76</v>
      </c>
      <c r="B20" s="83"/>
      <c r="C20" s="64">
        <f>-(ОФП!C19-ОФП!D19)</f>
        <v>278676</v>
      </c>
      <c r="D20" s="70">
        <v>6001</v>
      </c>
    </row>
    <row r="21" spans="1:4" x14ac:dyDescent="0.3">
      <c r="A21" s="84" t="s">
        <v>77</v>
      </c>
      <c r="B21" s="83"/>
      <c r="C21" s="64">
        <f>ОФП!C38-ОФП!D38</f>
        <v>-66021</v>
      </c>
      <c r="D21" s="70">
        <v>-21560</v>
      </c>
    </row>
    <row r="22" spans="1:4" ht="15" thickBot="1" x14ac:dyDescent="0.35">
      <c r="A22" s="84" t="s">
        <v>103</v>
      </c>
      <c r="B22" s="83"/>
      <c r="C22" s="65">
        <f>ОФП!C37-ОФП!D37</f>
        <v>-357522</v>
      </c>
      <c r="D22" s="72">
        <v>-59335</v>
      </c>
    </row>
    <row r="23" spans="1:4" x14ac:dyDescent="0.3">
      <c r="A23" s="116" t="s">
        <v>78</v>
      </c>
      <c r="B23" s="56"/>
      <c r="C23" s="76"/>
      <c r="D23" s="77"/>
    </row>
    <row r="24" spans="1:4" x14ac:dyDescent="0.3">
      <c r="A24" s="116"/>
      <c r="B24" s="57">
        <v>23</v>
      </c>
      <c r="C24" s="74">
        <f>C17+C18+C19+C20+C21+C22</f>
        <v>331037</v>
      </c>
      <c r="D24" s="75">
        <f>D17+D18+D19+D20+D21+D22</f>
        <v>192193</v>
      </c>
    </row>
    <row r="25" spans="1:4" x14ac:dyDescent="0.3">
      <c r="A25" s="84" t="s">
        <v>79</v>
      </c>
      <c r="B25" s="83"/>
      <c r="C25" s="70">
        <v>10750</v>
      </c>
      <c r="D25" s="70">
        <v>1890</v>
      </c>
    </row>
    <row r="26" spans="1:4" ht="15" thickBot="1" x14ac:dyDescent="0.35">
      <c r="A26" s="84" t="s">
        <v>80</v>
      </c>
      <c r="B26" s="83"/>
      <c r="C26" s="65">
        <f>-202639-877</f>
        <v>-203516</v>
      </c>
      <c r="D26" s="72" t="s">
        <v>20</v>
      </c>
    </row>
    <row r="27" spans="1:4" x14ac:dyDescent="0.3">
      <c r="A27" s="117" t="s">
        <v>81</v>
      </c>
      <c r="B27" s="114"/>
      <c r="C27" s="73"/>
      <c r="D27" s="78"/>
    </row>
    <row r="28" spans="1:4" ht="15" thickBot="1" x14ac:dyDescent="0.35">
      <c r="A28" s="117"/>
      <c r="B28" s="114"/>
      <c r="C28" s="79">
        <f>C24+C25+C26</f>
        <v>138271</v>
      </c>
      <c r="D28" s="80">
        <f>D24+D25</f>
        <v>194083</v>
      </c>
    </row>
    <row r="29" spans="1:4" x14ac:dyDescent="0.3">
      <c r="A29" s="11"/>
      <c r="B29" s="114"/>
      <c r="C29" s="103"/>
      <c r="D29" s="120"/>
    </row>
    <row r="30" spans="1:4" x14ac:dyDescent="0.3">
      <c r="A30" s="85" t="s">
        <v>82</v>
      </c>
      <c r="B30" s="114"/>
      <c r="C30" s="104"/>
      <c r="D30" s="121"/>
    </row>
    <row r="31" spans="1:4" x14ac:dyDescent="0.3">
      <c r="A31" s="84" t="s">
        <v>83</v>
      </c>
      <c r="B31" s="8">
        <v>11</v>
      </c>
      <c r="C31" s="135">
        <v>-205165</v>
      </c>
      <c r="D31" s="70">
        <f>-228936-32871+3522</f>
        <v>-258285</v>
      </c>
    </row>
    <row r="32" spans="1:4" x14ac:dyDescent="0.3">
      <c r="A32" s="84" t="s">
        <v>84</v>
      </c>
      <c r="B32" s="8">
        <v>13</v>
      </c>
      <c r="C32" s="135">
        <v>-3172</v>
      </c>
      <c r="D32" s="70" t="s">
        <v>9</v>
      </c>
    </row>
    <row r="33" spans="1:5" x14ac:dyDescent="0.3">
      <c r="A33" s="84" t="s">
        <v>85</v>
      </c>
      <c r="B33" s="8">
        <v>17</v>
      </c>
      <c r="C33" s="70">
        <v>-2089</v>
      </c>
      <c r="D33" s="70">
        <v>-12126</v>
      </c>
    </row>
    <row r="34" spans="1:5" ht="15" thickBot="1" x14ac:dyDescent="0.35">
      <c r="A34" s="84" t="s">
        <v>86</v>
      </c>
      <c r="B34" s="8">
        <v>19</v>
      </c>
      <c r="C34" s="72">
        <v>-2560</v>
      </c>
      <c r="D34" s="72">
        <v>-3522</v>
      </c>
    </row>
    <row r="35" spans="1:5" ht="24.6" thickBot="1" x14ac:dyDescent="0.35">
      <c r="A35" s="85" t="s">
        <v>87</v>
      </c>
      <c r="B35" s="83"/>
      <c r="C35" s="80">
        <f>SUM(C31:C34)</f>
        <v>-212986</v>
      </c>
      <c r="D35" s="80">
        <f>SUM(D31:D34)</f>
        <v>-273933</v>
      </c>
    </row>
    <row r="36" spans="1:5" x14ac:dyDescent="0.3">
      <c r="A36" s="11"/>
      <c r="B36" s="114"/>
      <c r="C36" s="120"/>
      <c r="D36" s="120"/>
    </row>
    <row r="37" spans="1:5" x14ac:dyDescent="0.3">
      <c r="A37" s="85" t="s">
        <v>88</v>
      </c>
      <c r="B37" s="114"/>
      <c r="C37" s="121"/>
      <c r="D37" s="121"/>
    </row>
    <row r="38" spans="1:5" x14ac:dyDescent="0.3">
      <c r="A38" s="84" t="s">
        <v>89</v>
      </c>
      <c r="B38" s="8" t="s">
        <v>51</v>
      </c>
      <c r="C38" s="70" t="s">
        <v>9</v>
      </c>
      <c r="D38" s="70" t="s">
        <v>9</v>
      </c>
    </row>
    <row r="39" spans="1:5" ht="15" thickBot="1" x14ac:dyDescent="0.35">
      <c r="A39" s="84" t="s">
        <v>90</v>
      </c>
      <c r="B39" s="8" t="s">
        <v>56</v>
      </c>
      <c r="C39" s="72">
        <v>-3780</v>
      </c>
      <c r="D39" s="72">
        <v>-3720</v>
      </c>
    </row>
    <row r="40" spans="1:5" ht="15" thickBot="1" x14ac:dyDescent="0.35">
      <c r="A40" s="85" t="s">
        <v>91</v>
      </c>
      <c r="B40" s="83"/>
      <c r="C40" s="80">
        <f>SUM(C38:C39)</f>
        <v>-3780</v>
      </c>
      <c r="D40" s="80">
        <f>SUM(D38:D39)</f>
        <v>-3720</v>
      </c>
    </row>
    <row r="41" spans="1:5" x14ac:dyDescent="0.3">
      <c r="A41" s="11"/>
      <c r="B41" s="114"/>
      <c r="C41" s="81"/>
      <c r="D41" s="81"/>
    </row>
    <row r="42" spans="1:5" x14ac:dyDescent="0.3">
      <c r="A42" s="84" t="s">
        <v>92</v>
      </c>
      <c r="B42" s="114"/>
      <c r="C42" s="70">
        <f>C28+C35+C40</f>
        <v>-78495</v>
      </c>
      <c r="D42" s="70">
        <f>D28+D35+D40</f>
        <v>-83570</v>
      </c>
    </row>
    <row r="43" spans="1:5" x14ac:dyDescent="0.3">
      <c r="A43" s="84" t="s">
        <v>93</v>
      </c>
      <c r="B43" s="83"/>
      <c r="C43" s="70">
        <f>-C15</f>
        <v>-167964</v>
      </c>
      <c r="D43" s="70">
        <v>-14459</v>
      </c>
    </row>
    <row r="44" spans="1:5" ht="15" thickBot="1" x14ac:dyDescent="0.35">
      <c r="A44" s="84" t="s">
        <v>94</v>
      </c>
      <c r="B44" s="83"/>
      <c r="C44" s="72">
        <v>1310839</v>
      </c>
      <c r="D44" s="72">
        <v>247136</v>
      </c>
      <c r="E44" s="28"/>
    </row>
    <row r="45" spans="1:5" ht="15" thickBot="1" x14ac:dyDescent="0.35">
      <c r="A45" s="85" t="s">
        <v>95</v>
      </c>
      <c r="B45" s="8">
        <v>17</v>
      </c>
      <c r="C45" s="82">
        <f>SUM(C42:C44)</f>
        <v>1064380</v>
      </c>
      <c r="D45" s="82">
        <f>SUM(D42:D44)</f>
        <v>149107</v>
      </c>
    </row>
    <row r="46" spans="1:5" ht="15" thickTop="1" x14ac:dyDescent="0.3">
      <c r="A46" s="29"/>
      <c r="C46" s="89"/>
      <c r="D46" s="69"/>
    </row>
    <row r="47" spans="1:5" x14ac:dyDescent="0.3">
      <c r="A47" s="30" t="s">
        <v>96</v>
      </c>
      <c r="C47" s="44"/>
      <c r="D47" s="69"/>
    </row>
    <row r="48" spans="1:5" x14ac:dyDescent="0.3">
      <c r="A48" s="31"/>
      <c r="C48" s="20"/>
      <c r="D48" s="20"/>
    </row>
    <row r="49" spans="1:4" x14ac:dyDescent="0.3">
      <c r="A49" s="16"/>
      <c r="B49" s="16"/>
      <c r="C49" s="52"/>
      <c r="D49" s="53"/>
    </row>
    <row r="50" spans="1:4" x14ac:dyDescent="0.3">
      <c r="A50" s="2" t="s">
        <v>67</v>
      </c>
      <c r="B50" s="4" t="s">
        <v>1</v>
      </c>
      <c r="C50" s="54">
        <v>2022</v>
      </c>
      <c r="D50" s="54">
        <v>2021</v>
      </c>
    </row>
    <row r="51" spans="1:4" ht="15" thickBot="1" x14ac:dyDescent="0.35">
      <c r="A51" s="3"/>
      <c r="B51" s="3"/>
      <c r="C51" s="55"/>
      <c r="D51" s="55"/>
    </row>
    <row r="52" spans="1:4" x14ac:dyDescent="0.3">
      <c r="A52" s="84" t="s">
        <v>269</v>
      </c>
      <c r="B52" s="8"/>
      <c r="C52" s="64">
        <v>89212</v>
      </c>
      <c r="D52" s="64">
        <v>84337</v>
      </c>
    </row>
    <row r="53" spans="1:4" x14ac:dyDescent="0.3">
      <c r="A53" s="84" t="s">
        <v>270</v>
      </c>
      <c r="B53" s="8">
        <v>19</v>
      </c>
      <c r="C53" s="64" t="s">
        <v>9</v>
      </c>
      <c r="D53" s="64" t="s">
        <v>9</v>
      </c>
    </row>
    <row r="54" spans="1:4" x14ac:dyDescent="0.3">
      <c r="A54" s="84" t="s">
        <v>98</v>
      </c>
      <c r="B54" s="8">
        <v>19</v>
      </c>
      <c r="C54" s="64" t="s">
        <v>9</v>
      </c>
      <c r="D54" s="64" t="s">
        <v>9</v>
      </c>
    </row>
    <row r="55" spans="1:4" x14ac:dyDescent="0.3">
      <c r="A55" s="110" t="s">
        <v>99</v>
      </c>
      <c r="B55" s="8">
        <v>20</v>
      </c>
      <c r="C55" s="64" t="s">
        <v>9</v>
      </c>
      <c r="D55" s="64" t="s">
        <v>9</v>
      </c>
    </row>
    <row r="56" spans="1:4" ht="15" thickBot="1" x14ac:dyDescent="0.35">
      <c r="A56" s="84" t="s">
        <v>101</v>
      </c>
      <c r="B56" s="83"/>
      <c r="C56" s="65">
        <v>877</v>
      </c>
      <c r="D56" s="65">
        <v>11</v>
      </c>
    </row>
    <row r="57" spans="1:4" x14ac:dyDescent="0.3">
      <c r="C57" s="20"/>
      <c r="D57" s="20"/>
    </row>
  </sheetData>
  <mergeCells count="13">
    <mergeCell ref="A27:A28"/>
    <mergeCell ref="B27:B28"/>
    <mergeCell ref="B29:B30"/>
    <mergeCell ref="A1:D1"/>
    <mergeCell ref="A2:D2"/>
    <mergeCell ref="A16:A17"/>
    <mergeCell ref="B16:B17"/>
    <mergeCell ref="A23:A24"/>
    <mergeCell ref="D29:D30"/>
    <mergeCell ref="B36:B37"/>
    <mergeCell ref="C36:C37"/>
    <mergeCell ref="D36:D37"/>
    <mergeCell ref="B41:B42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24DF-F17A-4958-AD92-0813B78D813D}">
  <dimension ref="A1:J99"/>
  <sheetViews>
    <sheetView topLeftCell="A64" zoomScaleNormal="100" workbookViewId="0">
      <selection activeCell="C86" sqref="C86"/>
    </sheetView>
  </sheetViews>
  <sheetFormatPr defaultColWidth="9.109375" defaultRowHeight="14.4" x14ac:dyDescent="0.3"/>
  <cols>
    <col min="1" max="1" width="54.33203125" style="92" customWidth="1"/>
    <col min="2" max="2" width="9.109375" style="92"/>
    <col min="3" max="3" width="15.5546875" style="92" customWidth="1"/>
    <col min="4" max="4" width="18.5546875" style="92" customWidth="1"/>
    <col min="5" max="7" width="0" style="92" hidden="1" customWidth="1"/>
    <col min="8" max="9" width="12.6640625" style="93" hidden="1" customWidth="1"/>
    <col min="10" max="28" width="0" style="92" hidden="1" customWidth="1"/>
    <col min="29" max="16384" width="9.109375" style="92"/>
  </cols>
  <sheetData>
    <row r="1" spans="1:9" s="90" customFormat="1" ht="9.6" x14ac:dyDescent="0.2">
      <c r="A1" s="123" t="s">
        <v>128</v>
      </c>
      <c r="B1" s="123"/>
      <c r="C1" s="123"/>
      <c r="D1" s="123"/>
      <c r="H1" s="91"/>
      <c r="I1" s="91"/>
    </row>
    <row r="2" spans="1:9" s="90" customFormat="1" ht="9.6" x14ac:dyDescent="0.2">
      <c r="A2" s="123" t="s">
        <v>129</v>
      </c>
      <c r="B2" s="123"/>
      <c r="C2" s="123"/>
      <c r="D2" s="123"/>
      <c r="H2" s="91"/>
      <c r="I2" s="91"/>
    </row>
    <row r="3" spans="1:9" s="90" customFormat="1" ht="9.6" x14ac:dyDescent="0.2">
      <c r="A3" s="123" t="s">
        <v>130</v>
      </c>
      <c r="B3" s="123"/>
      <c r="C3" s="123"/>
      <c r="D3" s="123"/>
      <c r="H3" s="91"/>
      <c r="I3" s="91"/>
    </row>
    <row r="4" spans="1:9" s="90" customFormat="1" ht="9.6" x14ac:dyDescent="0.2">
      <c r="A4" s="123" t="s">
        <v>131</v>
      </c>
      <c r="B4" s="123"/>
      <c r="C4" s="123"/>
      <c r="D4" s="123"/>
      <c r="H4" s="91"/>
      <c r="I4" s="91"/>
    </row>
    <row r="5" spans="1:9" ht="15.6" x14ac:dyDescent="0.3">
      <c r="A5" s="124"/>
      <c r="B5" s="124"/>
      <c r="C5" s="124"/>
      <c r="D5" s="124"/>
    </row>
    <row r="6" spans="1:9" x14ac:dyDescent="0.3">
      <c r="A6" s="125" t="s">
        <v>132</v>
      </c>
      <c r="B6" s="125"/>
      <c r="C6" s="125"/>
      <c r="D6" s="125"/>
    </row>
    <row r="7" spans="1:9" ht="15.6" x14ac:dyDescent="0.3">
      <c r="A7" s="124"/>
      <c r="B7" s="124"/>
      <c r="C7" s="124"/>
      <c r="D7" s="124"/>
    </row>
    <row r="8" spans="1:9" s="94" customFormat="1" ht="13.8" x14ac:dyDescent="0.25">
      <c r="A8" s="126" t="s">
        <v>133</v>
      </c>
      <c r="B8" s="126"/>
      <c r="C8" s="126"/>
      <c r="D8" s="126"/>
      <c r="H8" s="95"/>
      <c r="I8" s="95"/>
    </row>
    <row r="9" spans="1:9" s="94" customFormat="1" ht="13.8" x14ac:dyDescent="0.25">
      <c r="A9" s="127" t="s">
        <v>262</v>
      </c>
      <c r="B9" s="127"/>
      <c r="C9" s="127"/>
      <c r="D9" s="127"/>
      <c r="H9" s="95"/>
      <c r="I9" s="95"/>
    </row>
    <row r="10" spans="1:9" s="96" customFormat="1" ht="11.4" x14ac:dyDescent="0.2">
      <c r="A10" s="128"/>
      <c r="B10" s="128"/>
      <c r="C10" s="128"/>
      <c r="D10" s="128"/>
      <c r="H10" s="97"/>
      <c r="I10" s="97"/>
    </row>
    <row r="11" spans="1:9" s="96" customFormat="1" ht="11.4" x14ac:dyDescent="0.2">
      <c r="A11" s="122" t="s">
        <v>134</v>
      </c>
      <c r="B11" s="122"/>
      <c r="C11" s="122"/>
      <c r="D11" s="122"/>
      <c r="H11" s="97"/>
      <c r="I11" s="97"/>
    </row>
    <row r="12" spans="1:9" s="96" customFormat="1" ht="11.4" x14ac:dyDescent="0.2">
      <c r="A12" s="122" t="s">
        <v>135</v>
      </c>
      <c r="B12" s="122"/>
      <c r="C12" s="122"/>
      <c r="D12" s="122"/>
      <c r="H12" s="97"/>
      <c r="I12" s="97"/>
    </row>
    <row r="13" spans="1:9" s="96" customFormat="1" ht="16.5" customHeight="1" x14ac:dyDescent="0.2">
      <c r="A13" s="122" t="s">
        <v>136</v>
      </c>
      <c r="B13" s="122"/>
      <c r="C13" s="122"/>
      <c r="D13" s="122"/>
      <c r="H13" s="97"/>
      <c r="I13" s="97"/>
    </row>
    <row r="14" spans="1:9" s="96" customFormat="1" ht="30.75" customHeight="1" x14ac:dyDescent="0.2">
      <c r="A14" s="122" t="s">
        <v>137</v>
      </c>
      <c r="B14" s="122"/>
      <c r="C14" s="122"/>
      <c r="D14" s="122"/>
      <c r="H14" s="97"/>
      <c r="I14" s="97"/>
    </row>
    <row r="15" spans="1:9" s="96" customFormat="1" ht="15.75" customHeight="1" x14ac:dyDescent="0.2">
      <c r="A15" s="122" t="s">
        <v>138</v>
      </c>
      <c r="B15" s="122"/>
      <c r="C15" s="122"/>
      <c r="D15" s="122"/>
      <c r="H15" s="97"/>
      <c r="I15" s="97"/>
    </row>
    <row r="16" spans="1:9" s="96" customFormat="1" ht="48" customHeight="1" x14ac:dyDescent="0.2">
      <c r="A16" s="122" t="s">
        <v>139</v>
      </c>
      <c r="B16" s="122"/>
      <c r="C16" s="122"/>
      <c r="D16" s="122"/>
      <c r="H16" s="97">
        <v>247136161.63999999</v>
      </c>
      <c r="I16" s="97"/>
    </row>
    <row r="17" spans="1:10" s="96" customFormat="1" ht="11.4" customHeight="1" x14ac:dyDescent="0.2">
      <c r="A17" s="122" t="s">
        <v>266</v>
      </c>
      <c r="B17" s="122"/>
      <c r="C17" s="122"/>
      <c r="D17" s="122"/>
      <c r="H17" s="97"/>
      <c r="I17" s="97"/>
    </row>
    <row r="18" spans="1:10" s="96" customFormat="1" ht="11.4" x14ac:dyDescent="0.2">
      <c r="A18" s="122" t="s">
        <v>261</v>
      </c>
      <c r="B18" s="122"/>
      <c r="C18" s="122"/>
      <c r="D18" s="122"/>
      <c r="H18" s="97">
        <v>1310838601.05</v>
      </c>
      <c r="I18" s="97"/>
    </row>
    <row r="19" spans="1:10" s="96" customFormat="1" ht="11.4" x14ac:dyDescent="0.2">
      <c r="A19" s="130" t="s">
        <v>140</v>
      </c>
      <c r="B19" s="130"/>
      <c r="C19" s="130"/>
      <c r="D19" s="130"/>
      <c r="H19" s="97"/>
      <c r="I19" s="97"/>
    </row>
    <row r="20" spans="1:10" s="96" customFormat="1" ht="22.8" x14ac:dyDescent="0.2">
      <c r="A20" s="98" t="s">
        <v>141</v>
      </c>
      <c r="B20" s="98" t="s">
        <v>142</v>
      </c>
      <c r="C20" s="98" t="s">
        <v>143</v>
      </c>
      <c r="D20" s="98" t="s">
        <v>144</v>
      </c>
      <c r="H20" s="97"/>
      <c r="I20" s="97"/>
    </row>
    <row r="21" spans="1:10" s="96" customFormat="1" ht="11.4" x14ac:dyDescent="0.2">
      <c r="A21" s="131" t="s">
        <v>145</v>
      </c>
      <c r="B21" s="132"/>
      <c r="C21" s="132"/>
      <c r="D21" s="133"/>
      <c r="H21" s="97"/>
      <c r="I21" s="97"/>
    </row>
    <row r="22" spans="1:10" s="96" customFormat="1" ht="12" x14ac:dyDescent="0.2">
      <c r="A22" s="106" t="s">
        <v>146</v>
      </c>
      <c r="B22" s="99" t="s">
        <v>147</v>
      </c>
      <c r="C22" s="108">
        <f>SUM(C24:C29)</f>
        <v>2744095.4877300006</v>
      </c>
      <c r="D22" s="108">
        <f>SUM(D24:D29)</f>
        <v>1249735</v>
      </c>
      <c r="H22" s="97"/>
      <c r="I22" s="97"/>
    </row>
    <row r="23" spans="1:10" s="96" customFormat="1" ht="11.4" x14ac:dyDescent="0.2">
      <c r="A23" s="106" t="s">
        <v>148</v>
      </c>
      <c r="B23" s="101"/>
      <c r="C23" s="100"/>
      <c r="D23" s="100"/>
      <c r="H23" s="97"/>
      <c r="I23" s="97"/>
    </row>
    <row r="24" spans="1:10" s="96" customFormat="1" ht="11.4" x14ac:dyDescent="0.2">
      <c r="A24" s="106" t="s">
        <v>149</v>
      </c>
      <c r="B24" s="99" t="s">
        <v>150</v>
      </c>
      <c r="C24" s="100">
        <f>H29/1000</f>
        <v>2036183.0490300001</v>
      </c>
      <c r="D24" s="100">
        <v>1236659</v>
      </c>
      <c r="H24" s="97"/>
      <c r="I24" s="97"/>
    </row>
    <row r="25" spans="1:10" s="96" customFormat="1" ht="11.4" x14ac:dyDescent="0.2">
      <c r="A25" s="106" t="s">
        <v>151</v>
      </c>
      <c r="B25" s="99" t="s">
        <v>152</v>
      </c>
      <c r="C25" s="100"/>
      <c r="D25" s="100"/>
      <c r="H25" s="97"/>
      <c r="I25" s="97"/>
    </row>
    <row r="26" spans="1:10" s="96" customFormat="1" ht="11.4" x14ac:dyDescent="0.2">
      <c r="A26" s="106" t="s">
        <v>153</v>
      </c>
      <c r="B26" s="99" t="s">
        <v>154</v>
      </c>
      <c r="C26" s="100">
        <f>H64/1000</f>
        <v>417440.47523000004</v>
      </c>
      <c r="D26" s="100">
        <v>34</v>
      </c>
      <c r="H26" s="97"/>
      <c r="I26" s="97"/>
    </row>
    <row r="27" spans="1:10" s="96" customFormat="1" ht="11.4" x14ac:dyDescent="0.2">
      <c r="A27" s="106" t="s">
        <v>155</v>
      </c>
      <c r="B27" s="99" t="s">
        <v>156</v>
      </c>
      <c r="C27" s="100"/>
      <c r="D27" s="100"/>
      <c r="H27" s="97"/>
      <c r="I27" s="97">
        <v>0</v>
      </c>
      <c r="J27" s="96">
        <v>67</v>
      </c>
    </row>
    <row r="28" spans="1:10" s="96" customFormat="1" ht="11.4" x14ac:dyDescent="0.2">
      <c r="A28" s="106" t="s">
        <v>157</v>
      </c>
      <c r="B28" s="99" t="s">
        <v>158</v>
      </c>
      <c r="C28" s="100">
        <f>H32/1000</f>
        <v>6363.5267400000002</v>
      </c>
      <c r="D28" s="100">
        <v>128</v>
      </c>
      <c r="H28" s="97"/>
      <c r="I28" s="97"/>
    </row>
    <row r="29" spans="1:10" s="96" customFormat="1" ht="11.4" x14ac:dyDescent="0.2">
      <c r="A29" s="106" t="s">
        <v>159</v>
      </c>
      <c r="B29" s="99" t="s">
        <v>160</v>
      </c>
      <c r="C29" s="100">
        <f>H65/1000</f>
        <v>284108.43673000002</v>
      </c>
      <c r="D29" s="100">
        <v>12914</v>
      </c>
      <c r="H29" s="97">
        <v>2036183049.0300002</v>
      </c>
      <c r="I29" s="97"/>
      <c r="J29" s="96">
        <v>11</v>
      </c>
    </row>
    <row r="30" spans="1:10" s="96" customFormat="1" ht="12" x14ac:dyDescent="0.2">
      <c r="A30" s="106" t="s">
        <v>161</v>
      </c>
      <c r="B30" s="99" t="s">
        <v>162</v>
      </c>
      <c r="C30" s="108">
        <f>SUM(C32:C38)</f>
        <v>2874600.7107311999</v>
      </c>
      <c r="D30" s="108">
        <f>SUM(D32:D38)</f>
        <v>1158168</v>
      </c>
      <c r="H30" s="97"/>
      <c r="I30" s="97">
        <v>1695631</v>
      </c>
      <c r="J30" s="96">
        <v>27</v>
      </c>
    </row>
    <row r="31" spans="1:10" s="96" customFormat="1" ht="11.4" x14ac:dyDescent="0.2">
      <c r="A31" s="106" t="s">
        <v>148</v>
      </c>
      <c r="B31" s="101"/>
      <c r="C31" s="100"/>
      <c r="D31" s="100"/>
      <c r="H31" s="97"/>
      <c r="I31" s="97"/>
    </row>
    <row r="32" spans="1:10" s="96" customFormat="1" ht="11.4" x14ac:dyDescent="0.2">
      <c r="A32" s="106" t="s">
        <v>163</v>
      </c>
      <c r="B32" s="99" t="s">
        <v>164</v>
      </c>
      <c r="C32" s="100">
        <f>I61/1000</f>
        <v>1397365.1596263999</v>
      </c>
      <c r="D32" s="100">
        <v>775634</v>
      </c>
      <c r="H32" s="97">
        <v>6363526.7400000002</v>
      </c>
      <c r="I32" s="97"/>
      <c r="J32" s="96">
        <v>15</v>
      </c>
    </row>
    <row r="33" spans="1:10" s="96" customFormat="1" ht="11.4" x14ac:dyDescent="0.2">
      <c r="A33" s="106" t="s">
        <v>165</v>
      </c>
      <c r="B33" s="99" t="s">
        <v>166</v>
      </c>
      <c r="C33" s="100">
        <f>I34/1000</f>
        <v>264753.78062479995</v>
      </c>
      <c r="D33" s="100">
        <v>10404</v>
      </c>
      <c r="H33" s="97"/>
      <c r="I33" s="97"/>
    </row>
    <row r="34" spans="1:10" s="96" customFormat="1" ht="11.4" x14ac:dyDescent="0.2">
      <c r="A34" s="106" t="s">
        <v>167</v>
      </c>
      <c r="B34" s="99" t="s">
        <v>168</v>
      </c>
      <c r="C34" s="100">
        <f>I62/1000</f>
        <v>195336.90410000001</v>
      </c>
      <c r="D34" s="100">
        <v>180249</v>
      </c>
      <c r="H34" s="97"/>
      <c r="I34" s="97">
        <v>264753780.62479997</v>
      </c>
      <c r="J34" s="96">
        <v>22</v>
      </c>
    </row>
    <row r="35" spans="1:10" s="96" customFormat="1" ht="11.4" x14ac:dyDescent="0.2">
      <c r="A35" s="106" t="s">
        <v>169</v>
      </c>
      <c r="B35" s="99" t="s">
        <v>170</v>
      </c>
      <c r="C35" s="100"/>
      <c r="D35" s="100"/>
      <c r="H35" s="97"/>
      <c r="I35" s="97"/>
      <c r="J35" s="96">
        <v>105</v>
      </c>
    </row>
    <row r="36" spans="1:10" s="96" customFormat="1" ht="11.4" x14ac:dyDescent="0.2">
      <c r="A36" s="106" t="s">
        <v>171</v>
      </c>
      <c r="B36" s="99" t="s">
        <v>172</v>
      </c>
      <c r="C36" s="100"/>
      <c r="D36" s="100"/>
      <c r="H36" s="97"/>
      <c r="I36" s="97"/>
    </row>
    <row r="37" spans="1:10" s="96" customFormat="1" ht="11.4" x14ac:dyDescent="0.2">
      <c r="A37" s="106" t="s">
        <v>173</v>
      </c>
      <c r="B37" s="99" t="s">
        <v>174</v>
      </c>
      <c r="C37" s="100">
        <f>(I40+I51)/1000</f>
        <v>562001.09</v>
      </c>
      <c r="D37" s="100">
        <v>160669</v>
      </c>
      <c r="H37" s="97"/>
      <c r="I37" s="97"/>
      <c r="J37" s="96" t="s">
        <v>263</v>
      </c>
    </row>
    <row r="38" spans="1:10" s="96" customFormat="1" ht="11.4" x14ac:dyDescent="0.2">
      <c r="A38" s="106" t="s">
        <v>175</v>
      </c>
      <c r="B38" s="99" t="s">
        <v>176</v>
      </c>
      <c r="C38" s="100">
        <f>(I30+I63+I68)/1000</f>
        <v>455143.77638</v>
      </c>
      <c r="D38" s="100">
        <v>31212</v>
      </c>
      <c r="H38" s="97"/>
      <c r="I38" s="97"/>
    </row>
    <row r="39" spans="1:10" s="96" customFormat="1" ht="22.8" x14ac:dyDescent="0.2">
      <c r="A39" s="106" t="s">
        <v>177</v>
      </c>
      <c r="B39" s="99" t="s">
        <v>178</v>
      </c>
      <c r="C39" s="108">
        <f>C22-C30</f>
        <v>-130505.22300119931</v>
      </c>
      <c r="D39" s="108">
        <f>D22-D30</f>
        <v>91567</v>
      </c>
      <c r="H39" s="97"/>
      <c r="I39" s="97"/>
    </row>
    <row r="40" spans="1:10" s="96" customFormat="1" ht="11.4" x14ac:dyDescent="0.2">
      <c r="A40" s="131" t="s">
        <v>179</v>
      </c>
      <c r="B40" s="132"/>
      <c r="C40" s="132"/>
      <c r="D40" s="133"/>
      <c r="H40" s="97"/>
      <c r="I40" s="97">
        <v>517851208</v>
      </c>
      <c r="J40" s="96">
        <v>26</v>
      </c>
    </row>
    <row r="41" spans="1:10" s="96" customFormat="1" ht="11.4" x14ac:dyDescent="0.2">
      <c r="A41" s="106" t="s">
        <v>180</v>
      </c>
      <c r="B41" s="99" t="s">
        <v>181</v>
      </c>
      <c r="C41" s="100">
        <f>SUM(C43:C54)</f>
        <v>0</v>
      </c>
      <c r="D41" s="100">
        <f>SUM(D43:D54)</f>
        <v>0</v>
      </c>
      <c r="H41" s="97"/>
      <c r="I41" s="97"/>
    </row>
    <row r="42" spans="1:10" s="96" customFormat="1" ht="11.4" x14ac:dyDescent="0.2">
      <c r="A42" s="106" t="s">
        <v>148</v>
      </c>
      <c r="B42" s="101"/>
      <c r="C42" s="100"/>
      <c r="D42" s="100"/>
      <c r="H42" s="97"/>
      <c r="I42" s="97"/>
    </row>
    <row r="43" spans="1:10" s="96" customFormat="1" ht="11.4" x14ac:dyDescent="0.2">
      <c r="A43" s="106" t="s">
        <v>182</v>
      </c>
      <c r="B43" s="99" t="s">
        <v>183</v>
      </c>
      <c r="C43" s="100"/>
      <c r="D43" s="100"/>
      <c r="H43" s="97"/>
      <c r="I43" s="97"/>
    </row>
    <row r="44" spans="1:10" s="96" customFormat="1" ht="11.4" x14ac:dyDescent="0.2">
      <c r="A44" s="106" t="s">
        <v>184</v>
      </c>
      <c r="B44" s="99" t="s">
        <v>185</v>
      </c>
      <c r="C44" s="100"/>
      <c r="D44" s="100"/>
      <c r="H44" s="97"/>
      <c r="I44" s="97">
        <v>115953176.0088</v>
      </c>
      <c r="J44" s="96">
        <v>61</v>
      </c>
    </row>
    <row r="45" spans="1:10" s="96" customFormat="1" ht="11.4" x14ac:dyDescent="0.2">
      <c r="A45" s="106" t="s">
        <v>186</v>
      </c>
      <c r="B45" s="99" t="s">
        <v>187</v>
      </c>
      <c r="C45" s="100"/>
      <c r="D45" s="100"/>
      <c r="H45" s="97"/>
      <c r="I45" s="97"/>
      <c r="J45" s="96">
        <v>62</v>
      </c>
    </row>
    <row r="46" spans="1:10" s="96" customFormat="1" ht="22.8" x14ac:dyDescent="0.2">
      <c r="A46" s="106" t="s">
        <v>188</v>
      </c>
      <c r="B46" s="99" t="s">
        <v>189</v>
      </c>
      <c r="C46" s="100"/>
      <c r="D46" s="100"/>
      <c r="H46" s="97"/>
      <c r="I46" s="97"/>
      <c r="J46" s="96">
        <v>63</v>
      </c>
    </row>
    <row r="47" spans="1:10" s="96" customFormat="1" ht="11.4" x14ac:dyDescent="0.2">
      <c r="A47" s="106" t="s">
        <v>190</v>
      </c>
      <c r="B47" s="99" t="s">
        <v>191</v>
      </c>
      <c r="C47" s="100"/>
      <c r="D47" s="100"/>
      <c r="H47" s="97"/>
      <c r="I47" s="97"/>
    </row>
    <row r="48" spans="1:10" s="96" customFormat="1" ht="11.4" x14ac:dyDescent="0.2">
      <c r="A48" s="106" t="s">
        <v>192</v>
      </c>
      <c r="B48" s="99" t="s">
        <v>193</v>
      </c>
      <c r="C48" s="100"/>
      <c r="D48" s="100"/>
      <c r="H48" s="97"/>
      <c r="I48" s="97"/>
    </row>
    <row r="49" spans="1:10" s="96" customFormat="1" ht="11.4" x14ac:dyDescent="0.2">
      <c r="A49" s="106" t="s">
        <v>194</v>
      </c>
      <c r="B49" s="99" t="s">
        <v>195</v>
      </c>
      <c r="C49" s="100"/>
      <c r="D49" s="100"/>
      <c r="H49" s="97"/>
      <c r="I49" s="97"/>
    </row>
    <row r="50" spans="1:10" s="96" customFormat="1" ht="11.4" x14ac:dyDescent="0.2">
      <c r="A50" s="106" t="s">
        <v>196</v>
      </c>
      <c r="B50" s="99" t="s">
        <v>197</v>
      </c>
      <c r="C50" s="100"/>
      <c r="D50" s="100"/>
      <c r="H50" s="97"/>
      <c r="I50" s="97"/>
    </row>
    <row r="51" spans="1:10" s="96" customFormat="1" ht="11.4" x14ac:dyDescent="0.2">
      <c r="A51" s="106" t="s">
        <v>198</v>
      </c>
      <c r="B51" s="99" t="s">
        <v>199</v>
      </c>
      <c r="C51" s="100"/>
      <c r="D51" s="100"/>
      <c r="H51" s="97"/>
      <c r="I51" s="97">
        <v>44149882</v>
      </c>
      <c r="J51" s="96">
        <v>26</v>
      </c>
    </row>
    <row r="52" spans="1:10" s="96" customFormat="1" ht="11.4" x14ac:dyDescent="0.2">
      <c r="A52" s="106" t="s">
        <v>200</v>
      </c>
      <c r="B52" s="99" t="s">
        <v>201</v>
      </c>
      <c r="C52" s="100"/>
      <c r="D52" s="100"/>
      <c r="H52" s="97"/>
      <c r="I52" s="97"/>
    </row>
    <row r="53" spans="1:10" s="96" customFormat="1" ht="11.4" x14ac:dyDescent="0.2">
      <c r="A53" s="106" t="s">
        <v>157</v>
      </c>
      <c r="B53" s="99" t="s">
        <v>202</v>
      </c>
      <c r="C53" s="100"/>
      <c r="D53" s="100"/>
      <c r="H53" s="97"/>
      <c r="I53" s="97"/>
    </row>
    <row r="54" spans="1:10" s="96" customFormat="1" ht="11.4" x14ac:dyDescent="0.2">
      <c r="A54" s="106" t="s">
        <v>159</v>
      </c>
      <c r="B54" s="99" t="s">
        <v>203</v>
      </c>
      <c r="C54" s="100"/>
      <c r="D54" s="100"/>
      <c r="H54" s="97"/>
      <c r="I54" s="97"/>
    </row>
    <row r="55" spans="1:10" s="96" customFormat="1" ht="12" x14ac:dyDescent="0.2">
      <c r="A55" s="106" t="s">
        <v>204</v>
      </c>
      <c r="B55" s="99" t="s">
        <v>205</v>
      </c>
      <c r="C55" s="108">
        <f>SUM(C57:C69)</f>
        <v>115953.1760088</v>
      </c>
      <c r="D55" s="108">
        <f>SUM(D57:D69)</f>
        <v>189596</v>
      </c>
      <c r="H55" s="97"/>
      <c r="I55" s="97"/>
    </row>
    <row r="56" spans="1:10" s="96" customFormat="1" ht="11.4" x14ac:dyDescent="0.2">
      <c r="A56" s="106" t="s">
        <v>148</v>
      </c>
      <c r="B56" s="101"/>
      <c r="C56" s="100"/>
      <c r="D56" s="100"/>
      <c r="H56" s="97"/>
      <c r="I56" s="97"/>
    </row>
    <row r="57" spans="1:10" s="96" customFormat="1" ht="11.4" x14ac:dyDescent="0.2">
      <c r="A57" s="106" t="s">
        <v>206</v>
      </c>
      <c r="B57" s="99" t="s">
        <v>207</v>
      </c>
      <c r="C57" s="100">
        <f>I44/1000</f>
        <v>115953.1760088</v>
      </c>
      <c r="D57" s="100">
        <f>5747+171723</f>
        <v>177470</v>
      </c>
      <c r="E57" s="96">
        <v>515015.49666</v>
      </c>
      <c r="H57" s="97"/>
      <c r="I57" s="97"/>
    </row>
    <row r="58" spans="1:10" s="96" customFormat="1" ht="11.4" x14ac:dyDescent="0.2">
      <c r="A58" s="106" t="s">
        <v>208</v>
      </c>
      <c r="B58" s="99" t="s">
        <v>209</v>
      </c>
      <c r="C58" s="100"/>
      <c r="D58" s="100"/>
      <c r="E58" s="96">
        <v>29550.080000000002</v>
      </c>
      <c r="H58" s="97"/>
      <c r="I58" s="97"/>
    </row>
    <row r="59" spans="1:10" s="96" customFormat="1" ht="11.4" x14ac:dyDescent="0.2">
      <c r="A59" s="106" t="s">
        <v>210</v>
      </c>
      <c r="B59" s="99" t="s">
        <v>211</v>
      </c>
      <c r="C59" s="100"/>
      <c r="D59" s="100"/>
      <c r="E59" s="96">
        <v>12126</v>
      </c>
      <c r="H59" s="97"/>
      <c r="I59" s="97"/>
    </row>
    <row r="60" spans="1:10" s="96" customFormat="1" ht="22.8" x14ac:dyDescent="0.2">
      <c r="A60" s="106" t="s">
        <v>212</v>
      </c>
      <c r="B60" s="99" t="s">
        <v>213</v>
      </c>
      <c r="C60" s="100"/>
      <c r="D60" s="100"/>
      <c r="H60" s="97"/>
      <c r="I60" s="97"/>
    </row>
    <row r="61" spans="1:10" s="96" customFormat="1" ht="11.4" x14ac:dyDescent="0.2">
      <c r="A61" s="106" t="s">
        <v>214</v>
      </c>
      <c r="B61" s="99" t="s">
        <v>215</v>
      </c>
      <c r="C61" s="100"/>
      <c r="D61" s="100"/>
      <c r="H61" s="97"/>
      <c r="I61" s="97">
        <v>1397365159.6263998</v>
      </c>
      <c r="J61" s="96">
        <v>21</v>
      </c>
    </row>
    <row r="62" spans="1:10" s="96" customFormat="1" ht="11.4" x14ac:dyDescent="0.2">
      <c r="A62" s="106" t="s">
        <v>216</v>
      </c>
      <c r="B62" s="99" t="s">
        <v>217</v>
      </c>
      <c r="C62" s="100"/>
      <c r="D62" s="100"/>
      <c r="H62" s="97"/>
      <c r="I62" s="97">
        <v>195336904.10000002</v>
      </c>
      <c r="J62" s="96">
        <v>23</v>
      </c>
    </row>
    <row r="63" spans="1:10" s="96" customFormat="1" ht="11.4" x14ac:dyDescent="0.2">
      <c r="A63" s="106" t="s">
        <v>218</v>
      </c>
      <c r="B63" s="99" t="s">
        <v>219</v>
      </c>
      <c r="C63" s="100">
        <f>I25/1000</f>
        <v>0</v>
      </c>
      <c r="D63" s="100">
        <v>12126</v>
      </c>
      <c r="H63" s="97"/>
      <c r="I63" s="97">
        <v>1375873.15</v>
      </c>
      <c r="J63" s="96">
        <v>27</v>
      </c>
    </row>
    <row r="64" spans="1:10" s="96" customFormat="1" ht="11.4" x14ac:dyDescent="0.2">
      <c r="A64" s="106" t="s">
        <v>169</v>
      </c>
      <c r="B64" s="99" t="s">
        <v>220</v>
      </c>
      <c r="C64" s="100"/>
      <c r="D64" s="100"/>
      <c r="H64" s="97">
        <v>417440475.23000002</v>
      </c>
      <c r="I64" s="97"/>
      <c r="J64" s="96">
        <v>13</v>
      </c>
    </row>
    <row r="65" spans="1:10" s="96" customFormat="1" ht="11.4" x14ac:dyDescent="0.2">
      <c r="A65" s="106" t="s">
        <v>221</v>
      </c>
      <c r="B65" s="99" t="s">
        <v>222</v>
      </c>
      <c r="C65" s="100"/>
      <c r="D65" s="100"/>
      <c r="H65" s="97">
        <v>284108436.73000002</v>
      </c>
      <c r="I65" s="97"/>
      <c r="J65" s="96">
        <v>16</v>
      </c>
    </row>
    <row r="66" spans="1:10" s="96" customFormat="1" ht="11.4" x14ac:dyDescent="0.2">
      <c r="A66" s="106" t="s">
        <v>223</v>
      </c>
      <c r="B66" s="99" t="s">
        <v>224</v>
      </c>
      <c r="C66" s="100"/>
      <c r="D66" s="100"/>
      <c r="H66" s="97"/>
      <c r="I66" s="97"/>
    </row>
    <row r="67" spans="1:10" s="96" customFormat="1" ht="11.4" x14ac:dyDescent="0.2">
      <c r="A67" s="106" t="s">
        <v>198</v>
      </c>
      <c r="B67" s="99" t="s">
        <v>225</v>
      </c>
      <c r="C67" s="100"/>
      <c r="D67" s="100"/>
      <c r="H67" s="97"/>
      <c r="I67" s="97"/>
    </row>
    <row r="68" spans="1:10" s="96" customFormat="1" ht="11.4" x14ac:dyDescent="0.2">
      <c r="A68" s="106" t="s">
        <v>226</v>
      </c>
      <c r="B68" s="99" t="s">
        <v>227</v>
      </c>
      <c r="C68" s="100"/>
      <c r="D68" s="100"/>
      <c r="H68" s="97"/>
      <c r="I68" s="97">
        <v>452072272.23000002</v>
      </c>
      <c r="J68" s="96">
        <v>27</v>
      </c>
    </row>
    <row r="69" spans="1:10" s="96" customFormat="1" ht="11.4" x14ac:dyDescent="0.2">
      <c r="A69" s="106" t="s">
        <v>175</v>
      </c>
      <c r="B69" s="99" t="s">
        <v>228</v>
      </c>
      <c r="C69" s="100"/>
      <c r="D69" s="100"/>
      <c r="H69" s="97"/>
      <c r="I69" s="97"/>
    </row>
    <row r="70" spans="1:10" s="96" customFormat="1" ht="22.8" x14ac:dyDescent="0.2">
      <c r="A70" s="106" t="s">
        <v>229</v>
      </c>
      <c r="B70" s="99" t="s">
        <v>230</v>
      </c>
      <c r="C70" s="108">
        <f>C41-C55</f>
        <v>-115953.1760088</v>
      </c>
      <c r="D70" s="108">
        <f>D41-D55</f>
        <v>-189596</v>
      </c>
      <c r="H70" s="97"/>
      <c r="I70" s="97"/>
    </row>
    <row r="71" spans="1:10" s="96" customFormat="1" ht="11.4" x14ac:dyDescent="0.2">
      <c r="A71" s="131" t="s">
        <v>231</v>
      </c>
      <c r="B71" s="132"/>
      <c r="C71" s="132"/>
      <c r="D71" s="133"/>
      <c r="H71" s="97"/>
      <c r="I71" s="97"/>
    </row>
    <row r="72" spans="1:10" s="96" customFormat="1" ht="11.4" x14ac:dyDescent="0.2">
      <c r="A72" s="106" t="s">
        <v>232</v>
      </c>
      <c r="B72" s="99" t="s">
        <v>233</v>
      </c>
      <c r="C72" s="100">
        <f>SUM(C74:C77)</f>
        <v>0</v>
      </c>
      <c r="D72" s="100">
        <f>SUM(D74:D77)</f>
        <v>0</v>
      </c>
      <c r="H72" s="97"/>
      <c r="I72" s="97"/>
    </row>
    <row r="73" spans="1:10" s="96" customFormat="1" ht="11.4" x14ac:dyDescent="0.2">
      <c r="A73" s="106" t="s">
        <v>148</v>
      </c>
      <c r="B73" s="101"/>
      <c r="C73" s="100"/>
      <c r="D73" s="100"/>
      <c r="H73" s="97"/>
      <c r="I73" s="97"/>
    </row>
    <row r="74" spans="1:10" s="96" customFormat="1" ht="11.4" x14ac:dyDescent="0.2">
      <c r="A74" s="106" t="s">
        <v>234</v>
      </c>
      <c r="B74" s="99" t="s">
        <v>235</v>
      </c>
      <c r="C74" s="100"/>
      <c r="D74" s="100"/>
      <c r="H74" s="97"/>
      <c r="I74" s="97"/>
      <c r="J74" s="96">
        <v>16</v>
      </c>
    </row>
    <row r="75" spans="1:10" s="96" customFormat="1" ht="11.4" x14ac:dyDescent="0.2">
      <c r="A75" s="106" t="s">
        <v>236</v>
      </c>
      <c r="B75" s="99" t="s">
        <v>237</v>
      </c>
      <c r="C75" s="100"/>
      <c r="D75" s="100"/>
      <c r="H75" s="97"/>
      <c r="I75" s="97"/>
    </row>
    <row r="76" spans="1:10" s="96" customFormat="1" ht="11.4" x14ac:dyDescent="0.2">
      <c r="A76" s="106" t="s">
        <v>157</v>
      </c>
      <c r="B76" s="99" t="s">
        <v>238</v>
      </c>
      <c r="C76" s="100"/>
      <c r="D76" s="100"/>
      <c r="H76" s="97"/>
      <c r="I76" s="97"/>
      <c r="J76" s="96">
        <v>120</v>
      </c>
    </row>
    <row r="77" spans="1:10" s="96" customFormat="1" ht="11.4" x14ac:dyDescent="0.2">
      <c r="A77" s="106" t="s">
        <v>159</v>
      </c>
      <c r="B77" s="99" t="s">
        <v>239</v>
      </c>
      <c r="C77" s="100"/>
      <c r="D77" s="100"/>
      <c r="H77" s="97">
        <v>2744095487.73</v>
      </c>
      <c r="I77" s="97">
        <v>2990553886.7399998</v>
      </c>
      <c r="J77" s="96">
        <v>-246458399.00999975</v>
      </c>
    </row>
    <row r="78" spans="1:10" s="96" customFormat="1" ht="11.4" x14ac:dyDescent="0.2">
      <c r="A78" s="106" t="s">
        <v>240</v>
      </c>
      <c r="B78" s="99">
        <v>100</v>
      </c>
      <c r="C78" s="100">
        <f>SUM(C80:C84)</f>
        <v>0</v>
      </c>
      <c r="D78" s="100">
        <f>SUM(D80:D84)</f>
        <v>0</v>
      </c>
      <c r="H78" s="97">
        <v>1064380202.04</v>
      </c>
      <c r="I78" s="97"/>
    </row>
    <row r="79" spans="1:10" s="96" customFormat="1" ht="11.4" x14ac:dyDescent="0.2">
      <c r="A79" s="106" t="s">
        <v>148</v>
      </c>
      <c r="B79" s="101"/>
      <c r="C79" s="100"/>
      <c r="D79" s="100"/>
      <c r="H79" s="97">
        <v>0</v>
      </c>
      <c r="I79" s="97"/>
    </row>
    <row r="80" spans="1:10" s="96" customFormat="1" ht="11.4" x14ac:dyDescent="0.2">
      <c r="A80" s="106" t="s">
        <v>241</v>
      </c>
      <c r="B80" s="99">
        <v>101</v>
      </c>
      <c r="C80" s="100"/>
      <c r="D80" s="100"/>
      <c r="H80" s="97"/>
      <c r="I80" s="97"/>
    </row>
    <row r="81" spans="1:9" s="96" customFormat="1" ht="11.4" x14ac:dyDescent="0.2">
      <c r="A81" s="106" t="s">
        <v>169</v>
      </c>
      <c r="B81" s="99">
        <v>102</v>
      </c>
      <c r="C81" s="100"/>
      <c r="D81" s="100"/>
      <c r="H81" s="97"/>
      <c r="I81" s="97"/>
    </row>
    <row r="82" spans="1:9" s="96" customFormat="1" ht="11.4" x14ac:dyDescent="0.2">
      <c r="A82" s="106" t="s">
        <v>242</v>
      </c>
      <c r="B82" s="99">
        <v>103</v>
      </c>
      <c r="C82" s="100"/>
      <c r="D82" s="100"/>
      <c r="H82" s="97"/>
      <c r="I82" s="97"/>
    </row>
    <row r="83" spans="1:9" s="96" customFormat="1" ht="11.4" x14ac:dyDescent="0.2">
      <c r="A83" s="106" t="s">
        <v>243</v>
      </c>
      <c r="B83" s="99">
        <v>104</v>
      </c>
      <c r="C83" s="100"/>
      <c r="D83" s="100"/>
      <c r="H83" s="97"/>
      <c r="I83" s="97"/>
    </row>
    <row r="84" spans="1:9" s="96" customFormat="1" ht="11.4" x14ac:dyDescent="0.2">
      <c r="A84" s="106" t="s">
        <v>244</v>
      </c>
      <c r="B84" s="99">
        <v>105</v>
      </c>
      <c r="C84" s="100"/>
      <c r="D84" s="100"/>
      <c r="H84" s="97"/>
      <c r="I84" s="97"/>
    </row>
    <row r="85" spans="1:9" s="96" customFormat="1" ht="22.8" x14ac:dyDescent="0.2">
      <c r="A85" s="106" t="s">
        <v>245</v>
      </c>
      <c r="B85" s="99">
        <v>110</v>
      </c>
      <c r="C85" s="100">
        <f>C72-C78</f>
        <v>0</v>
      </c>
      <c r="D85" s="100">
        <f>D72-D78</f>
        <v>0</v>
      </c>
      <c r="H85" s="97"/>
      <c r="I85" s="97"/>
    </row>
    <row r="86" spans="1:9" s="96" customFormat="1" ht="11.4" x14ac:dyDescent="0.2">
      <c r="A86" s="106" t="s">
        <v>246</v>
      </c>
      <c r="B86" s="99">
        <v>120</v>
      </c>
      <c r="C86" s="100"/>
      <c r="D86" s="100"/>
      <c r="H86" s="97"/>
      <c r="I86" s="97"/>
    </row>
    <row r="87" spans="1:9" s="96" customFormat="1" ht="22.8" x14ac:dyDescent="0.2">
      <c r="A87" s="106" t="s">
        <v>247</v>
      </c>
      <c r="B87" s="99">
        <v>130</v>
      </c>
      <c r="C87" s="100"/>
      <c r="D87" s="100"/>
      <c r="H87" s="97"/>
      <c r="I87" s="97"/>
    </row>
    <row r="88" spans="1:9" s="96" customFormat="1" ht="22.8" x14ac:dyDescent="0.2">
      <c r="A88" s="106" t="s">
        <v>248</v>
      </c>
      <c r="B88" s="99">
        <v>140</v>
      </c>
      <c r="C88" s="100">
        <f>C39+C70+C85+C86+C87</f>
        <v>-246458.3990099993</v>
      </c>
      <c r="D88" s="100">
        <f>D39+D70+D85+D86+D87</f>
        <v>-98029</v>
      </c>
      <c r="H88" s="97"/>
      <c r="I88" s="97"/>
    </row>
    <row r="89" spans="1:9" s="96" customFormat="1" ht="22.8" x14ac:dyDescent="0.2">
      <c r="A89" s="106" t="s">
        <v>249</v>
      </c>
      <c r="B89" s="99">
        <v>150</v>
      </c>
      <c r="C89" s="100">
        <f>H18/1000</f>
        <v>1310838.6010499999</v>
      </c>
      <c r="D89" s="100">
        <v>247136</v>
      </c>
      <c r="H89" s="97"/>
      <c r="I89" s="97"/>
    </row>
    <row r="90" spans="1:9" s="96" customFormat="1" ht="22.8" x14ac:dyDescent="0.2">
      <c r="A90" s="106" t="s">
        <v>250</v>
      </c>
      <c r="B90" s="99">
        <v>160</v>
      </c>
      <c r="C90" s="108">
        <f>SUM(C88:C89)</f>
        <v>1064380.2020400006</v>
      </c>
      <c r="D90" s="108">
        <f>SUM(D88:D89)</f>
        <v>149107</v>
      </c>
      <c r="H90" s="97"/>
      <c r="I90" s="97"/>
    </row>
    <row r="91" spans="1:9" s="96" customFormat="1" ht="11.4" x14ac:dyDescent="0.2">
      <c r="A91" s="134"/>
      <c r="B91" s="134"/>
      <c r="C91" s="134"/>
      <c r="D91" s="134"/>
      <c r="H91" s="97"/>
      <c r="I91" s="97"/>
    </row>
    <row r="92" spans="1:9" s="96" customFormat="1" ht="11.4" customHeight="1" x14ac:dyDescent="0.2">
      <c r="A92" s="129" t="s">
        <v>267</v>
      </c>
      <c r="B92" s="129"/>
      <c r="C92" s="129"/>
      <c r="D92" s="129"/>
      <c r="H92" s="97"/>
      <c r="I92" s="97"/>
    </row>
    <row r="93" spans="1:9" s="96" customFormat="1" ht="11.4" customHeight="1" x14ac:dyDescent="0.2">
      <c r="A93" s="129" t="s">
        <v>251</v>
      </c>
      <c r="B93" s="129"/>
      <c r="C93" s="129"/>
      <c r="D93" s="129"/>
      <c r="H93" s="97"/>
      <c r="I93" s="97"/>
    </row>
    <row r="94" spans="1:9" s="96" customFormat="1" ht="11.4" customHeight="1" x14ac:dyDescent="0.2">
      <c r="A94" s="129" t="s">
        <v>268</v>
      </c>
      <c r="B94" s="129"/>
      <c r="C94" s="129"/>
      <c r="D94" s="129"/>
      <c r="H94" s="97"/>
      <c r="I94" s="97"/>
    </row>
    <row r="95" spans="1:9" s="96" customFormat="1" ht="11.4" customHeight="1" x14ac:dyDescent="0.2">
      <c r="A95" s="129" t="s">
        <v>252</v>
      </c>
      <c r="B95" s="129"/>
      <c r="C95" s="129"/>
      <c r="D95" s="129"/>
      <c r="H95" s="97"/>
      <c r="I95" s="97"/>
    </row>
    <row r="96" spans="1:9" s="96" customFormat="1" ht="11.4" x14ac:dyDescent="0.2">
      <c r="A96" s="129"/>
      <c r="B96" s="129"/>
      <c r="C96" s="129"/>
      <c r="D96" s="129"/>
      <c r="H96" s="97"/>
      <c r="I96" s="97"/>
    </row>
    <row r="97" spans="1:9" s="96" customFormat="1" ht="11.4" x14ac:dyDescent="0.2">
      <c r="A97" s="129" t="s">
        <v>253</v>
      </c>
      <c r="B97" s="129"/>
      <c r="C97" s="129"/>
      <c r="D97" s="129"/>
      <c r="H97" s="97"/>
      <c r="I97" s="97"/>
    </row>
    <row r="98" spans="1:9" s="96" customFormat="1" ht="11.4" x14ac:dyDescent="0.2">
      <c r="A98" s="105"/>
      <c r="H98" s="97"/>
      <c r="I98" s="97"/>
    </row>
    <row r="99" spans="1:9" s="96" customFormat="1" ht="11.4" x14ac:dyDescent="0.2">
      <c r="A99" s="102"/>
      <c r="H99" s="97"/>
      <c r="I99" s="97"/>
    </row>
  </sheetData>
  <mergeCells count="29">
    <mergeCell ref="A93:D93"/>
    <mergeCell ref="A94:D94"/>
    <mergeCell ref="A95:D95"/>
    <mergeCell ref="A96:D96"/>
    <mergeCell ref="A97:D97"/>
    <mergeCell ref="A92:D92"/>
    <mergeCell ref="A13:D13"/>
    <mergeCell ref="A14:D14"/>
    <mergeCell ref="A15:D15"/>
    <mergeCell ref="A16:D16"/>
    <mergeCell ref="A17:D17"/>
    <mergeCell ref="A18:D18"/>
    <mergeCell ref="A19:D19"/>
    <mergeCell ref="A21:D21"/>
    <mergeCell ref="A40:D40"/>
    <mergeCell ref="A71:D71"/>
    <mergeCell ref="A91:D91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E13"/>
  <sheetViews>
    <sheetView workbookViewId="0">
      <selection activeCell="A24" sqref="A24"/>
    </sheetView>
  </sheetViews>
  <sheetFormatPr defaultRowHeight="14.4" x14ac:dyDescent="0.3"/>
  <cols>
    <col min="1" max="1" width="34.44140625" customWidth="1"/>
    <col min="3" max="5" width="18" customWidth="1"/>
  </cols>
  <sheetData>
    <row r="1" spans="1:5" x14ac:dyDescent="0.3">
      <c r="A1" s="112" t="s">
        <v>126</v>
      </c>
      <c r="B1" s="112"/>
      <c r="C1" s="112"/>
      <c r="D1" s="112"/>
      <c r="E1" s="112"/>
    </row>
    <row r="2" spans="1:5" ht="47.25" customHeight="1" x14ac:dyDescent="0.3">
      <c r="A2" s="111" t="s">
        <v>259</v>
      </c>
      <c r="B2" s="111"/>
      <c r="C2" s="111"/>
      <c r="D2" s="111"/>
      <c r="E2" s="68"/>
    </row>
    <row r="3" spans="1:5" x14ac:dyDescent="0.3">
      <c r="A3" s="39"/>
    </row>
    <row r="4" spans="1:5" x14ac:dyDescent="0.3">
      <c r="A4" s="16"/>
      <c r="B4" s="16"/>
      <c r="C4" s="16"/>
      <c r="D4" s="4"/>
      <c r="E4" s="16"/>
    </row>
    <row r="5" spans="1:5" x14ac:dyDescent="0.3">
      <c r="A5" s="16"/>
      <c r="B5" s="16"/>
      <c r="E5" s="16"/>
    </row>
    <row r="6" spans="1:5" ht="31.2" thickBot="1" x14ac:dyDescent="0.35">
      <c r="A6" s="2" t="s">
        <v>67</v>
      </c>
      <c r="B6" s="4" t="s">
        <v>1</v>
      </c>
      <c r="C6" s="40" t="s">
        <v>50</v>
      </c>
      <c r="D6" s="40" t="s">
        <v>107</v>
      </c>
      <c r="E6" s="40" t="s">
        <v>104</v>
      </c>
    </row>
    <row r="7" spans="1:5" x14ac:dyDescent="0.3">
      <c r="A7" s="34" t="s">
        <v>106</v>
      </c>
      <c r="B7" s="32"/>
      <c r="C7" s="24">
        <f ca="1">SUM(C7:C8)</f>
        <v>5500000</v>
      </c>
      <c r="D7" s="24">
        <f ca="1">SUM(D7:D8)</f>
        <v>609620</v>
      </c>
      <c r="E7" s="24">
        <f ca="1">SUM(E7:E8)</f>
        <v>6109620</v>
      </c>
    </row>
    <row r="8" spans="1:5" ht="15" thickBot="1" x14ac:dyDescent="0.35">
      <c r="A8" s="33" t="s">
        <v>105</v>
      </c>
      <c r="B8" s="32"/>
      <c r="C8" s="40" t="s">
        <v>20</v>
      </c>
      <c r="D8" s="109">
        <v>2952168</v>
      </c>
      <c r="E8" s="109">
        <f>SUM(C8:D8)</f>
        <v>2952168</v>
      </c>
    </row>
    <row r="9" spans="1:5" ht="16.8" customHeight="1" x14ac:dyDescent="0.3">
      <c r="A9" s="34" t="s">
        <v>257</v>
      </c>
      <c r="B9" s="32"/>
      <c r="C9" s="66">
        <v>5500000</v>
      </c>
      <c r="D9" s="66">
        <v>3561788</v>
      </c>
      <c r="E9" s="66">
        <v>9061788</v>
      </c>
    </row>
    <row r="10" spans="1:5" x14ac:dyDescent="0.3">
      <c r="A10" s="33" t="s">
        <v>264</v>
      </c>
      <c r="B10" s="32"/>
      <c r="C10" s="64"/>
      <c r="D10" s="64">
        <f>'ОДР и ПСД'!C21</f>
        <v>737619</v>
      </c>
      <c r="E10" s="64">
        <f>D10</f>
        <v>737619</v>
      </c>
    </row>
    <row r="11" spans="1:5" ht="15" thickBot="1" x14ac:dyDescent="0.35">
      <c r="A11" s="34" t="s">
        <v>258</v>
      </c>
      <c r="B11" s="32"/>
      <c r="C11" s="25">
        <f>SUM(C9:C10)</f>
        <v>5500000</v>
      </c>
      <c r="D11" s="25">
        <f>D9+D10</f>
        <v>4299407</v>
      </c>
      <c r="E11" s="25">
        <f>E9+E10</f>
        <v>9799407</v>
      </c>
    </row>
    <row r="12" spans="1:5" ht="15" thickTop="1" x14ac:dyDescent="0.3">
      <c r="A12" s="41"/>
      <c r="C12" s="20"/>
      <c r="D12" s="20"/>
      <c r="E12" s="20"/>
    </row>
    <row r="13" spans="1:5" x14ac:dyDescent="0.3">
      <c r="C13" s="20"/>
      <c r="D13" s="89"/>
      <c r="E13" s="20"/>
    </row>
  </sheetData>
  <mergeCells count="2">
    <mergeCell ref="A1:E1"/>
    <mergeCell ref="A2:D2"/>
  </mergeCells>
  <pageMargins left="0.70866141732283472" right="0.31496062992125984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ОФП</vt:lpstr>
      <vt:lpstr>ОДР и ПСД</vt:lpstr>
      <vt:lpstr>ОДДС-К</vt:lpstr>
      <vt:lpstr>ОДДС_К</vt:lpstr>
      <vt:lpstr>Ф.3-ДДС-П</vt:lpstr>
      <vt:lpstr>ОИК</vt:lpstr>
      <vt:lpstr>'Ф.3-ДДС-П'!Область_печати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Aliya Kustanova</cp:lastModifiedBy>
  <cp:lastPrinted>2022-05-25T15:31:58Z</cp:lastPrinted>
  <dcterms:created xsi:type="dcterms:W3CDTF">2021-08-20T06:10:20Z</dcterms:created>
  <dcterms:modified xsi:type="dcterms:W3CDTF">2022-05-25T15:32:10Z</dcterms:modified>
</cp:coreProperties>
</file>