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<sst xmlns="http://schemas.openxmlformats.org/spreadsheetml/2006/main" count="206" uniqueCount="159">
  <si>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</si>
  <si>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</si>
  <si>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</si>
  <si>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</si>
  <si>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</si>
  <si>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</si>
  <si>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</si>
  <si>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</si>
  <si>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</si>
  <si>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023</t>
  </si>
  <si>
    <t>Основные средства</t>
  </si>
  <si>
    <t>024</t>
  </si>
  <si>
    <t>025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</si>
  <si>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</si>
  <si>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</si>
  <si>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</si>
  <si>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</si>
  <si>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</si>
  <si>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</si>
  <si>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</si>
  <si>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</si>
  <si>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</si>
  <si>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</si>
  <si>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</si>
  <si>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</si>
  <si>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</si>
  <si>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</si>
  <si>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</si>
  <si>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</si>
  <si>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</si>
  <si>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</si>
  <si>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</si>
  <si>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</si>
  <si>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</si>
  <si>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</si>
  <si>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</si>
  <si>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</si>
  <si>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</si>
  <si>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</si>
  <si>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</si>
  <si>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</si>
  <si>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</si>
  <si>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</si>
  <si>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</si>
  <si>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</si>
  <si>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</si>
  <si>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</si>
  <si>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</si>
  <si>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</si>
  <si>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</si>
  <si>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</si>
  <si>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</si>
  <si>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</si>
  <si>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</si>
  <si>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</si>
  <si>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</si>
  <si>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</si>
  <si>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</si>
  <si>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</si>
  <si>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</si>
  <si>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</si>
  <si>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</si>
  <si>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</si>
  <si>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</si>
  <si>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</si>
  <si>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</si>
  <si>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</si>
  <si>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</si>
  <si>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</si>
  <si>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</si>
  <si>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Краткосрочные  лизинговые обязательства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</si>
  <si>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</si>
  <si>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</si>
  <si>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</si>
  <si>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</si>
  <si>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Долгосрочные лизинговые обязательства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</si>
  <si>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</si>
  <si>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</si>
  <si>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</si>
  <si>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</si>
  <si>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</si>
  <si>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</si>
  <si>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</si>
  <si>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</si>
  <si>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</si>
  <si>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</si>
  <si>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</si>
  <si>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</si>
  <si>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</si>
  <si>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</si>
  <si>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</si>
  <si>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</si>
  <si>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</si>
  <si>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</si>
  <si>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</si>
  <si>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</si>
  <si>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</si>
  <si>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30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</si>
  <si>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</si>
  <si>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</si>
  <si>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</si>
  <si>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Итого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</si>
  <si>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</si>
  <si>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</si>
  <si>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</si>
  <si>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</si>
  <si>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На 31 декабря 2020 года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</si>
  <si>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</si>
  <si>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</si>
  <si>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</si>
  <si>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</si>
  <si>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</si>
  <si>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</si>
  <si>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 xml:space="preserve">Генеральный директор    __________________________   </t>
  </si>
  <si>
    <t>Главный бухгалтер         ____________________________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</si>
  <si>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</si>
  <si>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</si>
  <si>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</si>
  <si>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</si>
  <si>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</si>
  <si>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</si>
  <si>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</si>
  <si>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</si>
  <si>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</si>
  <si>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</si>
  <si>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</si>
  <si>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</si>
  <si>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</si>
  <si>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</si>
  <si>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</si>
  <si>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</si>
  <si>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</si>
  <si>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</si>
  <si>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</si>
  <si>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</si>
  <si>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</si>
  <si>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</si>
  <si>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</si>
  <si>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 xml:space="preserve">Погашение лизинговых  обязательств 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</si>
  <si>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</si>
  <si>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</si>
  <si>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</si>
  <si>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Генеральный директор   </t>
  </si>
  <si>
    <t xml:space="preserve">Главный бухгалтер         </t>
  </si>
  <si>
    <t>___________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</si>
  <si>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</si>
  <si>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</si>
  <si>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</si>
  <si>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</si>
  <si>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</si>
  <si>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Корпоративный подоходный налог  и прочие платежи в бюджет</t>
  </si>
  <si>
    <t>Сальдо на отчетную дату</t>
  </si>
  <si>
    <t>На 31 декабря 2019 г.</t>
  </si>
  <si>
    <t>Дивиденды (Примечание 22)</t>
  </si>
  <si>
    <t xml:space="preserve"> за период, закончившийся 31 декабря 2021  года</t>
  </si>
  <si>
    <t>Отчет о финансовом положении по состоянию на 31 декабря 2021 года</t>
  </si>
  <si>
    <t>Прочие поступления (погашение ОГ)</t>
  </si>
  <si>
    <t>Долгосрочная дебиторская задолженность</t>
  </si>
  <si>
    <t>Балансовая стоимость одной простой акции, в тенге*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</si>
</sst>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6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3" fontId="12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3" fontId="9" fillId="33" borderId="12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169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 vertical="center" wrapText="1"/>
    </xf>
    <xf numFmtId="0" fontId="12" fillId="33" borderId="19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0">
      <selection activeCell="I20" sqref="I20"/>
    </sheetView>
  </sheetViews>
  <sheetFormatPr defaultColWidth="9.140625" defaultRowHeight="12.75"/>
  <cols>
    <col min="1" max="1" width="35.7109375" style="1" customWidth="1"/>
    <col min="2" max="2" width="9.8515625" style="1" customWidth="1"/>
    <col min="3" max="3" width="9.28125" style="19" customWidth="1"/>
    <col min="4" max="4" width="10.28125" style="19" customWidth="1"/>
    <col min="5" max="5" width="8.7109375" style="19" customWidth="1"/>
    <col min="6" max="6" width="11.28125" style="0" customWidth="1"/>
    <col min="7" max="7" width="11.421875" style="0" customWidth="1"/>
  </cols>
  <sheetData>
    <row r="1" spans="2:4" ht="13.5">
      <c r="B1" s="37"/>
      <c r="C1" s="37"/>
      <c r="D1" s="37"/>
    </row>
    <row r="2" ht="13.5">
      <c r="A2" s="61" t="s">
        <v>20</v>
      </c>
    </row>
    <row r="3" spans="1:7" ht="21.75" customHeight="1">
      <c r="A3" s="117" t="s">
        <v>42</v>
      </c>
      <c r="B3" s="117"/>
      <c r="C3" s="117"/>
      <c r="D3" s="117"/>
      <c r="E3" s="117"/>
      <c r="F3" s="117"/>
      <c r="G3" s="117"/>
    </row>
    <row r="4" spans="1:7" ht="13.5">
      <c r="A4" s="117" t="str">
        <f>'форма 2'!A4:D4</f>
        <v> за период, закончившийся 31 декабря 2021  года</v>
      </c>
      <c r="B4" s="117"/>
      <c r="C4" s="117"/>
      <c r="D4" s="117"/>
      <c r="E4" s="117"/>
      <c r="F4" s="117"/>
      <c r="G4" s="117"/>
    </row>
    <row r="5" ht="13.5">
      <c r="A5" s="96" t="s">
        <v>103</v>
      </c>
    </row>
    <row r="6" spans="1:7" ht="102" customHeight="1">
      <c r="A6" s="23"/>
      <c r="B6" s="112" t="s">
        <v>78</v>
      </c>
      <c r="C6" s="112" t="s">
        <v>18</v>
      </c>
      <c r="D6" s="112" t="s">
        <v>44</v>
      </c>
      <c r="E6" s="71" t="s">
        <v>34</v>
      </c>
      <c r="F6" s="112" t="s">
        <v>45</v>
      </c>
      <c r="G6" s="112" t="s">
        <v>43</v>
      </c>
    </row>
    <row r="7" spans="1:7" s="28" customFormat="1" ht="14.25" customHeight="1">
      <c r="A7" s="21" t="s">
        <v>152</v>
      </c>
      <c r="B7" s="22">
        <v>600190</v>
      </c>
      <c r="C7" s="22">
        <v>19</v>
      </c>
      <c r="D7" s="22">
        <v>-190</v>
      </c>
      <c r="E7" s="22">
        <v>506803</v>
      </c>
      <c r="F7" s="41">
        <v>2244100</v>
      </c>
      <c r="G7" s="41">
        <f>SUM(B7:F7)</f>
        <v>3350922</v>
      </c>
    </row>
    <row r="8" spans="1:7" ht="15" customHeight="1">
      <c r="A8" s="23" t="s">
        <v>107</v>
      </c>
      <c r="B8" s="22"/>
      <c r="C8" s="22"/>
      <c r="D8" s="22"/>
      <c r="E8" s="22"/>
      <c r="F8" s="41">
        <v>22486</v>
      </c>
      <c r="G8" s="41">
        <f>SUM(B8:F8)</f>
        <v>22486</v>
      </c>
    </row>
    <row r="9" spans="1:7" ht="12.75" customHeight="1">
      <c r="A9" s="20" t="s">
        <v>105</v>
      </c>
      <c r="B9" s="24"/>
      <c r="C9" s="24"/>
      <c r="D9" s="24"/>
      <c r="E9" s="24">
        <v>-67306</v>
      </c>
      <c r="F9" s="24">
        <v>67306</v>
      </c>
      <c r="G9" s="41">
        <f>SUM(B9:F9)</f>
        <v>0</v>
      </c>
    </row>
    <row r="10" spans="1:7" ht="15" customHeight="1">
      <c r="A10" s="20" t="s">
        <v>153</v>
      </c>
      <c r="B10" s="24"/>
      <c r="C10" s="24"/>
      <c r="D10" s="24"/>
      <c r="E10" s="24"/>
      <c r="F10" s="42">
        <v>-156393</v>
      </c>
      <c r="G10" s="41">
        <f>SUM(B10:F10)</f>
        <v>-156393</v>
      </c>
    </row>
    <row r="11" spans="1:7" ht="12" customHeight="1">
      <c r="A11" s="21" t="s">
        <v>106</v>
      </c>
      <c r="B11" s="22">
        <f aca="true" t="shared" si="0" ref="B11:G11">SUM(B7:B10)</f>
        <v>600190</v>
      </c>
      <c r="C11" s="22">
        <f t="shared" si="0"/>
        <v>19</v>
      </c>
      <c r="D11" s="22">
        <f t="shared" si="0"/>
        <v>-190</v>
      </c>
      <c r="E11" s="22">
        <f t="shared" si="0"/>
        <v>439497</v>
      </c>
      <c r="F11" s="22">
        <f t="shared" si="0"/>
        <v>2177499</v>
      </c>
      <c r="G11" s="22">
        <f t="shared" si="0"/>
        <v>3217015</v>
      </c>
    </row>
    <row r="12" spans="1:7" ht="13.5">
      <c r="A12" s="23" t="s">
        <v>107</v>
      </c>
      <c r="B12" s="24"/>
      <c r="C12" s="24"/>
      <c r="D12" s="24"/>
      <c r="E12" s="24"/>
      <c r="F12" s="42">
        <f>'форма 2'!C23</f>
        <v>6167</v>
      </c>
      <c r="G12" s="41">
        <f>SUM(B12:F12)</f>
        <v>6167</v>
      </c>
    </row>
    <row r="13" spans="1:7" ht="15" customHeight="1">
      <c r="A13" s="20" t="s">
        <v>105</v>
      </c>
      <c r="B13" s="22"/>
      <c r="C13" s="22"/>
      <c r="D13" s="22"/>
      <c r="E13" s="22">
        <v>-48494</v>
      </c>
      <c r="F13" s="22">
        <v>48494</v>
      </c>
      <c r="G13" s="41">
        <f>SUM(B13:F13)</f>
        <v>0</v>
      </c>
    </row>
    <row r="14" spans="1:7" ht="15" customHeight="1">
      <c r="A14" s="20" t="s">
        <v>153</v>
      </c>
      <c r="B14" s="22"/>
      <c r="C14" s="22"/>
      <c r="D14" s="22"/>
      <c r="E14" s="22"/>
      <c r="F14" s="22"/>
      <c r="G14" s="41">
        <f>SUM(B14:F14)</f>
        <v>0</v>
      </c>
    </row>
    <row r="15" spans="1:7" ht="18" customHeight="1">
      <c r="A15" s="21" t="s">
        <v>151</v>
      </c>
      <c r="B15" s="22">
        <f aca="true" t="shared" si="1" ref="B15:G15">SUM(B11:B14)</f>
        <v>600190</v>
      </c>
      <c r="C15" s="22">
        <f t="shared" si="1"/>
        <v>19</v>
      </c>
      <c r="D15" s="22">
        <f t="shared" si="1"/>
        <v>-190</v>
      </c>
      <c r="E15" s="22">
        <f t="shared" si="1"/>
        <v>391003</v>
      </c>
      <c r="F15" s="22">
        <f t="shared" si="1"/>
        <v>2232160</v>
      </c>
      <c r="G15" s="22">
        <f t="shared" si="1"/>
        <v>3223182</v>
      </c>
    </row>
    <row r="16" spans="5:7" ht="27" customHeight="1">
      <c r="E16" s="63"/>
      <c r="G16" s="65"/>
    </row>
    <row r="17" spans="1:8" ht="13.5">
      <c r="A17" s="73" t="s">
        <v>109</v>
      </c>
      <c r="B17" s="119" t="s">
        <v>23</v>
      </c>
      <c r="C17" s="119"/>
      <c r="D17" s="98" t="s">
        <v>108</v>
      </c>
      <c r="E17" s="72"/>
      <c r="F17" s="28"/>
      <c r="G17" s="28"/>
      <c r="H17" s="28"/>
    </row>
    <row r="18" spans="2:8" ht="12" customHeight="1">
      <c r="B18" s="116"/>
      <c r="C18" s="116"/>
      <c r="D18" s="72"/>
      <c r="E18" s="72"/>
      <c r="F18" s="115"/>
      <c r="G18" s="115"/>
      <c r="H18" s="115"/>
    </row>
    <row r="19" spans="1:8" ht="18" customHeight="1">
      <c r="A19" s="26" t="s">
        <v>110</v>
      </c>
      <c r="B19" s="119" t="s">
        <v>23</v>
      </c>
      <c r="C19" s="119"/>
      <c r="D19" s="115" t="s">
        <v>111</v>
      </c>
      <c r="E19" s="115"/>
      <c r="F19" s="115"/>
      <c r="G19" s="115"/>
      <c r="H19" s="28"/>
    </row>
    <row r="20" spans="1:3" ht="12.75" customHeight="1">
      <c r="A20" s="97"/>
      <c r="B20" s="116"/>
      <c r="C20" s="116"/>
    </row>
    <row r="21" spans="1:6" ht="13.5">
      <c r="A21" s="118" t="s">
        <v>35</v>
      </c>
      <c r="B21" s="118"/>
      <c r="C21" s="118"/>
      <c r="D21" s="118"/>
      <c r="F21" s="39"/>
    </row>
    <row r="22" ht="13.5">
      <c r="F22" s="40"/>
    </row>
  </sheetData>
  <sheetProtection/>
  <mergeCells count="9">
    <mergeCell ref="D19:G19"/>
    <mergeCell ref="B20:C20"/>
    <mergeCell ref="A3:G3"/>
    <mergeCell ref="A4:G4"/>
    <mergeCell ref="A21:D21"/>
    <mergeCell ref="F18:H18"/>
    <mergeCell ref="B17:C17"/>
    <mergeCell ref="B18:C18"/>
    <mergeCell ref="B19:C19"/>
  </mergeCells>
  <printOptions/>
  <pageMargins left="0.7874015748031497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41">
      <selection activeCell="C42" sqref="C42"/>
    </sheetView>
  </sheetViews>
  <sheetFormatPr defaultColWidth="9.140625" defaultRowHeight="12.75"/>
  <cols>
    <col min="1" max="1" width="55.8515625" style="1" customWidth="1"/>
    <col min="2" max="2" width="11.28125" style="3" customWidth="1"/>
    <col min="3" max="3" width="14.140625" style="1" customWidth="1"/>
    <col min="4" max="4" width="14.57421875" style="1" customWidth="1"/>
    <col min="5" max="5" width="11.421875" style="0" customWidth="1"/>
  </cols>
  <sheetData>
    <row r="1" spans="1:4" ht="12.75" customHeight="1">
      <c r="A1" s="120" t="s">
        <v>20</v>
      </c>
      <c r="B1" s="120"/>
      <c r="C1" s="120"/>
      <c r="D1" s="120"/>
    </row>
    <row r="2" spans="1:4" ht="12.75" customHeight="1">
      <c r="A2" s="121" t="s">
        <v>41</v>
      </c>
      <c r="B2" s="121"/>
      <c r="C2" s="121"/>
      <c r="D2" s="121"/>
    </row>
    <row r="3" spans="1:4" ht="12.75" customHeight="1">
      <c r="A3" s="117" t="str">
        <f>'форма 2'!A4:D4</f>
        <v> за период, закончившийся 31 декабря 2021  года</v>
      </c>
      <c r="B3" s="117"/>
      <c r="C3" s="117"/>
      <c r="D3" s="117"/>
    </row>
    <row r="4" spans="1:4" ht="12.75" customHeight="1">
      <c r="A4" s="2"/>
      <c r="B4" s="122" t="s">
        <v>104</v>
      </c>
      <c r="C4" s="122"/>
      <c r="D4" s="122"/>
    </row>
    <row r="5" spans="1:4" ht="34.5" customHeight="1">
      <c r="A5" s="58" t="s">
        <v>0</v>
      </c>
      <c r="B5" s="101" t="s">
        <v>82</v>
      </c>
      <c r="C5" s="13">
        <f>'форма 2'!C6</f>
        <v>44561</v>
      </c>
      <c r="D5" s="13">
        <v>44196</v>
      </c>
    </row>
    <row r="6" spans="1:4" ht="12.75" customHeight="1">
      <c r="A6" s="30" t="s">
        <v>115</v>
      </c>
      <c r="B6" s="35"/>
      <c r="C6" s="27"/>
      <c r="D6" s="27"/>
    </row>
    <row r="7" spans="1:4" ht="12.75" customHeight="1">
      <c r="A7" s="30" t="s">
        <v>121</v>
      </c>
      <c r="B7" s="32"/>
      <c r="C7" s="22">
        <f>SUM(C8:C11)</f>
        <v>6799066</v>
      </c>
      <c r="D7" s="22">
        <f>SUM(D8:D11)</f>
        <v>7713341</v>
      </c>
    </row>
    <row r="8" spans="1:4" ht="14.25" customHeight="1">
      <c r="A8" s="31" t="s">
        <v>116</v>
      </c>
      <c r="B8" s="36"/>
      <c r="C8" s="24">
        <f>2776142+3991522-2600-C9-C22+400</f>
        <v>6690858</v>
      </c>
      <c r="D8" s="24">
        <v>7261523</v>
      </c>
    </row>
    <row r="9" spans="1:4" ht="14.25" customHeight="1">
      <c r="A9" s="31" t="s">
        <v>117</v>
      </c>
      <c r="B9" s="32"/>
      <c r="C9" s="24">
        <v>73906</v>
      </c>
      <c r="D9" s="24">
        <v>434166</v>
      </c>
    </row>
    <row r="10" spans="1:4" ht="14.25" customHeight="1">
      <c r="A10" s="23" t="s">
        <v>118</v>
      </c>
      <c r="B10" s="32"/>
      <c r="C10" s="24">
        <v>18234</v>
      </c>
      <c r="D10" s="24">
        <v>10866</v>
      </c>
    </row>
    <row r="11" spans="1:4" ht="14.25" customHeight="1">
      <c r="A11" s="23" t="s">
        <v>119</v>
      </c>
      <c r="B11" s="32"/>
      <c r="C11" s="24">
        <f>974+720354-705260</f>
        <v>16068</v>
      </c>
      <c r="D11" s="24">
        <v>6786</v>
      </c>
    </row>
    <row r="12" spans="1:4" ht="14.25" customHeight="1">
      <c r="A12" s="29" t="s">
        <v>120</v>
      </c>
      <c r="B12" s="32"/>
      <c r="C12" s="22">
        <f>SUM(C13:C18)</f>
        <v>7737493</v>
      </c>
      <c r="D12" s="22">
        <f>SUM(D13:D18)</f>
        <v>6585348</v>
      </c>
    </row>
    <row r="13" spans="1:6" ht="14.25" customHeight="1">
      <c r="A13" s="23" t="s">
        <v>122</v>
      </c>
      <c r="B13" s="32"/>
      <c r="C13" s="24">
        <f>4257721-34+1504995-674-C14-C26-C27-C37-C38-26</f>
        <v>5085113</v>
      </c>
      <c r="D13" s="24">
        <v>4700403</v>
      </c>
      <c r="F13" s="65"/>
    </row>
    <row r="14" spans="1:5" ht="14.25" customHeight="1">
      <c r="A14" s="23" t="s">
        <v>123</v>
      </c>
      <c r="B14" s="32"/>
      <c r="C14" s="24">
        <v>558180</v>
      </c>
      <c r="D14" s="24">
        <v>189548</v>
      </c>
      <c r="E14" s="65"/>
    </row>
    <row r="15" spans="1:4" ht="14.25" customHeight="1">
      <c r="A15" s="23" t="s">
        <v>124</v>
      </c>
      <c r="B15" s="32"/>
      <c r="C15" s="24">
        <f>1134061-265</f>
        <v>1133796</v>
      </c>
      <c r="D15" s="24">
        <v>836631</v>
      </c>
    </row>
    <row r="16" spans="1:4" ht="14.25" customHeight="1">
      <c r="A16" s="23" t="s">
        <v>125</v>
      </c>
      <c r="B16" s="32"/>
      <c r="C16" s="24">
        <v>126833</v>
      </c>
      <c r="D16" s="24">
        <v>183783</v>
      </c>
    </row>
    <row r="17" spans="1:7" ht="14.25" customHeight="1">
      <c r="A17" s="23" t="s">
        <v>150</v>
      </c>
      <c r="B17" s="32"/>
      <c r="C17" s="24">
        <f>11909+638570</f>
        <v>650479</v>
      </c>
      <c r="D17" s="24">
        <v>553571</v>
      </c>
      <c r="G17" s="65"/>
    </row>
    <row r="18" spans="1:6" ht="14.25" customHeight="1">
      <c r="A18" s="23" t="s">
        <v>126</v>
      </c>
      <c r="B18" s="32"/>
      <c r="C18" s="24">
        <f>143920-255+7009+8810+3007+20601</f>
        <v>183092</v>
      </c>
      <c r="D18" s="24">
        <v>121412</v>
      </c>
      <c r="F18" s="65"/>
    </row>
    <row r="19" spans="1:4" ht="30" customHeight="1">
      <c r="A19" s="21" t="s">
        <v>127</v>
      </c>
      <c r="B19" s="32"/>
      <c r="C19" s="64">
        <f>C7-C12</f>
        <v>-938427</v>
      </c>
      <c r="D19" s="22">
        <f>D7-D12</f>
        <v>1127993</v>
      </c>
    </row>
    <row r="20" spans="1:4" ht="14.25" customHeight="1">
      <c r="A20" s="29" t="s">
        <v>128</v>
      </c>
      <c r="B20" s="32"/>
      <c r="C20" s="22"/>
      <c r="D20" s="22"/>
    </row>
    <row r="21" spans="1:4" ht="18" customHeight="1">
      <c r="A21" s="21" t="s">
        <v>121</v>
      </c>
      <c r="B21" s="32"/>
      <c r="C21" s="22">
        <f>C22+C23+C24</f>
        <v>5755591</v>
      </c>
      <c r="D21" s="22">
        <f>D22+D24+D23</f>
        <v>3012897</v>
      </c>
    </row>
    <row r="22" spans="1:4" ht="14.25" customHeight="1">
      <c r="A22" s="23" t="s">
        <v>129</v>
      </c>
      <c r="B22" s="32"/>
      <c r="C22" s="24">
        <v>700</v>
      </c>
      <c r="D22" s="24"/>
    </row>
    <row r="23" spans="1:4" ht="14.25" customHeight="1">
      <c r="A23" s="23" t="s">
        <v>130</v>
      </c>
      <c r="B23" s="32"/>
      <c r="C23" s="24">
        <f>5060546-11683</f>
        <v>5048863</v>
      </c>
      <c r="D23" s="24">
        <v>3012817</v>
      </c>
    </row>
    <row r="24" spans="1:4" ht="14.25" customHeight="1">
      <c r="A24" s="105" t="s">
        <v>156</v>
      </c>
      <c r="B24" s="32"/>
      <c r="C24" s="24">
        <f>1768+704260</f>
        <v>706028</v>
      </c>
      <c r="D24" s="24">
        <v>80</v>
      </c>
    </row>
    <row r="25" spans="1:4" ht="18" customHeight="1">
      <c r="A25" s="21" t="s">
        <v>120</v>
      </c>
      <c r="B25" s="32"/>
      <c r="C25" s="22">
        <f>SUM(C26:C29)</f>
        <v>4544176</v>
      </c>
      <c r="D25" s="22">
        <f>SUM(D26:D29)</f>
        <v>3738052</v>
      </c>
    </row>
    <row r="26" spans="1:4" ht="14.25" customHeight="1">
      <c r="A26" s="23" t="s">
        <v>131</v>
      </c>
      <c r="B26" s="32"/>
      <c r="C26" s="24">
        <v>2540</v>
      </c>
      <c r="D26" s="24">
        <v>7164</v>
      </c>
    </row>
    <row r="27" spans="1:4" ht="14.25" customHeight="1">
      <c r="A27" s="20" t="s">
        <v>132</v>
      </c>
      <c r="B27" s="32"/>
      <c r="C27" s="24">
        <v>9361</v>
      </c>
      <c r="D27" s="24">
        <v>69685</v>
      </c>
    </row>
    <row r="28" spans="1:4" ht="14.25" customHeight="1">
      <c r="A28" s="23" t="s">
        <v>50</v>
      </c>
      <c r="B28" s="32"/>
      <c r="C28" s="24">
        <f>21775+15000+20000</f>
        <v>56775</v>
      </c>
      <c r="D28" s="24">
        <v>90503</v>
      </c>
    </row>
    <row r="29" spans="1:4" ht="16.5" customHeight="1">
      <c r="A29" s="20" t="s">
        <v>51</v>
      </c>
      <c r="B29" s="32"/>
      <c r="C29" s="24">
        <v>4475500</v>
      </c>
      <c r="D29" s="24">
        <v>3570700</v>
      </c>
    </row>
    <row r="30" spans="1:4" ht="30" customHeight="1">
      <c r="A30" s="21" t="s">
        <v>133</v>
      </c>
      <c r="B30" s="32"/>
      <c r="C30" s="22">
        <f>C21-C25</f>
        <v>1211415</v>
      </c>
      <c r="D30" s="22">
        <f>D21-D25</f>
        <v>-725155</v>
      </c>
    </row>
    <row r="31" spans="1:4" ht="18" customHeight="1">
      <c r="A31" s="29" t="s">
        <v>134</v>
      </c>
      <c r="B31" s="32"/>
      <c r="C31" s="22"/>
      <c r="D31" s="22"/>
    </row>
    <row r="32" spans="1:4" ht="18" customHeight="1">
      <c r="A32" s="21" t="s">
        <v>121</v>
      </c>
      <c r="B32" s="32"/>
      <c r="C32" s="22">
        <f>SUM(C33:C34)</f>
        <v>2851497</v>
      </c>
      <c r="D32" s="22">
        <f>SUM(D33:D34)</f>
        <v>2076000</v>
      </c>
    </row>
    <row r="33" spans="1:4" ht="12.75" customHeight="1">
      <c r="A33" s="23" t="s">
        <v>135</v>
      </c>
      <c r="B33" s="100">
        <v>16</v>
      </c>
      <c r="C33" s="24">
        <f>2771351+80146</f>
        <v>2851497</v>
      </c>
      <c r="D33" s="24">
        <v>2076000</v>
      </c>
    </row>
    <row r="34" spans="1:4" ht="12.75" customHeight="1">
      <c r="A34" s="23" t="s">
        <v>119</v>
      </c>
      <c r="B34" s="100"/>
      <c r="C34" s="24"/>
      <c r="D34" s="24"/>
    </row>
    <row r="35" spans="1:4" ht="18" customHeight="1">
      <c r="A35" s="29" t="s">
        <v>120</v>
      </c>
      <c r="B35" s="100"/>
      <c r="C35" s="22">
        <f>SUM(C36:C39)</f>
        <v>3108864</v>
      </c>
      <c r="D35" s="22">
        <f>SUM(D36:D39)</f>
        <v>2472475</v>
      </c>
    </row>
    <row r="36" spans="1:4" ht="12.75" customHeight="1">
      <c r="A36" s="23" t="s">
        <v>136</v>
      </c>
      <c r="B36" s="100">
        <v>16</v>
      </c>
      <c r="C36" s="24">
        <v>2997076</v>
      </c>
      <c r="D36" s="24">
        <v>2115497</v>
      </c>
    </row>
    <row r="37" spans="1:4" ht="12.75" customHeight="1">
      <c r="A37" s="23" t="s">
        <v>137</v>
      </c>
      <c r="B37" s="100">
        <v>13</v>
      </c>
      <c r="C37" s="24">
        <v>73661</v>
      </c>
      <c r="D37" s="24">
        <v>67522</v>
      </c>
    </row>
    <row r="38" spans="1:4" ht="12.75" customHeight="1">
      <c r="A38" s="23" t="s">
        <v>138</v>
      </c>
      <c r="B38" s="100">
        <v>16</v>
      </c>
      <c r="C38" s="24">
        <v>33127</v>
      </c>
      <c r="D38" s="24">
        <v>23102</v>
      </c>
    </row>
    <row r="39" spans="1:4" ht="12.75" customHeight="1">
      <c r="A39" s="23" t="s">
        <v>46</v>
      </c>
      <c r="B39" s="100">
        <v>22</v>
      </c>
      <c r="C39" s="24">
        <v>5000</v>
      </c>
      <c r="D39" s="24">
        <v>266354</v>
      </c>
    </row>
    <row r="40" spans="1:4" ht="27">
      <c r="A40" s="21" t="s">
        <v>139</v>
      </c>
      <c r="B40" s="32"/>
      <c r="C40" s="22">
        <f>C32-C35</f>
        <v>-257367</v>
      </c>
      <c r="D40" s="22">
        <f>D32-D35</f>
        <v>-396475</v>
      </c>
    </row>
    <row r="41" spans="1:4" ht="27">
      <c r="A41" s="21" t="s">
        <v>140</v>
      </c>
      <c r="B41" s="32"/>
      <c r="C41" s="22">
        <f>C19+C30+C40</f>
        <v>15621</v>
      </c>
      <c r="D41" s="22">
        <f>D19+D30+D40</f>
        <v>6363</v>
      </c>
    </row>
    <row r="42" spans="1:4" ht="13.5">
      <c r="A42" s="29" t="s">
        <v>141</v>
      </c>
      <c r="B42" s="32"/>
      <c r="C42" s="62">
        <f>733-15043</f>
        <v>-14310</v>
      </c>
      <c r="D42" s="62">
        <v>-8790</v>
      </c>
    </row>
    <row r="43" spans="1:4" ht="25.5" customHeight="1">
      <c r="A43" s="21" t="s">
        <v>146</v>
      </c>
      <c r="B43" s="100">
        <v>6</v>
      </c>
      <c r="C43" s="22">
        <v>5899</v>
      </c>
      <c r="D43" s="22">
        <v>8326</v>
      </c>
    </row>
    <row r="44" spans="1:4" ht="30.75" customHeight="1">
      <c r="A44" s="21" t="s">
        <v>147</v>
      </c>
      <c r="B44" s="100">
        <v>6</v>
      </c>
      <c r="C44" s="22">
        <f>баланс!C7</f>
        <v>7210</v>
      </c>
      <c r="D44" s="22">
        <v>5899</v>
      </c>
    </row>
    <row r="45" spans="1:4" ht="13.5">
      <c r="A45" s="17"/>
      <c r="B45" s="25"/>
      <c r="C45" s="18"/>
      <c r="D45" s="18"/>
    </row>
    <row r="46" spans="1:5" ht="13.5">
      <c r="A46" s="73" t="s">
        <v>113</v>
      </c>
      <c r="B46" s="98" t="s">
        <v>108</v>
      </c>
      <c r="C46" s="97"/>
      <c r="E46" s="72"/>
    </row>
    <row r="47" spans="2:5" ht="13.5">
      <c r="B47" s="99"/>
      <c r="C47" s="99"/>
      <c r="D47" s="72"/>
      <c r="E47" s="72"/>
    </row>
    <row r="48" spans="1:5" ht="13.5" customHeight="1">
      <c r="A48" s="26" t="s">
        <v>114</v>
      </c>
      <c r="B48" s="115" t="s">
        <v>112</v>
      </c>
      <c r="C48" s="115"/>
      <c r="D48" s="115"/>
      <c r="E48" s="26"/>
    </row>
    <row r="49" spans="1:4" ht="13.5">
      <c r="A49" s="97"/>
      <c r="B49" s="19"/>
      <c r="C49" s="19"/>
      <c r="D49"/>
    </row>
    <row r="50" spans="1:4" ht="13.5">
      <c r="A50" s="118" t="s">
        <v>35</v>
      </c>
      <c r="B50" s="118"/>
      <c r="C50" s="118"/>
      <c r="D50" s="118"/>
    </row>
    <row r="51" spans="3:4" ht="13.5">
      <c r="C51" s="106">
        <f>C41+C42+C43-C44</f>
        <v>0</v>
      </c>
      <c r="D51" s="106">
        <f>D41+D42+D43-D44</f>
        <v>0</v>
      </c>
    </row>
  </sheetData>
  <sheetProtection/>
  <mergeCells count="6">
    <mergeCell ref="B48:D48"/>
    <mergeCell ref="A1:D1"/>
    <mergeCell ref="A3:D3"/>
    <mergeCell ref="A2:D2"/>
    <mergeCell ref="A50:D50"/>
    <mergeCell ref="B4:D4"/>
  </mergeCells>
  <printOptions/>
  <pageMargins left="0.4330708661417323" right="0.31496062992125984" top="0.2362204724409449" bottom="0.35433070866141736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39">
      <selection activeCell="B27" sqref="B27"/>
    </sheetView>
  </sheetViews>
  <sheetFormatPr defaultColWidth="9.140625" defaultRowHeight="12.75"/>
  <cols>
    <col min="1" max="1" width="46.140625" style="1" customWidth="1"/>
    <col min="2" max="2" width="11.7109375" style="44" customWidth="1"/>
    <col min="3" max="4" width="13.7109375" style="1" customWidth="1"/>
  </cols>
  <sheetData>
    <row r="1" spans="1:2" ht="13.5">
      <c r="A1" s="1" t="s">
        <v>83</v>
      </c>
      <c r="B1" s="43"/>
    </row>
    <row r="2" ht="13.5">
      <c r="E2" s="113"/>
    </row>
    <row r="3" spans="1:4" s="28" customFormat="1" ht="13.5">
      <c r="A3" s="120" t="s">
        <v>155</v>
      </c>
      <c r="B3" s="120"/>
      <c r="C3" s="120"/>
      <c r="D3" s="120"/>
    </row>
    <row r="4" spans="1:2" ht="15" customHeight="1">
      <c r="A4" s="123" t="s">
        <v>103</v>
      </c>
      <c r="B4" s="123"/>
    </row>
    <row r="5" spans="1:4" ht="27.75" customHeight="1">
      <c r="A5" s="38"/>
      <c r="B5" s="4" t="s">
        <v>82</v>
      </c>
      <c r="C5" s="13">
        <f>'форма 2'!C6</f>
        <v>44561</v>
      </c>
      <c r="D5" s="13">
        <v>44196</v>
      </c>
    </row>
    <row r="6" spans="1:4" s="9" customFormat="1" ht="19.5" customHeight="1">
      <c r="A6" s="7" t="s">
        <v>24</v>
      </c>
      <c r="B6" s="5" t="s">
        <v>23</v>
      </c>
      <c r="C6" s="8" t="s">
        <v>23</v>
      </c>
      <c r="D6" s="8" t="s">
        <v>23</v>
      </c>
    </row>
    <row r="7" spans="1:4" s="9" customFormat="1" ht="13.5">
      <c r="A7" s="48" t="s">
        <v>64</v>
      </c>
      <c r="B7" s="49" t="s">
        <v>53</v>
      </c>
      <c r="C7" s="47">
        <f>366+6844</f>
        <v>7210</v>
      </c>
      <c r="D7" s="47">
        <v>5899</v>
      </c>
    </row>
    <row r="8" spans="1:5" s="9" customFormat="1" ht="15" customHeight="1">
      <c r="A8" s="48" t="s">
        <v>47</v>
      </c>
      <c r="B8" s="49" t="s">
        <v>54</v>
      </c>
      <c r="C8" s="47">
        <f>2+623</f>
        <v>625</v>
      </c>
      <c r="D8" s="47">
        <f>573986+3233</f>
        <v>577219</v>
      </c>
      <c r="E8" s="104"/>
    </row>
    <row r="9" spans="1:4" s="9" customFormat="1" ht="30" customHeight="1" hidden="1">
      <c r="A9" s="48" t="s">
        <v>27</v>
      </c>
      <c r="B9" s="49" t="s">
        <v>5</v>
      </c>
      <c r="C9" s="47"/>
      <c r="D9" s="47"/>
    </row>
    <row r="10" spans="1:4" s="9" customFormat="1" ht="15" customHeight="1" hidden="1">
      <c r="A10" s="48" t="s">
        <v>28</v>
      </c>
      <c r="B10" s="49" t="s">
        <v>6</v>
      </c>
      <c r="C10" s="47"/>
      <c r="D10" s="47"/>
    </row>
    <row r="11" spans="1:4" s="9" customFormat="1" ht="15" customHeight="1" hidden="1">
      <c r="A11" s="48" t="s">
        <v>29</v>
      </c>
      <c r="B11" s="49" t="s">
        <v>7</v>
      </c>
      <c r="C11" s="47"/>
      <c r="D11" s="47"/>
    </row>
    <row r="12" spans="1:4" s="9" customFormat="1" ht="15" customHeight="1">
      <c r="A12" s="48" t="s">
        <v>61</v>
      </c>
      <c r="B12" s="49" t="s">
        <v>56</v>
      </c>
      <c r="C12" s="47">
        <f>548637-1843</f>
        <v>546794</v>
      </c>
      <c r="D12" s="47">
        <f>203612-2056</f>
        <v>201556</v>
      </c>
    </row>
    <row r="13" spans="1:4" s="9" customFormat="1" ht="13.5">
      <c r="A13" s="48" t="s">
        <v>49</v>
      </c>
      <c r="B13" s="49" t="s">
        <v>55</v>
      </c>
      <c r="C13" s="47">
        <f>818915-2000+6711</f>
        <v>823626</v>
      </c>
      <c r="D13" s="47">
        <f>4090+870679</f>
        <v>874769</v>
      </c>
    </row>
    <row r="14" spans="1:4" s="9" customFormat="1" ht="15" customHeight="1">
      <c r="A14" s="48" t="s">
        <v>4</v>
      </c>
      <c r="B14" s="49" t="s">
        <v>57</v>
      </c>
      <c r="C14" s="47">
        <v>872013</v>
      </c>
      <c r="D14" s="47">
        <v>855472</v>
      </c>
    </row>
    <row r="15" spans="1:4" s="9" customFormat="1" ht="15" customHeight="1">
      <c r="A15" s="48" t="s">
        <v>62</v>
      </c>
      <c r="B15" s="49"/>
      <c r="C15" s="47">
        <v>18020</v>
      </c>
      <c r="D15" s="47">
        <v>110682</v>
      </c>
    </row>
    <row r="16" spans="1:4" s="9" customFormat="1" ht="15" customHeight="1" thickBot="1">
      <c r="A16" s="75" t="s">
        <v>8</v>
      </c>
      <c r="B16" s="91" t="s">
        <v>58</v>
      </c>
      <c r="C16" s="77">
        <f>57+4063+14530+964+441+567087-4063-943</f>
        <v>582136</v>
      </c>
      <c r="D16" s="77">
        <f>2773+104+1832+884+182081+1</f>
        <v>187675</v>
      </c>
    </row>
    <row r="17" spans="1:4" s="9" customFormat="1" ht="19.5" customHeight="1" thickBot="1">
      <c r="A17" s="81" t="s">
        <v>63</v>
      </c>
      <c r="B17" s="82"/>
      <c r="C17" s="83">
        <f>SUM(C7:C16)</f>
        <v>2850424</v>
      </c>
      <c r="D17" s="84">
        <f>SUM(D7:D16)</f>
        <v>2813272</v>
      </c>
    </row>
    <row r="18" spans="1:4" s="9" customFormat="1" ht="19.5" customHeight="1">
      <c r="A18" s="78" t="s">
        <v>65</v>
      </c>
      <c r="B18" s="79" t="s">
        <v>23</v>
      </c>
      <c r="C18" s="80" t="s">
        <v>23</v>
      </c>
      <c r="D18" s="80" t="s">
        <v>23</v>
      </c>
    </row>
    <row r="19" spans="1:4" s="9" customFormat="1" ht="15" customHeight="1" hidden="1">
      <c r="A19" s="48" t="s">
        <v>25</v>
      </c>
      <c r="B19" s="52">
        <v>110</v>
      </c>
      <c r="C19" s="47"/>
      <c r="D19" s="47"/>
    </row>
    <row r="20" spans="1:4" s="9" customFormat="1" ht="13.5" hidden="1">
      <c r="A20" s="48" t="s">
        <v>26</v>
      </c>
      <c r="B20" s="52">
        <v>111</v>
      </c>
      <c r="C20" s="47"/>
      <c r="D20" s="47"/>
    </row>
    <row r="21" spans="1:4" s="9" customFormat="1" ht="28.5" customHeight="1" hidden="1">
      <c r="A21" s="48" t="s">
        <v>27</v>
      </c>
      <c r="B21" s="52">
        <v>112</v>
      </c>
      <c r="C21" s="47"/>
      <c r="D21" s="47"/>
    </row>
    <row r="22" spans="1:4" s="9" customFormat="1" ht="15" customHeight="1" hidden="1">
      <c r="A22" s="48" t="s">
        <v>28</v>
      </c>
      <c r="B22" s="52">
        <v>113</v>
      </c>
      <c r="C22" s="47"/>
      <c r="D22" s="47"/>
    </row>
    <row r="23" spans="1:4" s="9" customFormat="1" ht="15" customHeight="1" hidden="1">
      <c r="A23" s="48" t="s">
        <v>30</v>
      </c>
      <c r="B23" s="52">
        <v>114</v>
      </c>
      <c r="C23" s="47"/>
      <c r="D23" s="47"/>
    </row>
    <row r="24" spans="1:4" s="9" customFormat="1" ht="15" customHeight="1">
      <c r="A24" s="48" t="s">
        <v>157</v>
      </c>
      <c r="B24" s="52">
        <v>9</v>
      </c>
      <c r="C24" s="47">
        <v>2836</v>
      </c>
      <c r="D24" s="47"/>
    </row>
    <row r="25" spans="1:4" s="9" customFormat="1" ht="15" customHeight="1">
      <c r="A25" s="48" t="s">
        <v>10</v>
      </c>
      <c r="B25" s="52">
        <v>12</v>
      </c>
      <c r="C25" s="47">
        <f>3288415-870783</f>
        <v>2417632</v>
      </c>
      <c r="D25" s="47">
        <f>2820312-D26</f>
        <v>2648507</v>
      </c>
    </row>
    <row r="26" spans="1:4" s="9" customFormat="1" ht="15" customHeight="1">
      <c r="A26" s="48" t="s">
        <v>48</v>
      </c>
      <c r="B26" s="52">
        <v>13</v>
      </c>
      <c r="C26" s="47">
        <f>267253-152716</f>
        <v>114537</v>
      </c>
      <c r="D26" s="47">
        <f>267252-95447</f>
        <v>171805</v>
      </c>
    </row>
    <row r="27" spans="1:4" s="9" customFormat="1" ht="15" customHeight="1">
      <c r="A27" s="48" t="s">
        <v>13</v>
      </c>
      <c r="B27" s="52">
        <v>14</v>
      </c>
      <c r="C27" s="47"/>
      <c r="D27" s="47"/>
    </row>
    <row r="28" spans="1:4" s="9" customFormat="1" ht="15" customHeight="1">
      <c r="A28" s="48" t="s">
        <v>14</v>
      </c>
      <c r="B28" s="52">
        <v>15</v>
      </c>
      <c r="C28" s="47">
        <v>943</v>
      </c>
      <c r="D28" s="47">
        <v>21078</v>
      </c>
    </row>
    <row r="29" spans="1:4" s="9" customFormat="1" ht="19.5" customHeight="1" thickBot="1">
      <c r="A29" s="85" t="s">
        <v>66</v>
      </c>
      <c r="B29" s="86"/>
      <c r="C29" s="87">
        <f>SUM(C24:C28)</f>
        <v>2535948</v>
      </c>
      <c r="D29" s="87">
        <f>SUM(D24:D28)</f>
        <v>2841390</v>
      </c>
    </row>
    <row r="30" spans="1:4" s="9" customFormat="1" ht="19.5" customHeight="1" thickBot="1">
      <c r="A30" s="81" t="s">
        <v>67</v>
      </c>
      <c r="B30" s="82" t="s">
        <v>23</v>
      </c>
      <c r="C30" s="83">
        <f>C29+C17</f>
        <v>5386372</v>
      </c>
      <c r="D30" s="84">
        <f>D29+D17</f>
        <v>5654662</v>
      </c>
    </row>
    <row r="31" spans="1:4" s="9" customFormat="1" ht="19.5" customHeight="1">
      <c r="A31" s="88" t="s">
        <v>31</v>
      </c>
      <c r="B31" s="89"/>
      <c r="C31" s="89"/>
      <c r="D31" s="90"/>
    </row>
    <row r="32" spans="1:4" s="9" customFormat="1" ht="19.5" customHeight="1">
      <c r="A32" s="50" t="s">
        <v>68</v>
      </c>
      <c r="B32" s="51" t="s">
        <v>23</v>
      </c>
      <c r="C32" s="53" t="s">
        <v>23</v>
      </c>
      <c r="D32" s="53" t="s">
        <v>23</v>
      </c>
    </row>
    <row r="33" spans="1:4" s="9" customFormat="1" ht="15" customHeight="1">
      <c r="A33" s="48" t="s">
        <v>69</v>
      </c>
      <c r="B33" s="52">
        <v>16</v>
      </c>
      <c r="C33" s="47">
        <f>982249+1492</f>
        <v>983741</v>
      </c>
      <c r="D33" s="47">
        <f>1072852+6023</f>
        <v>1078875</v>
      </c>
    </row>
    <row r="34" spans="1:4" s="9" customFormat="1" ht="15" customHeight="1">
      <c r="A34" s="48" t="s">
        <v>33</v>
      </c>
      <c r="B34" s="52"/>
      <c r="C34" s="47">
        <v>69898</v>
      </c>
      <c r="D34" s="47">
        <v>29087</v>
      </c>
    </row>
    <row r="35" spans="1:4" s="9" customFormat="1" ht="15" customHeight="1">
      <c r="A35" s="48" t="s">
        <v>60</v>
      </c>
      <c r="B35" s="52">
        <v>17</v>
      </c>
      <c r="C35" s="47">
        <v>312939</v>
      </c>
      <c r="D35" s="47">
        <v>18478</v>
      </c>
    </row>
    <row r="36" spans="1:4" s="9" customFormat="1" ht="15" customHeight="1">
      <c r="A36" s="48" t="s">
        <v>52</v>
      </c>
      <c r="B36" s="52">
        <v>13</v>
      </c>
      <c r="C36" s="47">
        <f>65125-3998</f>
        <v>61127</v>
      </c>
      <c r="D36" s="47">
        <v>54139</v>
      </c>
    </row>
    <row r="37" spans="1:4" s="9" customFormat="1" ht="15" customHeight="1">
      <c r="A37" s="48" t="s">
        <v>70</v>
      </c>
      <c r="B37" s="52">
        <v>18</v>
      </c>
      <c r="C37" s="47">
        <v>3999</v>
      </c>
      <c r="D37" s="47">
        <v>18857</v>
      </c>
    </row>
    <row r="38" spans="1:4" s="9" customFormat="1" ht="15" customHeight="1">
      <c r="A38" s="48" t="s">
        <v>59</v>
      </c>
      <c r="B38" s="52">
        <v>22</v>
      </c>
      <c r="C38" s="47">
        <v>200</v>
      </c>
      <c r="D38" s="47">
        <f>71392-66192</f>
        <v>5200</v>
      </c>
    </row>
    <row r="39" spans="1:4" s="9" customFormat="1" ht="15" customHeight="1">
      <c r="A39" s="48" t="s">
        <v>32</v>
      </c>
      <c r="B39" s="52">
        <v>19</v>
      </c>
      <c r="C39" s="47">
        <v>73724</v>
      </c>
      <c r="D39" s="47">
        <v>63429</v>
      </c>
    </row>
    <row r="40" spans="1:4" s="9" customFormat="1" ht="15" customHeight="1" thickBot="1">
      <c r="A40" s="75" t="s">
        <v>15</v>
      </c>
      <c r="B40" s="76">
        <v>20</v>
      </c>
      <c r="C40" s="77">
        <f>5240+73906+92173+19054</f>
        <v>190373</v>
      </c>
      <c r="D40" s="77">
        <v>549555</v>
      </c>
    </row>
    <row r="41" spans="1:4" s="9" customFormat="1" ht="19.5" customHeight="1" thickBot="1">
      <c r="A41" s="81" t="s">
        <v>71</v>
      </c>
      <c r="B41" s="82"/>
      <c r="C41" s="83">
        <f>SUM(C33:C40)</f>
        <v>1696001</v>
      </c>
      <c r="D41" s="84">
        <f>SUM(D33:D40)</f>
        <v>1817620</v>
      </c>
    </row>
    <row r="42" spans="1:4" s="9" customFormat="1" ht="19.5" customHeight="1">
      <c r="A42" s="78" t="s">
        <v>72</v>
      </c>
      <c r="B42" s="79" t="s">
        <v>23</v>
      </c>
      <c r="C42" s="80" t="s">
        <v>23</v>
      </c>
      <c r="D42" s="80" t="s">
        <v>23</v>
      </c>
    </row>
    <row r="43" spans="1:4" s="9" customFormat="1" ht="15" customHeight="1">
      <c r="A43" s="48" t="s">
        <v>73</v>
      </c>
      <c r="B43" s="52">
        <v>16</v>
      </c>
      <c r="C43" s="47">
        <v>23572</v>
      </c>
      <c r="D43" s="47">
        <v>78547</v>
      </c>
    </row>
    <row r="44" spans="1:4" s="9" customFormat="1" ht="15" customHeight="1">
      <c r="A44" s="48" t="s">
        <v>74</v>
      </c>
      <c r="B44" s="52">
        <v>13</v>
      </c>
      <c r="C44" s="47">
        <v>69015</v>
      </c>
      <c r="D44" s="47">
        <v>130142</v>
      </c>
    </row>
    <row r="45" spans="1:4" s="9" customFormat="1" ht="15" customHeight="1">
      <c r="A45" s="48" t="s">
        <v>75</v>
      </c>
      <c r="B45" s="52">
        <v>18</v>
      </c>
      <c r="C45" s="47"/>
      <c r="D45" s="47">
        <v>16981</v>
      </c>
    </row>
    <row r="46" spans="1:4" s="9" customFormat="1" ht="13.5">
      <c r="A46" s="48" t="s">
        <v>16</v>
      </c>
      <c r="B46" s="52">
        <v>31</v>
      </c>
      <c r="C46" s="47">
        <v>353112</v>
      </c>
      <c r="D46" s="47">
        <v>369607</v>
      </c>
    </row>
    <row r="47" spans="1:4" s="9" customFormat="1" ht="14.25" thickBot="1">
      <c r="A47" s="75" t="s">
        <v>17</v>
      </c>
      <c r="B47" s="76">
        <v>21</v>
      </c>
      <c r="C47" s="77">
        <v>21490</v>
      </c>
      <c r="D47" s="77">
        <v>24750</v>
      </c>
    </row>
    <row r="48" spans="1:4" s="9" customFormat="1" ht="19.5" customHeight="1" thickBot="1">
      <c r="A48" s="81" t="s">
        <v>76</v>
      </c>
      <c r="B48" s="82"/>
      <c r="C48" s="83">
        <f>SUM(C43:C47)</f>
        <v>467189</v>
      </c>
      <c r="D48" s="84">
        <f>SUM(D43:D47)</f>
        <v>620027</v>
      </c>
    </row>
    <row r="49" spans="1:4" s="9" customFormat="1" ht="19.5" customHeight="1">
      <c r="A49" s="78" t="s">
        <v>77</v>
      </c>
      <c r="B49" s="79"/>
      <c r="C49" s="80" t="s">
        <v>23</v>
      </c>
      <c r="D49" s="80" t="s">
        <v>23</v>
      </c>
    </row>
    <row r="50" spans="1:4" s="9" customFormat="1" ht="15" customHeight="1">
      <c r="A50" s="48" t="s">
        <v>78</v>
      </c>
      <c r="B50" s="52">
        <v>22</v>
      </c>
      <c r="C50" s="47">
        <v>600190</v>
      </c>
      <c r="D50" s="47">
        <v>600190</v>
      </c>
    </row>
    <row r="51" spans="1:4" s="9" customFormat="1" ht="15" customHeight="1">
      <c r="A51" s="48" t="s">
        <v>18</v>
      </c>
      <c r="B51" s="52"/>
      <c r="C51" s="47">
        <v>19</v>
      </c>
      <c r="D51" s="47">
        <v>19</v>
      </c>
    </row>
    <row r="52" spans="1:4" s="9" customFormat="1" ht="15" customHeight="1">
      <c r="A52" s="48" t="s">
        <v>19</v>
      </c>
      <c r="B52" s="52"/>
      <c r="C52" s="47">
        <v>-190</v>
      </c>
      <c r="D52" s="47">
        <v>-190</v>
      </c>
    </row>
    <row r="53" spans="1:5" s="9" customFormat="1" ht="15" customHeight="1">
      <c r="A53" s="48" t="s">
        <v>79</v>
      </c>
      <c r="B53" s="52"/>
      <c r="C53" s="60">
        <v>391003</v>
      </c>
      <c r="D53" s="60">
        <v>439497</v>
      </c>
      <c r="E53" s="104"/>
    </row>
    <row r="54" spans="1:4" s="9" customFormat="1" ht="15" customHeight="1" thickBot="1">
      <c r="A54" s="48" t="s">
        <v>80</v>
      </c>
      <c r="B54" s="76"/>
      <c r="C54" s="77">
        <f>D54+'форма 2'!C23+48494</f>
        <v>2232160</v>
      </c>
      <c r="D54" s="77">
        <v>2177499</v>
      </c>
    </row>
    <row r="55" spans="1:4" s="9" customFormat="1" ht="16.5" customHeight="1" thickBot="1">
      <c r="A55" s="85" t="s">
        <v>43</v>
      </c>
      <c r="B55" s="92"/>
      <c r="C55" s="93">
        <f>SUM(C50:C54)</f>
        <v>3223182</v>
      </c>
      <c r="D55" s="94">
        <f>SUM(D50:D54)</f>
        <v>3217015</v>
      </c>
    </row>
    <row r="56" spans="1:4" s="9" customFormat="1" ht="19.5" customHeight="1" thickBot="1">
      <c r="A56" s="81" t="s">
        <v>81</v>
      </c>
      <c r="B56" s="82" t="s">
        <v>23</v>
      </c>
      <c r="C56" s="83">
        <f>C55+C48+C41</f>
        <v>5386372</v>
      </c>
      <c r="D56" s="84">
        <f>D55+D48+D41</f>
        <v>5654662</v>
      </c>
    </row>
    <row r="57" spans="1:4" s="9" customFormat="1" ht="13.5">
      <c r="A57" s="114" t="s">
        <v>158</v>
      </c>
      <c r="B57" s="6" t="s">
        <v>23</v>
      </c>
      <c r="C57" s="12">
        <v>5372</v>
      </c>
      <c r="D57" s="12">
        <v>5362</v>
      </c>
    </row>
    <row r="58" spans="1:4" s="9" customFormat="1" ht="13.5">
      <c r="A58" s="54"/>
      <c r="B58" s="6"/>
      <c r="C58" s="55"/>
      <c r="D58" s="55"/>
    </row>
    <row r="59" spans="1:5" ht="13.5">
      <c r="A59" s="73" t="s">
        <v>148</v>
      </c>
      <c r="B59" s="120" t="s">
        <v>108</v>
      </c>
      <c r="C59" s="120"/>
      <c r="D59" s="120"/>
      <c r="E59" s="120"/>
    </row>
    <row r="60" spans="2:4" ht="13.5">
      <c r="B60" s="99"/>
      <c r="C60" s="99"/>
      <c r="D60" s="72"/>
    </row>
    <row r="61" spans="1:4" ht="13.5">
      <c r="A61" s="26" t="s">
        <v>149</v>
      </c>
      <c r="B61" s="115" t="s">
        <v>112</v>
      </c>
      <c r="C61" s="115"/>
      <c r="D61" s="115"/>
    </row>
    <row r="62" spans="1:4" ht="13.5">
      <c r="A62" s="118" t="s">
        <v>35</v>
      </c>
      <c r="B62" s="118"/>
      <c r="C62" s="118"/>
      <c r="D62" s="118"/>
    </row>
    <row r="64" spans="3:4" ht="13.5">
      <c r="C64" s="70">
        <f>C56-C30</f>
        <v>0</v>
      </c>
      <c r="D64" s="70">
        <f>D56-D30</f>
        <v>0</v>
      </c>
    </row>
    <row r="65" spans="1:4" ht="13.5">
      <c r="A65" s="56"/>
      <c r="B65" s="57"/>
      <c r="C65" s="56"/>
      <c r="D65" s="56"/>
    </row>
    <row r="66" spans="1:4" ht="13.5">
      <c r="A66" s="56"/>
      <c r="B66" s="57"/>
      <c r="C66" s="107"/>
      <c r="D66" s="107"/>
    </row>
    <row r="67" spans="1:4" ht="13.5">
      <c r="A67" s="56"/>
      <c r="B67" s="57"/>
      <c r="C67" s="107"/>
      <c r="D67" s="108"/>
    </row>
    <row r="68" spans="1:4" ht="13.5">
      <c r="A68" s="56"/>
      <c r="B68" s="57"/>
      <c r="C68" s="107"/>
      <c r="D68" s="107"/>
    </row>
    <row r="69" spans="1:4" ht="13.5">
      <c r="A69" s="56"/>
      <c r="B69" s="57"/>
      <c r="C69" s="107"/>
      <c r="D69" s="108"/>
    </row>
    <row r="70" spans="1:4" ht="13.5">
      <c r="A70" s="56"/>
      <c r="B70" s="57"/>
      <c r="C70" s="109"/>
      <c r="D70" s="56"/>
    </row>
    <row r="71" spans="1:4" ht="13.5">
      <c r="A71" s="56"/>
      <c r="B71" s="57"/>
      <c r="C71" s="110"/>
      <c r="D71" s="111"/>
    </row>
    <row r="72" spans="1:4" ht="13.5">
      <c r="A72" s="56"/>
      <c r="B72" s="57"/>
      <c r="C72" s="108"/>
      <c r="D72" s="108"/>
    </row>
  </sheetData>
  <sheetProtection/>
  <mergeCells count="5">
    <mergeCell ref="A3:D3"/>
    <mergeCell ref="A4:B4"/>
    <mergeCell ref="B61:D61"/>
    <mergeCell ref="A62:D62"/>
    <mergeCell ref="B59:E59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F1" sqref="F1:Z16384"/>
    </sheetView>
  </sheetViews>
  <sheetFormatPr defaultColWidth="9.140625" defaultRowHeight="12.75"/>
  <cols>
    <col min="1" max="1" width="42.8515625" style="1" customWidth="1"/>
    <col min="2" max="2" width="11.140625" style="1" customWidth="1"/>
    <col min="3" max="3" width="17.28125" style="1" customWidth="1"/>
    <col min="4" max="4" width="17.7109375" style="1" customWidth="1"/>
  </cols>
  <sheetData>
    <row r="1" ht="13.5">
      <c r="A1" s="1" t="s">
        <v>84</v>
      </c>
    </row>
    <row r="3" spans="1:4" ht="13.5">
      <c r="A3" s="120" t="s">
        <v>85</v>
      </c>
      <c r="B3" s="120"/>
      <c r="C3" s="120"/>
      <c r="D3" s="120"/>
    </row>
    <row r="4" spans="1:4" ht="13.5">
      <c r="A4" s="37" t="s">
        <v>154</v>
      </c>
      <c r="B4" s="37"/>
      <c r="C4" s="37"/>
      <c r="D4" s="37"/>
    </row>
    <row r="5" spans="1:2" ht="13.5">
      <c r="A5" s="124" t="s">
        <v>103</v>
      </c>
      <c r="B5" s="124"/>
    </row>
    <row r="6" spans="1:4" ht="35.25" customHeight="1">
      <c r="A6" s="10"/>
      <c r="B6" s="4" t="s">
        <v>82</v>
      </c>
      <c r="C6" s="13">
        <v>44561</v>
      </c>
      <c r="D6" s="13">
        <v>44196</v>
      </c>
    </row>
    <row r="7" spans="1:4" ht="13.5">
      <c r="A7" s="14" t="s">
        <v>36</v>
      </c>
      <c r="B7" s="102" t="s">
        <v>90</v>
      </c>
      <c r="C7" s="45">
        <v>6665843</v>
      </c>
      <c r="D7" s="45">
        <v>5500723</v>
      </c>
    </row>
    <row r="8" spans="1:4" ht="13.5">
      <c r="A8" s="14" t="s">
        <v>37</v>
      </c>
      <c r="B8" s="102" t="s">
        <v>91</v>
      </c>
      <c r="C8" s="45">
        <v>4975590</v>
      </c>
      <c r="D8" s="45">
        <v>4146807</v>
      </c>
    </row>
    <row r="9" spans="1:4" ht="13.5">
      <c r="A9" s="15" t="s">
        <v>86</v>
      </c>
      <c r="B9" s="103"/>
      <c r="C9" s="46">
        <f>C7-C8</f>
        <v>1690253</v>
      </c>
      <c r="D9" s="46">
        <f>D7-D8</f>
        <v>1353916</v>
      </c>
    </row>
    <row r="10" spans="1:4" ht="13.5">
      <c r="A10" s="14" t="s">
        <v>21</v>
      </c>
      <c r="B10" s="102" t="s">
        <v>92</v>
      </c>
      <c r="C10" s="45">
        <v>218589</v>
      </c>
      <c r="D10" s="45">
        <v>207501</v>
      </c>
    </row>
    <row r="11" spans="1:4" ht="13.5">
      <c r="A11" s="14" t="s">
        <v>2</v>
      </c>
      <c r="B11" s="102" t="s">
        <v>93</v>
      </c>
      <c r="C11" s="45">
        <v>1188286</v>
      </c>
      <c r="D11" s="45">
        <v>922298</v>
      </c>
    </row>
    <row r="12" spans="1:4" ht="13.5">
      <c r="A12" s="14" t="s">
        <v>1</v>
      </c>
      <c r="B12" s="102" t="s">
        <v>94</v>
      </c>
      <c r="C12" s="45">
        <f>49471-1293</f>
        <v>48178</v>
      </c>
      <c r="D12" s="45">
        <v>31313</v>
      </c>
    </row>
    <row r="13" spans="1:4" ht="13.5">
      <c r="A13" s="14" t="s">
        <v>3</v>
      </c>
      <c r="B13" s="102" t="s">
        <v>95</v>
      </c>
      <c r="C13" s="45">
        <f>69750-1293</f>
        <v>68457</v>
      </c>
      <c r="D13" s="45">
        <v>102999</v>
      </c>
    </row>
    <row r="14" spans="1:4" ht="13.5">
      <c r="A14" s="15" t="s">
        <v>87</v>
      </c>
      <c r="B14" s="103"/>
      <c r="C14" s="46">
        <f>C9-C10-C11-C13+C12</f>
        <v>263099</v>
      </c>
      <c r="D14" s="46">
        <f>D9-D10-D11-D13+D12</f>
        <v>152431</v>
      </c>
    </row>
    <row r="15" spans="1:4" ht="13.5">
      <c r="A15" s="14" t="s">
        <v>88</v>
      </c>
      <c r="B15" s="102" t="s">
        <v>96</v>
      </c>
      <c r="C15" s="59">
        <v>44235</v>
      </c>
      <c r="D15" s="59">
        <v>107295</v>
      </c>
    </row>
    <row r="16" spans="1:4" ht="13.5">
      <c r="A16" s="14" t="s">
        <v>89</v>
      </c>
      <c r="B16" s="102" t="s">
        <v>97</v>
      </c>
      <c r="C16" s="59">
        <v>261523</v>
      </c>
      <c r="D16" s="59">
        <v>212476</v>
      </c>
    </row>
    <row r="17" spans="1:4" ht="41.25" customHeight="1" hidden="1">
      <c r="A17" s="14" t="s">
        <v>38</v>
      </c>
      <c r="B17" s="102" t="s">
        <v>9</v>
      </c>
      <c r="C17" s="45"/>
      <c r="D17" s="45"/>
    </row>
    <row r="18" spans="1:4" ht="13.5" customHeight="1" hidden="1">
      <c r="A18" s="14" t="s">
        <v>39</v>
      </c>
      <c r="B18" s="102" t="s">
        <v>11</v>
      </c>
      <c r="C18" s="45"/>
      <c r="D18" s="45"/>
    </row>
    <row r="19" spans="1:4" ht="13.5" customHeight="1" hidden="1">
      <c r="A19" s="14" t="s">
        <v>40</v>
      </c>
      <c r="B19" s="102" t="s">
        <v>12</v>
      </c>
      <c r="C19" s="45"/>
      <c r="D19" s="45"/>
    </row>
    <row r="20" spans="1:4" ht="13.5">
      <c r="A20" s="15" t="s">
        <v>98</v>
      </c>
      <c r="B20" s="4"/>
      <c r="C20" s="46">
        <f>C14-C16+C15</f>
        <v>45811</v>
      </c>
      <c r="D20" s="46">
        <f>D14-D16+D15</f>
        <v>47250</v>
      </c>
    </row>
    <row r="21" spans="1:4" ht="13.5">
      <c r="A21" s="14" t="s">
        <v>22</v>
      </c>
      <c r="B21" s="5">
        <v>31</v>
      </c>
      <c r="C21" s="45">
        <v>39644</v>
      </c>
      <c r="D21" s="45">
        <v>24764</v>
      </c>
    </row>
    <row r="22" spans="1:4" ht="13.5">
      <c r="A22" s="14"/>
      <c r="B22" s="5"/>
      <c r="C22" s="45"/>
      <c r="D22" s="45"/>
    </row>
    <row r="23" spans="1:4" ht="13.5">
      <c r="A23" s="15" t="s">
        <v>99</v>
      </c>
      <c r="B23" s="16"/>
      <c r="C23" s="46">
        <f>C20-C21</f>
        <v>6167</v>
      </c>
      <c r="D23" s="46">
        <f>D20-D21</f>
        <v>22486</v>
      </c>
    </row>
    <row r="24" spans="1:4" ht="19.5" customHeight="1">
      <c r="A24" s="14" t="s">
        <v>100</v>
      </c>
      <c r="B24" s="16"/>
      <c r="C24" s="46"/>
      <c r="D24" s="46"/>
    </row>
    <row r="25" spans="1:4" ht="13.5">
      <c r="A25" s="29" t="s">
        <v>101</v>
      </c>
      <c r="B25" s="16"/>
      <c r="C25" s="46">
        <f>SUM(C23:C24)</f>
        <v>6167</v>
      </c>
      <c r="D25" s="46">
        <f>SUM(D23:D24)</f>
        <v>22486</v>
      </c>
    </row>
    <row r="26" spans="1:4" ht="13.5">
      <c r="A26" s="15" t="s">
        <v>102</v>
      </c>
      <c r="B26" s="33"/>
      <c r="C26" s="95">
        <f>C23/600</f>
        <v>10.278333333333334</v>
      </c>
      <c r="D26" s="95">
        <f>D23/600</f>
        <v>37.47666666666667</v>
      </c>
    </row>
    <row r="27" spans="1:4" ht="13.5">
      <c r="A27" s="11" t="s">
        <v>23</v>
      </c>
      <c r="B27" s="34"/>
      <c r="C27" s="11" t="s">
        <v>23</v>
      </c>
      <c r="D27" s="11" t="s">
        <v>23</v>
      </c>
    </row>
    <row r="29" spans="1:3" ht="13.5">
      <c r="A29" s="73" t="s">
        <v>142</v>
      </c>
      <c r="B29" s="1" t="s">
        <v>144</v>
      </c>
      <c r="C29" s="74" t="s">
        <v>108</v>
      </c>
    </row>
    <row r="30" spans="1:4" ht="27" customHeight="1">
      <c r="A30" s="26" t="s">
        <v>143</v>
      </c>
      <c r="B30" s="1" t="s">
        <v>145</v>
      </c>
      <c r="C30" s="115" t="s">
        <v>112</v>
      </c>
      <c r="D30" s="115"/>
    </row>
    <row r="31" spans="1:4" ht="13.5">
      <c r="A31" s="97"/>
      <c r="B31" s="19"/>
      <c r="C31" s="19"/>
      <c r="D31"/>
    </row>
    <row r="32" spans="1:4" ht="13.5">
      <c r="A32" s="118" t="s">
        <v>35</v>
      </c>
      <c r="B32" s="118"/>
      <c r="C32" s="118"/>
      <c r="D32" s="118"/>
    </row>
    <row r="33" spans="3:4" ht="13.5">
      <c r="C33" s="69"/>
      <c r="D33" s="67"/>
    </row>
    <row r="34" spans="3:4" ht="13.5">
      <c r="C34" s="66"/>
      <c r="D34" s="68"/>
    </row>
    <row r="35" spans="3:4" ht="13.5">
      <c r="C35" s="66"/>
      <c r="D35" s="67"/>
    </row>
    <row r="36" spans="3:4" ht="13.5">
      <c r="C36" s="69"/>
      <c r="D36" s="67"/>
    </row>
    <row r="37" spans="3:4" ht="13.5">
      <c r="C37" s="66"/>
      <c r="D37" s="68"/>
    </row>
    <row r="38" spans="3:4" ht="13.5">
      <c r="C38" s="66"/>
      <c r="D38" s="68"/>
    </row>
    <row r="39" spans="3:4" ht="13.5">
      <c r="C39" s="69"/>
      <c r="D39" s="67"/>
    </row>
    <row r="40" spans="3:4" ht="13.5">
      <c r="C40" s="66"/>
      <c r="D40" s="68"/>
    </row>
    <row r="41" spans="3:4" ht="13.5">
      <c r="C41" s="69"/>
      <c r="D41" s="67"/>
    </row>
    <row r="42" spans="3:4" ht="13.5">
      <c r="C42" s="69"/>
      <c r="D42" s="67"/>
    </row>
    <row r="43" spans="3:4" ht="13.5">
      <c r="C43" s="69"/>
      <c r="D43" s="67"/>
    </row>
    <row r="44" spans="3:4" ht="13.5">
      <c r="C44" s="66"/>
      <c r="D44" s="68"/>
    </row>
    <row r="45" spans="3:4" ht="13.5">
      <c r="C45" s="66"/>
      <c r="D45" s="68"/>
    </row>
    <row r="46" spans="3:4" ht="13.5">
      <c r="C46" s="66"/>
      <c r="D46" s="67"/>
    </row>
    <row r="47" spans="3:4" ht="13.5">
      <c r="C47" s="69"/>
      <c r="D47" s="67"/>
    </row>
    <row r="48" spans="3:4" ht="13.5">
      <c r="C48" s="69"/>
      <c r="D48" s="68"/>
    </row>
    <row r="49" spans="3:4" ht="13.5">
      <c r="C49" s="66"/>
      <c r="D49" s="67"/>
    </row>
    <row r="50" spans="3:4" ht="13.5">
      <c r="C50" s="66"/>
      <c r="D50" s="68"/>
    </row>
    <row r="51" spans="3:4" ht="13.5">
      <c r="C51" s="70"/>
      <c r="D51" s="70"/>
    </row>
  </sheetData>
  <sheetProtection/>
  <mergeCells count="4">
    <mergeCell ref="A3:D3"/>
    <mergeCell ref="A5:B5"/>
    <mergeCell ref="A32:D32"/>
    <mergeCell ref="C30:D30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2022-04-13T04:42:49Z</cp:lastPrinted>
  <dcterms:created xsi:type="dcterms:W3CDTF">1996-10-08T23:32:33Z</dcterms:created>
  <dcterms:modified xsi:type="dcterms:W3CDTF">2022-06-14T05:51:28Z</dcterms:modified>
  <cp:category/>
  <cp:version/>
  <cp:contentType/>
  <cp:contentStatus/>
</cp:coreProperties>
</file>