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Viktoriya.kashkarova\Documents\2024 Касе\9 месяцев\"/>
    </mc:Choice>
  </mc:AlternateContent>
  <bookViews>
    <workbookView xWindow="0" yWindow="0" windowWidth="28800" windowHeight="12432" activeTab="3"/>
  </bookViews>
  <sheets>
    <sheet name="Отч о финансовом положении" sheetId="2" r:id="rId1"/>
    <sheet name="Отч о совокупном доходе" sheetId="1" r:id="rId2"/>
    <sheet name="Отч о движении денег" sheetId="6" r:id="rId3"/>
    <sheet name="Отч об изм в капитале" sheetId="3" r:id="rId4"/>
  </sheets>
  <externalReferences>
    <externalReference r:id="rId5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6" l="1"/>
  <c r="C37" i="6" s="1"/>
  <c r="E23" i="2"/>
  <c r="E19" i="2"/>
  <c r="D23" i="2"/>
  <c r="D24" i="2"/>
  <c r="E21" i="2"/>
  <c r="D21" i="2"/>
  <c r="D19" i="2" s="1"/>
  <c r="C34" i="6" l="1"/>
  <c r="C20" i="1" l="1"/>
  <c r="C13" i="1"/>
  <c r="C11" i="1"/>
  <c r="D20" i="1" l="1"/>
  <c r="D13" i="1"/>
  <c r="D11" i="1"/>
  <c r="C12" i="6"/>
  <c r="D19" i="6"/>
  <c r="D34" i="6"/>
  <c r="D29" i="6"/>
  <c r="D23" i="6"/>
  <c r="D12" i="6"/>
  <c r="F46" i="3" l="1"/>
  <c r="D33" i="2"/>
  <c r="D29" i="2"/>
  <c r="D17" i="2"/>
  <c r="D18" i="2"/>
  <c r="D9" i="1" l="1"/>
  <c r="C9" i="1" l="1"/>
  <c r="D33" i="6" l="1"/>
  <c r="D24" i="6"/>
  <c r="D14" i="6"/>
  <c r="D35" i="6" l="1"/>
  <c r="D37" i="6" s="1"/>
  <c r="D30" i="2"/>
  <c r="F41" i="3"/>
  <c r="D28" i="2"/>
  <c r="D14" i="2"/>
  <c r="E34" i="2"/>
  <c r="E28" i="2"/>
  <c r="E14" i="2"/>
  <c r="C29" i="2" l="1"/>
  <c r="C28" i="2"/>
  <c r="C27" i="2"/>
  <c r="C31" i="2" l="1"/>
  <c r="C30" i="2"/>
  <c r="D41" i="3" l="1"/>
  <c r="G39" i="3"/>
  <c r="G41" i="3" s="1"/>
  <c r="C24" i="6" l="1"/>
  <c r="E30" i="2" l="1"/>
  <c r="E39" i="2"/>
  <c r="F36" i="3"/>
  <c r="D39" i="2" l="1"/>
  <c r="D10" i="1" l="1"/>
  <c r="D14" i="1" l="1"/>
  <c r="D16" i="1" s="1"/>
  <c r="D18" i="1" s="1"/>
  <c r="E24" i="2"/>
  <c r="C33" i="6" l="1"/>
  <c r="F29" i="3" l="1"/>
  <c r="C10" i="1" l="1"/>
  <c r="C14" i="1" l="1"/>
  <c r="C16" i="1" s="1"/>
  <c r="C18" i="1" s="1"/>
  <c r="C14" i="6"/>
  <c r="C35" i="6" s="1"/>
  <c r="E31" i="3" l="1"/>
  <c r="D31" i="3"/>
  <c r="G29" i="3"/>
  <c r="G31" i="3" s="1"/>
  <c r="F31" i="3" l="1"/>
  <c r="E27" i="3" l="1"/>
  <c r="F24" i="3"/>
  <c r="F27" i="3" l="1"/>
  <c r="G7" i="3" l="1"/>
  <c r="F9" i="3"/>
  <c r="G9" i="3" s="1"/>
  <c r="D10" i="3"/>
  <c r="D13" i="3" s="1"/>
  <c r="D15" i="3" s="1"/>
  <c r="E10" i="3"/>
  <c r="E13" i="3" s="1"/>
  <c r="G11" i="3"/>
  <c r="G12" i="3"/>
  <c r="F16" i="3"/>
  <c r="G16" i="3" s="1"/>
  <c r="E17" i="3"/>
  <c r="F17" i="3" s="1"/>
  <c r="G17" i="3" s="1"/>
  <c r="G18" i="3"/>
  <c r="G19" i="3"/>
  <c r="D20" i="3"/>
  <c r="G24" i="3"/>
  <c r="G25" i="3"/>
  <c r="D27" i="3"/>
  <c r="E35" i="2"/>
  <c r="E40" i="2" s="1"/>
  <c r="E41" i="2" s="1"/>
  <c r="D35" i="2"/>
  <c r="G27" i="3" l="1"/>
  <c r="D40" i="2"/>
  <c r="D41" i="2" s="1"/>
  <c r="E20" i="3"/>
  <c r="E21" i="3" s="1"/>
  <c r="E28" i="3" s="1"/>
  <c r="E33" i="3" s="1"/>
  <c r="F10" i="3"/>
  <c r="F13" i="3" s="1"/>
  <c r="F15" i="3" s="1"/>
  <c r="F20" i="3" s="1"/>
  <c r="G20" i="3"/>
  <c r="D21" i="3"/>
  <c r="D28" i="3" s="1"/>
  <c r="E38" i="3" l="1"/>
  <c r="D33" i="3"/>
  <c r="F21" i="3"/>
  <c r="G15" i="3"/>
  <c r="G10" i="3"/>
  <c r="G13" i="3" s="1"/>
  <c r="E43" i="3" l="1"/>
  <c r="F28" i="3"/>
  <c r="F33" i="3" s="1"/>
  <c r="G21" i="3"/>
  <c r="E44" i="3" l="1"/>
  <c r="E48" i="3" s="1"/>
  <c r="E45" i="3"/>
  <c r="F38" i="3"/>
  <c r="F43" i="3" s="1"/>
  <c r="F44" i="3" s="1"/>
  <c r="F48" i="3" s="1"/>
  <c r="G33" i="3"/>
  <c r="G28" i="3"/>
  <c r="G43" i="3" l="1"/>
  <c r="G44" i="3" s="1"/>
  <c r="G34" i="3"/>
  <c r="G36" i="3" s="1"/>
  <c r="D36" i="3"/>
  <c r="D38" i="3" l="1"/>
  <c r="G38" i="3" s="1"/>
  <c r="D46" i="2" l="1"/>
  <c r="D48" i="3"/>
  <c r="G48" i="3" l="1"/>
</calcChain>
</file>

<file path=xl/sharedStrings.xml><?xml version="1.0" encoding="utf-8"?>
<sst xmlns="http://schemas.openxmlformats.org/spreadsheetml/2006/main" count="156" uniqueCount="104">
  <si>
    <t>АО "Аскер Мунай Эксплорэйшн"</t>
  </si>
  <si>
    <t>ПРОМЕЖУТОЧНЫЙ КОНСОЛИДИРОВАННЫЙ ОТЧЕТ О СОВОКУПНОМ ДОХОДЕ</t>
  </si>
  <si>
    <t>В тысячах тенге</t>
  </si>
  <si>
    <t>Прим.</t>
  </si>
  <si>
    <t>Выручка</t>
  </si>
  <si>
    <t>Административные расходы</t>
  </si>
  <si>
    <t>Операционный убыток</t>
  </si>
  <si>
    <t>Финансовый расход</t>
  </si>
  <si>
    <t>Прочие операционные доходы</t>
  </si>
  <si>
    <t>Прибыль / (убыток) до налогообложения</t>
  </si>
  <si>
    <t>Чистая прибыль / (убыток)</t>
  </si>
  <si>
    <t>Прочая совокупная прибыль / (убыток)</t>
  </si>
  <si>
    <t>Итого совокупная прибыль / (убыток), за вычетом подоходного налога</t>
  </si>
  <si>
    <t>Базовая прибыль / (убыток) на акцию (в тенге)</t>
  </si>
  <si>
    <t>Транзакций, приводящих к эффекту разводнения, не было</t>
  </si>
  <si>
    <t>Генеральный директор</t>
  </si>
  <si>
    <t>Главный бухгалтер</t>
  </si>
  <si>
    <t>Кошкарова В.С.</t>
  </si>
  <si>
    <t>ПРОМЕЖУТОЧНЫЙ КОНСОЛИДИРОВАННЫЙ ОТЧЕТ О ФИНАНСОВОМ ПОЛОЖЕНИИ</t>
  </si>
  <si>
    <t xml:space="preserve">Активы </t>
  </si>
  <si>
    <t>Долгосрочные активы</t>
  </si>
  <si>
    <t>Разведочные и оценочные активы</t>
  </si>
  <si>
    <t>Нематериальные активы</t>
  </si>
  <si>
    <t>Текущие активы</t>
  </si>
  <si>
    <t>Товарно-материальные запасы</t>
  </si>
  <si>
    <t>Авансы выданные и прочие текущие активы</t>
  </si>
  <si>
    <t>Прочая дебиторская задолженность</t>
  </si>
  <si>
    <t>ВСЕГО АКТИВОВ</t>
  </si>
  <si>
    <t>Капитал</t>
  </si>
  <si>
    <t>Дополнительно оплаченный капитал</t>
  </si>
  <si>
    <t>Накопленный дефицит</t>
  </si>
  <si>
    <t>Итого капитал</t>
  </si>
  <si>
    <t>Долгосрочные обязательства</t>
  </si>
  <si>
    <t>Займы долгосрочные</t>
  </si>
  <si>
    <t>Текущие обязательства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</si>
  <si>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</si>
  <si>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</si>
  <si>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</si>
  <si>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</si>
  <si>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ПРОМЕЖУТОЧНЫЙ КОНСОЛИДИРОВАННЫЙ ОТЧЕТ ОБ ИЗМЕНЕНИЯХ В КАПИТАЛЕ</t>
  </si>
  <si>
    <t>ИТОГО капитал</t>
  </si>
  <si>
    <t>На 31 декабря 2017 года</t>
  </si>
  <si>
    <t>Прибыль за период</t>
  </si>
  <si>
    <t>Размещение акций</t>
  </si>
  <si>
    <t>Дисконтирование займа выданного компании, находящейся под общим контролем конечного акционера</t>
  </si>
  <si>
    <t>Реорганизация под общим контролем</t>
  </si>
  <si>
    <t>Итого совокупный убыток за год</t>
  </si>
  <si>
    <t>На 31 декабря 2018 года</t>
  </si>
  <si>
    <t>На 31 декабря 2019 года</t>
  </si>
  <si>
    <t>ПРОМЕЖУТОЧНЫЙ КОНСОЛИДИРОВАННЫЙ ОТЧЕТ О ДВИЖЕНИИ ДЕНЕЖНЫХ СРЕДСТВ</t>
  </si>
  <si>
    <t>На 31 декабря 2020 года</t>
  </si>
  <si>
    <t>Движение денежных средств от операционной деятельности:</t>
  </si>
  <si>
    <t xml:space="preserve"> Поступление денежных средств</t>
  </si>
  <si>
    <t>в том числе:</t>
  </si>
  <si>
    <t>Выбытие денежных средств</t>
  </si>
  <si>
    <t>Чистая сумма денежных средств от операционной деятельности</t>
  </si>
  <si>
    <t>Движение денежных средств от инвестиционной деятельности</t>
  </si>
  <si>
    <t>Поступление денежных средств</t>
  </si>
  <si>
    <t>Инвестиции в оценочные и разведочные активы</t>
  </si>
  <si>
    <t>Платежи по контракту на недропользование</t>
  </si>
  <si>
    <t>Чистая сумма денежных средств от инвестиционной деятельности</t>
  </si>
  <si>
    <t>Движение денежных средств от финансовой деятельности</t>
  </si>
  <si>
    <t>Поступление по займам</t>
  </si>
  <si>
    <t>Чистая сумма денежных средств от финансовой деятельности</t>
  </si>
  <si>
    <t>Влияние обменных курсов валют к тенге</t>
  </si>
  <si>
    <t>Увеличение +/- уменьшение денежных средств</t>
  </si>
  <si>
    <t xml:space="preserve"> Реализация товаров и услуг</t>
  </si>
  <si>
    <t>Платежи поставщикам за товары и услуги</t>
  </si>
  <si>
    <t xml:space="preserve"> Выплаты по оплате труда</t>
  </si>
  <si>
    <t>Погашение по займам</t>
  </si>
  <si>
    <t>Поступление денежных средств в том числе</t>
  </si>
  <si>
    <t>Денежные средства  на начало отчетного периода</t>
  </si>
  <si>
    <t>Денежные средства  на конец отчетного периода</t>
  </si>
  <si>
    <t>Кенчимова А.Б.</t>
  </si>
  <si>
    <t>На 1 января 2020 года</t>
  </si>
  <si>
    <t>Основные средства</t>
  </si>
  <si>
    <t xml:space="preserve">Займы </t>
  </si>
  <si>
    <t>Дисконтирование займа полученного от связанной стороны, за вычетом подоходного налога</t>
  </si>
  <si>
    <t xml:space="preserve">Итого совокупный убыток </t>
  </si>
  <si>
    <t>Итого совокупный убыток за период</t>
  </si>
  <si>
    <t>Совокупный убыток</t>
  </si>
  <si>
    <t>Акционерный капитал</t>
  </si>
  <si>
    <t>Поступление от реализации тестовой нефти</t>
  </si>
  <si>
    <t>Провизии</t>
  </si>
  <si>
    <t>Торговая и прочая кредиторская задолженность</t>
  </si>
  <si>
    <t>На 31 декабря 2021 года</t>
  </si>
  <si>
    <t>Курсовая разница</t>
  </si>
  <si>
    <t>Отложенный налоговый актив</t>
  </si>
  <si>
    <t>На 31 декабря 2022 года</t>
  </si>
  <si>
    <t>Экономия по подоходному налогу</t>
  </si>
  <si>
    <t>Убытки от обесценения</t>
  </si>
  <si>
    <t>На 31 декабря 2023 года</t>
  </si>
  <si>
    <t>На 1 января 2024 года</t>
  </si>
  <si>
    <t>31 декабря 2023 года</t>
  </si>
  <si>
    <t>Денежные средства ограниченные в использовании</t>
  </si>
  <si>
    <t>НДС к взмещению</t>
  </si>
  <si>
    <t>По состоянию на 30 сентября 2024 года</t>
  </si>
  <si>
    <t>30 сентября 2024 года</t>
  </si>
  <si>
    <t>За девять месяцев, закончившихся 30 сентября 2024 года</t>
  </si>
  <si>
    <t>На 30 сентября 2024 года</t>
  </si>
  <si>
    <t>30 сентября 2023 года</t>
  </si>
  <si>
    <t xml:space="preserve">Денежные средства </t>
  </si>
  <si>
    <t>в том числе</t>
  </si>
  <si>
    <t xml:space="preserve">Денежные средства и их эквиваленты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</si>
</sst>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(* #,##0_);_(* \(#,##0\);_(* \-_);_(@_)"/>
    <numFmt numFmtId="165" formatCode="_(* #,##0.0_);_(* \(#,##0.0\);_(* \-_);_(@_)"/>
    <numFmt numFmtId="166" formatCode="_(* #,##0_);_(* \(#,##0\);_(* &quot;-&quot;??_);_(@_)"/>
    <numFmt numFmtId="167" formatCode="#,##0.0"/>
    <numFmt numFmtId="168" formatCode="_(* #,##0_);_(* \(#,##0\);_(* &quot;-&quot;_);_(@_)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Narrow"/>
      <family val="2"/>
      <charset val="204"/>
    </font>
    <font>
      <sz val="10"/>
      <color theme="0" tint="-0.499984740745262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sz val="10"/>
      <color rgb="FF808080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9"/>
      <color rgb="FFFF0000"/>
      <name val="Arial Narrow"/>
      <family val="2"/>
      <charset val="204"/>
    </font>
    <font>
      <sz val="10"/>
      <name val="Arial"/>
      <family val="2"/>
    </font>
    <font>
      <sz val="11"/>
      <name val="Calibri"/>
      <family val="2"/>
      <charset val="204"/>
      <scheme val="minor"/>
    </font>
    <font>
      <sz val="9"/>
      <name val="Arial Narrow"/>
      <family val="2"/>
      <charset val="204"/>
    </font>
    <font>
      <sz val="9.5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  <border>
      <left/>
      <right/>
      <top/>
      <bottom style="thin">
        <color rgb="FF0070C0"/>
      </bottom>
      <diagonal/>
    </border>
    <border>
      <left/>
      <right/>
      <top/>
      <bottom style="thin">
        <color rgb="FF3333FF"/>
      </bottom>
      <diagonal/>
    </border>
  </borders>
  <cellStyleXfs count="2">
    <xf numFmtId="0" fontId="0" fillId="0" borderId="0"/>
    <xf numFmtId="0" fontId="12" fillId="0" borderId="0"/>
  </cellStyleXfs>
  <cellXfs count="130">
    <xf numFmtId="0" fontId="0" fillId="0" borderId="0" xfId="0"/>
    <xf numFmtId="0" fontId="1" fillId="2" borderId="0" xfId="0" applyFont="1" applyFill="1"/>
    <xf numFmtId="14" fontId="2" fillId="2" borderId="0" xfId="0" applyNumberFormat="1" applyFont="1" applyFill="1" applyAlignment="1"/>
    <xf numFmtId="14" fontId="3" fillId="2" borderId="0" xfId="0" applyNumberFormat="1" applyFont="1" applyFill="1" applyAlignment="1"/>
    <xf numFmtId="0" fontId="3" fillId="2" borderId="1" xfId="0" applyFont="1" applyFill="1" applyBorder="1" applyAlignment="1"/>
    <xf numFmtId="0" fontId="1" fillId="2" borderId="1" xfId="0" applyFont="1" applyFill="1" applyBorder="1"/>
    <xf numFmtId="0" fontId="3" fillId="2" borderId="0" xfId="0" applyFont="1" applyFill="1" applyAlignment="1"/>
    <xf numFmtId="0" fontId="1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164" fontId="1" fillId="2" borderId="0" xfId="0" applyNumberFormat="1" applyFont="1" applyFill="1" applyBorder="1" applyAlignment="1">
      <alignment horizontal="right"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right" wrapText="1"/>
    </xf>
    <xf numFmtId="0" fontId="5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wrapText="1"/>
    </xf>
    <xf numFmtId="0" fontId="5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wrapText="1"/>
    </xf>
    <xf numFmtId="0" fontId="1" fillId="2" borderId="0" xfId="0" applyFont="1" applyFill="1" applyAlignment="1"/>
    <xf numFmtId="164" fontId="1" fillId="2" borderId="0" xfId="0" applyNumberFormat="1" applyFont="1" applyFill="1"/>
    <xf numFmtId="0" fontId="4" fillId="2" borderId="3" xfId="0" applyFont="1" applyFill="1" applyBorder="1" applyAlignment="1"/>
    <xf numFmtId="0" fontId="4" fillId="2" borderId="3" xfId="0" applyFont="1" applyFill="1" applyBorder="1"/>
    <xf numFmtId="0" fontId="7" fillId="2" borderId="0" xfId="0" applyFont="1" applyFill="1"/>
    <xf numFmtId="0" fontId="9" fillId="2" borderId="0" xfId="0" applyFont="1" applyFill="1"/>
    <xf numFmtId="0" fontId="4" fillId="2" borderId="0" xfId="0" applyFont="1" applyFill="1" applyAlignment="1"/>
    <xf numFmtId="14" fontId="7" fillId="2" borderId="0" xfId="0" applyNumberFormat="1" applyFont="1" applyFill="1" applyAlignment="1"/>
    <xf numFmtId="0" fontId="7" fillId="2" borderId="1" xfId="0" applyFont="1" applyFill="1" applyBorder="1" applyAlignment="1"/>
    <xf numFmtId="14" fontId="3" fillId="2" borderId="0" xfId="0" applyNumberFormat="1" applyFont="1" applyFill="1" applyAlignment="1">
      <alignment horizontal="left"/>
    </xf>
    <xf numFmtId="0" fontId="10" fillId="2" borderId="0" xfId="0" applyFont="1" applyFill="1"/>
    <xf numFmtId="164" fontId="4" fillId="2" borderId="3" xfId="0" applyNumberFormat="1" applyFont="1" applyFill="1" applyBorder="1" applyAlignment="1"/>
    <xf numFmtId="164" fontId="10" fillId="2" borderId="0" xfId="0" applyNumberFormat="1" applyFont="1" applyFill="1"/>
    <xf numFmtId="167" fontId="11" fillId="2" borderId="0" xfId="0" applyNumberFormat="1" applyFont="1" applyFill="1"/>
    <xf numFmtId="164" fontId="4" fillId="2" borderId="0" xfId="0" applyNumberFormat="1" applyFont="1" applyFill="1" applyBorder="1" applyAlignment="1"/>
    <xf numFmtId="164" fontId="1" fillId="2" borderId="0" xfId="0" applyNumberFormat="1" applyFont="1" applyFill="1" applyBorder="1" applyAlignment="1"/>
    <xf numFmtId="164" fontId="9" fillId="2" borderId="0" xfId="0" applyNumberFormat="1" applyFont="1" applyFill="1"/>
    <xf numFmtId="164" fontId="1" fillId="2" borderId="0" xfId="0" applyNumberFormat="1" applyFont="1" applyFill="1" applyBorder="1" applyAlignment="1">
      <alignment vertical="top"/>
    </xf>
    <xf numFmtId="164" fontId="1" fillId="2" borderId="2" xfId="0" applyNumberFormat="1" applyFont="1" applyFill="1" applyBorder="1" applyAlignment="1"/>
    <xf numFmtId="164" fontId="1" fillId="2" borderId="3" xfId="0" applyNumberFormat="1" applyFont="1" applyFill="1" applyBorder="1" applyAlignment="1"/>
    <xf numFmtId="168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7" fillId="0" borderId="0" xfId="0" applyFont="1" applyFill="1" applyBorder="1" applyAlignment="1"/>
    <xf numFmtId="0" fontId="1" fillId="0" borderId="2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164" fontId="1" fillId="0" borderId="0" xfId="0" applyNumberFormat="1" applyFont="1" applyFill="1" applyBorder="1" applyAlignment="1">
      <alignment wrapText="1"/>
    </xf>
    <xf numFmtId="164" fontId="4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/>
    <xf numFmtId="37" fontId="1" fillId="0" borderId="0" xfId="1" applyNumberFormat="1" applyFont="1" applyFill="1" applyBorder="1" applyAlignment="1"/>
    <xf numFmtId="0" fontId="4" fillId="0" borderId="0" xfId="0" applyFont="1" applyFill="1" applyBorder="1" applyAlignment="1"/>
    <xf numFmtId="0" fontId="7" fillId="2" borderId="0" xfId="0" applyFont="1" applyFill="1" applyBorder="1" applyAlignment="1">
      <alignment horizontal="center" wrapText="1"/>
    </xf>
    <xf numFmtId="0" fontId="1" fillId="0" borderId="1" xfId="0" applyFont="1" applyFill="1" applyBorder="1"/>
    <xf numFmtId="0" fontId="0" fillId="0" borderId="0" xfId="0" applyFill="1"/>
    <xf numFmtId="0" fontId="5" fillId="0" borderId="3" xfId="0" applyFont="1" applyFill="1" applyBorder="1" applyAlignment="1">
      <alignment wrapText="1"/>
    </xf>
    <xf numFmtId="164" fontId="4" fillId="0" borderId="3" xfId="0" applyNumberFormat="1" applyFont="1" applyFill="1" applyBorder="1" applyAlignment="1"/>
    <xf numFmtId="167" fontId="11" fillId="0" borderId="0" xfId="0" applyNumberFormat="1" applyFont="1" applyFill="1"/>
    <xf numFmtId="0" fontId="10" fillId="0" borderId="0" xfId="0" applyFont="1" applyFill="1"/>
    <xf numFmtId="0" fontId="5" fillId="0" borderId="0" xfId="0" applyFont="1" applyFill="1" applyBorder="1" applyAlignment="1">
      <alignment wrapText="1"/>
    </xf>
    <xf numFmtId="14" fontId="4" fillId="2" borderId="2" xfId="0" quotePrefix="1" applyNumberFormat="1" applyFont="1" applyFill="1" applyBorder="1" applyAlignment="1">
      <alignment horizontal="right" vertical="top" wrapText="1"/>
    </xf>
    <xf numFmtId="164" fontId="1" fillId="0" borderId="0" xfId="0" applyNumberFormat="1" applyFont="1" applyFill="1" applyBorder="1" applyAlignment="1"/>
    <xf numFmtId="164" fontId="1" fillId="0" borderId="0" xfId="0" applyNumberFormat="1" applyFont="1" applyFill="1" applyBorder="1" applyAlignment="1">
      <alignment vertical="top"/>
    </xf>
    <xf numFmtId="164" fontId="1" fillId="2" borderId="0" xfId="0" applyNumberFormat="1" applyFont="1" applyFill="1" applyAlignment="1">
      <alignment horizontal="right" wrapText="1"/>
    </xf>
    <xf numFmtId="164" fontId="1" fillId="2" borderId="3" xfId="0" applyNumberFormat="1" applyFont="1" applyFill="1" applyBorder="1" applyAlignment="1">
      <alignment horizontal="right" wrapText="1"/>
    </xf>
    <xf numFmtId="164" fontId="1" fillId="2" borderId="3" xfId="0" applyNumberFormat="1" applyFont="1" applyFill="1" applyBorder="1" applyAlignment="1">
      <alignment horizontal="center" wrapText="1"/>
    </xf>
    <xf numFmtId="165" fontId="1" fillId="2" borderId="3" xfId="0" applyNumberFormat="1" applyFont="1" applyFill="1" applyBorder="1"/>
    <xf numFmtId="164" fontId="1" fillId="0" borderId="3" xfId="0" applyNumberFormat="1" applyFont="1" applyFill="1" applyBorder="1" applyAlignment="1"/>
    <xf numFmtId="14" fontId="8" fillId="0" borderId="0" xfId="0" applyNumberFormat="1" applyFont="1" applyFill="1" applyBorder="1" applyAlignment="1"/>
    <xf numFmtId="14" fontId="7" fillId="0" borderId="0" xfId="0" applyNumberFormat="1" applyFont="1" applyFill="1" applyBorder="1" applyAlignment="1"/>
    <xf numFmtId="0" fontId="7" fillId="0" borderId="1" xfId="0" applyFont="1" applyFill="1" applyBorder="1" applyAlignment="1"/>
    <xf numFmtId="0" fontId="1" fillId="0" borderId="1" xfId="0" applyFont="1" applyFill="1" applyBorder="1" applyAlignment="1"/>
    <xf numFmtId="0" fontId="1" fillId="0" borderId="2" xfId="0" applyFont="1" applyFill="1" applyBorder="1" applyAlignment="1">
      <alignment horizontal="center" wrapText="1"/>
    </xf>
    <xf numFmtId="14" fontId="4" fillId="0" borderId="2" xfId="0" quotePrefix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ont="1" applyFill="1"/>
    <xf numFmtId="0" fontId="14" fillId="0" borderId="0" xfId="0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center" wrapText="1"/>
    </xf>
    <xf numFmtId="164" fontId="0" fillId="0" borderId="0" xfId="0" applyNumberFormat="1" applyFill="1"/>
    <xf numFmtId="37" fontId="1" fillId="0" borderId="0" xfId="1" applyNumberFormat="1" applyFont="1" applyFill="1" applyBorder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/>
    <xf numFmtId="43" fontId="1" fillId="2" borderId="0" xfId="0" applyNumberFormat="1" applyFont="1" applyFill="1"/>
    <xf numFmtId="0" fontId="0" fillId="2" borderId="0" xfId="0" applyFill="1"/>
    <xf numFmtId="164" fontId="1" fillId="2" borderId="2" xfId="0" applyNumberFormat="1" applyFont="1" applyFill="1" applyBorder="1" applyAlignment="1">
      <alignment horizontal="center" wrapText="1"/>
    </xf>
    <xf numFmtId="0" fontId="1" fillId="0" borderId="6" xfId="0" applyFont="1" applyFill="1" applyBorder="1" applyAlignment="1">
      <alignment wrapText="1"/>
    </xf>
    <xf numFmtId="0" fontId="4" fillId="0" borderId="6" xfId="0" applyFont="1" applyFill="1" applyBorder="1" applyAlignment="1">
      <alignment horizontal="center" wrapText="1"/>
    </xf>
    <xf numFmtId="164" fontId="1" fillId="0" borderId="6" xfId="0" applyNumberFormat="1" applyFont="1" applyFill="1" applyBorder="1" applyAlignment="1"/>
    <xf numFmtId="164" fontId="1" fillId="0" borderId="6" xfId="0" applyNumberFormat="1" applyFont="1" applyFill="1" applyBorder="1" applyAlignment="1">
      <alignment wrapText="1"/>
    </xf>
    <xf numFmtId="164" fontId="7" fillId="0" borderId="0" xfId="0" applyNumberFormat="1" applyFont="1" applyFill="1" applyBorder="1" applyAlignment="1">
      <alignment wrapText="1"/>
    </xf>
    <xf numFmtId="0" fontId="1" fillId="0" borderId="0" xfId="0" applyFont="1" applyFill="1" applyBorder="1"/>
    <xf numFmtId="0" fontId="13" fillId="0" borderId="0" xfId="0" applyFont="1" applyFill="1"/>
    <xf numFmtId="14" fontId="1" fillId="0" borderId="0" xfId="0" applyNumberFormat="1" applyFont="1" applyFill="1" applyBorder="1" applyAlignment="1"/>
    <xf numFmtId="14" fontId="3" fillId="0" borderId="0" xfId="0" applyNumberFormat="1" applyFont="1" applyFill="1" applyBorder="1" applyAlignment="1"/>
    <xf numFmtId="14" fontId="1" fillId="0" borderId="1" xfId="0" applyNumberFormat="1" applyFont="1" applyFill="1" applyBorder="1" applyAlignment="1"/>
    <xf numFmtId="14" fontId="3" fillId="0" borderId="1" xfId="0" applyNumberFormat="1" applyFont="1" applyFill="1" applyBorder="1" applyAlignment="1"/>
    <xf numFmtId="0" fontId="4" fillId="0" borderId="2" xfId="0" applyFont="1" applyFill="1" applyBorder="1" applyAlignment="1">
      <alignment horizontal="center" wrapText="1"/>
    </xf>
    <xf numFmtId="14" fontId="4" fillId="0" borderId="2" xfId="0" quotePrefix="1" applyNumberFormat="1" applyFont="1" applyFill="1" applyBorder="1" applyAlignment="1">
      <alignment horizontal="left" vertical="top" wrapText="1"/>
    </xf>
    <xf numFmtId="14" fontId="4" fillId="0" borderId="2" xfId="0" quotePrefix="1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166" fontId="1" fillId="0" borderId="0" xfId="0" applyNumberFormat="1" applyFont="1" applyFill="1" applyBorder="1" applyAlignment="1">
      <alignment wrapText="1"/>
    </xf>
    <xf numFmtId="0" fontId="7" fillId="0" borderId="0" xfId="0" applyFont="1" applyFill="1" applyBorder="1" applyAlignment="1">
      <alignment horizontal="center" wrapText="1"/>
    </xf>
    <xf numFmtId="166" fontId="13" fillId="0" borderId="0" xfId="0" applyNumberFormat="1" applyFont="1" applyFill="1"/>
    <xf numFmtId="164" fontId="1" fillId="0" borderId="0" xfId="0" applyNumberFormat="1" applyFont="1" applyFill="1" applyAlignment="1">
      <alignment wrapText="1"/>
    </xf>
    <xf numFmtId="0" fontId="4" fillId="0" borderId="3" xfId="0" applyFont="1" applyFill="1" applyBorder="1" applyAlignment="1">
      <alignment wrapText="1"/>
    </xf>
    <xf numFmtId="0" fontId="7" fillId="0" borderId="3" xfId="0" applyFont="1" applyFill="1" applyBorder="1" applyAlignment="1">
      <alignment horizontal="center" wrapText="1"/>
    </xf>
    <xf numFmtId="164" fontId="1" fillId="0" borderId="3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 wrapText="1"/>
    </xf>
    <xf numFmtId="164" fontId="1" fillId="0" borderId="5" xfId="0" applyNumberFormat="1" applyFont="1" applyFill="1" applyBorder="1" applyAlignment="1">
      <alignment wrapText="1"/>
    </xf>
    <xf numFmtId="164" fontId="13" fillId="0" borderId="0" xfId="0" applyNumberFormat="1" applyFont="1" applyFill="1"/>
    <xf numFmtId="0" fontId="3" fillId="0" borderId="3" xfId="0" applyFont="1" applyFill="1" applyBorder="1" applyAlignment="1">
      <alignment horizontal="center" wrapText="1"/>
    </xf>
    <xf numFmtId="164" fontId="4" fillId="0" borderId="3" xfId="0" applyNumberFormat="1" applyFont="1" applyFill="1" applyBorder="1" applyAlignment="1">
      <alignment wrapText="1"/>
    </xf>
    <xf numFmtId="164" fontId="7" fillId="0" borderId="0" xfId="0" applyNumberFormat="1" applyFont="1" applyFill="1" applyBorder="1" applyAlignment="1">
      <alignment horizontal="center" wrapText="1"/>
    </xf>
    <xf numFmtId="164" fontId="3" fillId="0" borderId="3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center" wrapText="1"/>
    </xf>
    <xf numFmtId="0" fontId="7" fillId="0" borderId="0" xfId="0" applyFont="1" applyFill="1" applyBorder="1"/>
    <xf numFmtId="164" fontId="1" fillId="0" borderId="0" xfId="0" applyNumberFormat="1" applyFont="1" applyFill="1" applyBorder="1"/>
    <xf numFmtId="0" fontId="1" fillId="0" borderId="4" xfId="0" applyFont="1" applyFill="1" applyBorder="1" applyAlignment="1"/>
    <xf numFmtId="0" fontId="7" fillId="0" borderId="4" xfId="0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wrapText="1"/>
    </xf>
    <xf numFmtId="0" fontId="4" fillId="0" borderId="2" xfId="0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wrapText="1"/>
    </xf>
  </cellXfs>
  <cellStyles count="2">
    <cellStyle name="Normal_Worksheet in 2251 Cash Flow Worksheet" xfId="1"/>
    <cellStyle name="Обычный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ktoriya.kashkarova/Documents/&#1050;&#1072;&#1089;&#1077;%201%20&#1082;%202020/9%20&#1084;&#1077;&#1089;/20.09.30%20KASE%20&#1060;&#1080;&#1085;&#1072;&#1085;&#1089;&#1086;&#1074;&#1072;&#1103;%20&#1086;&#1090;&#1095;&#1077;&#1090;&#1085;&#1086;&#1089;&#1090;&#1100;%20(&#1040;&#1089;&#1082;&#1077;&#1088;)%20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IS"/>
      <sheetName val="BS"/>
      <sheetName val="CF"/>
      <sheetName val="CE"/>
      <sheetName val="1"/>
      <sheetName val="3"/>
      <sheetName val="4"/>
      <sheetName val="5"/>
      <sheetName val="6"/>
      <sheetName val="7"/>
      <sheetName val="8"/>
      <sheetName val="9"/>
      <sheetName val="settings"/>
    </sheetNames>
    <sheetDataSet>
      <sheetData sheetId="0"/>
      <sheetData sheetId="1"/>
      <sheetData sheetId="2">
        <row r="31">
          <cell r="D31">
            <v>-3947435</v>
          </cell>
          <cell r="N31">
            <v>-28058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H51"/>
  <sheetViews>
    <sheetView topLeftCell="A22" workbookViewId="0">
      <selection activeCell="J20" sqref="J20"/>
    </sheetView>
  </sheetViews>
  <sheetFormatPr defaultColWidth="8.88671875" defaultRowHeight="14.4" x14ac:dyDescent="0.3"/>
  <cols>
    <col min="1" max="1" width="41.44140625" style="93" customWidth="1"/>
    <col min="2" max="2" width="10.33203125" style="93" customWidth="1"/>
    <col min="3" max="3" width="14.21875" style="93" hidden="1" customWidth="1"/>
    <col min="4" max="4" width="16.109375" style="93" customWidth="1"/>
    <col min="5" max="5" width="15.33203125" style="93" customWidth="1"/>
    <col min="6" max="6" width="11" style="93" bestFit="1" customWidth="1"/>
    <col min="7" max="7" width="10" style="93" bestFit="1" customWidth="1"/>
    <col min="8" max="16384" width="8.88671875" style="93"/>
  </cols>
  <sheetData>
    <row r="1" spans="1:7" x14ac:dyDescent="0.3">
      <c r="A1" s="53" t="s">
        <v>0</v>
      </c>
      <c r="B1" s="92"/>
      <c r="C1" s="92"/>
      <c r="D1" s="92"/>
      <c r="E1" s="92"/>
    </row>
    <row r="2" spans="1:7" x14ac:dyDescent="0.3">
      <c r="A2" s="53" t="s">
        <v>18</v>
      </c>
      <c r="B2" s="92"/>
      <c r="C2" s="92"/>
      <c r="D2" s="92"/>
      <c r="E2" s="92"/>
    </row>
    <row r="3" spans="1:7" x14ac:dyDescent="0.3">
      <c r="A3" s="94" t="s">
        <v>96</v>
      </c>
      <c r="B3" s="95"/>
      <c r="C3" s="95"/>
      <c r="D3" s="95"/>
      <c r="E3" s="95"/>
    </row>
    <row r="4" spans="1:7" ht="15" thickBot="1" x14ac:dyDescent="0.35">
      <c r="A4" s="96"/>
      <c r="B4" s="97"/>
      <c r="C4" s="97"/>
      <c r="D4" s="97"/>
      <c r="E4" s="97"/>
    </row>
    <row r="5" spans="1:7" x14ac:dyDescent="0.3">
      <c r="A5" s="46"/>
      <c r="B5" s="92"/>
      <c r="C5" s="92"/>
      <c r="D5" s="92"/>
      <c r="E5" s="92"/>
    </row>
    <row r="6" spans="1:7" ht="29.25" customHeight="1" x14ac:dyDescent="0.3">
      <c r="A6" s="47" t="s">
        <v>2</v>
      </c>
      <c r="B6" s="98" t="s">
        <v>3</v>
      </c>
      <c r="C6" s="98"/>
      <c r="D6" s="99" t="s">
        <v>97</v>
      </c>
      <c r="E6" s="100" t="s">
        <v>93</v>
      </c>
    </row>
    <row r="7" spans="1:7" x14ac:dyDescent="0.3">
      <c r="A7" s="101" t="s">
        <v>19</v>
      </c>
      <c r="B7" s="102"/>
      <c r="C7" s="102"/>
      <c r="D7" s="103"/>
      <c r="E7" s="103"/>
    </row>
    <row r="8" spans="1:7" x14ac:dyDescent="0.3">
      <c r="A8" s="101" t="s">
        <v>20</v>
      </c>
      <c r="B8" s="102"/>
      <c r="C8" s="102"/>
      <c r="D8" s="103"/>
      <c r="E8" s="103"/>
    </row>
    <row r="9" spans="1:7" x14ac:dyDescent="0.3">
      <c r="A9" s="48" t="s">
        <v>21</v>
      </c>
      <c r="B9" s="104">
        <v>3</v>
      </c>
      <c r="C9" s="104"/>
      <c r="D9" s="49">
        <v>28005517</v>
      </c>
      <c r="E9" s="103">
        <v>28640523</v>
      </c>
      <c r="G9" s="105"/>
    </row>
    <row r="10" spans="1:7" x14ac:dyDescent="0.3">
      <c r="A10" s="48" t="s">
        <v>75</v>
      </c>
      <c r="B10" s="104"/>
      <c r="C10" s="104"/>
      <c r="D10" s="106">
        <v>679106</v>
      </c>
      <c r="E10" s="103">
        <v>747849</v>
      </c>
    </row>
    <row r="11" spans="1:7" x14ac:dyDescent="0.3">
      <c r="A11" s="48" t="s">
        <v>22</v>
      </c>
      <c r="B11" s="104"/>
      <c r="C11" s="104"/>
      <c r="D11" s="106">
        <v>5706</v>
      </c>
      <c r="E11" s="103">
        <v>5706</v>
      </c>
    </row>
    <row r="12" spans="1:7" x14ac:dyDescent="0.3">
      <c r="A12" s="48" t="s">
        <v>95</v>
      </c>
      <c r="B12" s="104">
        <v>4</v>
      </c>
      <c r="C12" s="104"/>
      <c r="D12" s="106">
        <v>1453109</v>
      </c>
      <c r="E12" s="103">
        <v>1437599</v>
      </c>
    </row>
    <row r="13" spans="1:7" x14ac:dyDescent="0.3">
      <c r="A13" s="48" t="s">
        <v>87</v>
      </c>
      <c r="B13" s="104"/>
      <c r="C13" s="104"/>
      <c r="D13" s="106">
        <v>706592</v>
      </c>
      <c r="E13" s="103">
        <v>706592</v>
      </c>
    </row>
    <row r="14" spans="1:7" x14ac:dyDescent="0.3">
      <c r="A14" s="107"/>
      <c r="B14" s="108"/>
      <c r="C14" s="108"/>
      <c r="D14" s="109">
        <f>SUM(D9:D13)</f>
        <v>30850030</v>
      </c>
      <c r="E14" s="109">
        <f>SUM(E9:E13)</f>
        <v>31538269</v>
      </c>
    </row>
    <row r="15" spans="1:7" x14ac:dyDescent="0.3">
      <c r="A15" s="101" t="s">
        <v>23</v>
      </c>
      <c r="B15" s="104"/>
      <c r="C15" s="104"/>
      <c r="D15" s="49"/>
      <c r="E15" s="49"/>
    </row>
    <row r="16" spans="1:7" x14ac:dyDescent="0.3">
      <c r="A16" s="48" t="s">
        <v>24</v>
      </c>
      <c r="B16" s="104"/>
      <c r="C16" s="104"/>
      <c r="D16" s="106">
        <v>66772</v>
      </c>
      <c r="E16" s="49">
        <v>56264</v>
      </c>
    </row>
    <row r="17" spans="1:8" x14ac:dyDescent="0.3">
      <c r="A17" s="48" t="s">
        <v>25</v>
      </c>
      <c r="B17" s="104"/>
      <c r="C17" s="104"/>
      <c r="D17" s="106">
        <f>26708-39</f>
        <v>26669</v>
      </c>
      <c r="E17" s="49">
        <v>12516</v>
      </c>
    </row>
    <row r="18" spans="1:8" x14ac:dyDescent="0.3">
      <c r="A18" s="48" t="s">
        <v>26</v>
      </c>
      <c r="B18" s="104"/>
      <c r="C18" s="104"/>
      <c r="D18" s="49">
        <f>98678</f>
        <v>98678</v>
      </c>
      <c r="E18" s="49">
        <v>96849</v>
      </c>
    </row>
    <row r="19" spans="1:8" x14ac:dyDescent="0.3">
      <c r="A19" s="48" t="s">
        <v>103</v>
      </c>
      <c r="B19" s="104"/>
      <c r="C19" s="104"/>
      <c r="D19" s="49">
        <f>D21+D22</f>
        <v>139680</v>
      </c>
      <c r="E19" s="49">
        <f>E21+E22</f>
        <v>158317</v>
      </c>
    </row>
    <row r="20" spans="1:8" ht="14.4" customHeight="1" x14ac:dyDescent="0.3">
      <c r="A20" s="110" t="s">
        <v>102</v>
      </c>
      <c r="B20" s="104"/>
      <c r="C20" s="104"/>
      <c r="D20" s="49"/>
      <c r="E20" s="49"/>
    </row>
    <row r="21" spans="1:8" x14ac:dyDescent="0.3">
      <c r="A21" s="111" t="s">
        <v>94</v>
      </c>
      <c r="B21" s="104"/>
      <c r="C21" s="104"/>
      <c r="D21" s="49">
        <f>132839</f>
        <v>132839</v>
      </c>
      <c r="E21" s="49">
        <f>132839</f>
        <v>132839</v>
      </c>
    </row>
    <row r="22" spans="1:8" x14ac:dyDescent="0.3">
      <c r="A22" s="112" t="s">
        <v>101</v>
      </c>
      <c r="B22" s="113">
        <v>5</v>
      </c>
      <c r="C22" s="104"/>
      <c r="D22" s="114">
        <v>6841</v>
      </c>
      <c r="E22" s="114">
        <v>25478</v>
      </c>
      <c r="H22" s="115"/>
    </row>
    <row r="23" spans="1:8" x14ac:dyDescent="0.3">
      <c r="A23" s="101"/>
      <c r="B23" s="104"/>
      <c r="C23" s="104"/>
      <c r="D23" s="49">
        <f>SUM(D15:D19)</f>
        <v>331799</v>
      </c>
      <c r="E23" s="49">
        <f>SUM(E16:E19)</f>
        <v>323946</v>
      </c>
    </row>
    <row r="24" spans="1:8" x14ac:dyDescent="0.3">
      <c r="A24" s="107" t="s">
        <v>27</v>
      </c>
      <c r="B24" s="116"/>
      <c r="C24" s="116"/>
      <c r="D24" s="117">
        <f>D14+D23</f>
        <v>31181829</v>
      </c>
      <c r="E24" s="117">
        <f>E14+E23</f>
        <v>31862215</v>
      </c>
      <c r="F24" s="115"/>
    </row>
    <row r="25" spans="1:8" x14ac:dyDescent="0.3">
      <c r="A25" s="101"/>
      <c r="B25" s="111"/>
      <c r="C25" s="111"/>
      <c r="D25" s="49"/>
      <c r="E25" s="49"/>
    </row>
    <row r="26" spans="1:8" x14ac:dyDescent="0.3">
      <c r="A26" s="101" t="s">
        <v>28</v>
      </c>
      <c r="B26" s="111"/>
      <c r="C26" s="111"/>
      <c r="D26" s="49"/>
      <c r="E26" s="49"/>
    </row>
    <row r="27" spans="1:8" x14ac:dyDescent="0.3">
      <c r="A27" s="48" t="s">
        <v>81</v>
      </c>
      <c r="B27" s="104">
        <v>6</v>
      </c>
      <c r="C27" s="118">
        <f>D27</f>
        <v>23387466</v>
      </c>
      <c r="D27" s="49">
        <v>23387466</v>
      </c>
      <c r="E27" s="49">
        <v>23387466</v>
      </c>
    </row>
    <row r="28" spans="1:8" x14ac:dyDescent="0.3">
      <c r="A28" s="48" t="s">
        <v>29</v>
      </c>
      <c r="B28" s="104"/>
      <c r="C28" s="118">
        <f>-25718395</f>
        <v>-25718395</v>
      </c>
      <c r="D28" s="49">
        <f>-20868294</f>
        <v>-20868294</v>
      </c>
      <c r="E28" s="49">
        <f>-20868294</f>
        <v>-20868294</v>
      </c>
    </row>
    <row r="29" spans="1:8" x14ac:dyDescent="0.3">
      <c r="A29" s="48" t="s">
        <v>30</v>
      </c>
      <c r="B29" s="104"/>
      <c r="C29" s="118">
        <f>-12475717</f>
        <v>-12475717</v>
      </c>
      <c r="D29" s="49">
        <f>-18532199</f>
        <v>-18532199</v>
      </c>
      <c r="E29" s="49">
        <v>-14396324</v>
      </c>
    </row>
    <row r="30" spans="1:8" x14ac:dyDescent="0.3">
      <c r="A30" s="107" t="s">
        <v>31</v>
      </c>
      <c r="B30" s="116"/>
      <c r="C30" s="119">
        <f>SUM(C27:C29)</f>
        <v>-14806646</v>
      </c>
      <c r="D30" s="117">
        <f>SUM(D25:D29)</f>
        <v>-16013027</v>
      </c>
      <c r="E30" s="117">
        <f>SUM(E27:E29)</f>
        <v>-11877152</v>
      </c>
    </row>
    <row r="31" spans="1:8" x14ac:dyDescent="0.3">
      <c r="A31" s="101"/>
      <c r="B31" s="120"/>
      <c r="C31" s="121">
        <f>SUM(C27:C29)</f>
        <v>-14806646</v>
      </c>
      <c r="D31" s="50"/>
      <c r="E31" s="50"/>
    </row>
    <row r="32" spans="1:8" x14ac:dyDescent="0.3">
      <c r="A32" s="101" t="s">
        <v>32</v>
      </c>
      <c r="B32" s="104"/>
      <c r="C32" s="104"/>
      <c r="D32" s="49"/>
      <c r="E32" s="49"/>
    </row>
    <row r="33" spans="1:7" x14ac:dyDescent="0.3">
      <c r="A33" s="48" t="s">
        <v>33</v>
      </c>
      <c r="B33" s="104">
        <v>9</v>
      </c>
      <c r="C33" s="104"/>
      <c r="D33" s="49">
        <f>41317578-90826</f>
        <v>41226752</v>
      </c>
      <c r="E33" s="49">
        <v>37887368</v>
      </c>
      <c r="G33" s="115"/>
    </row>
    <row r="34" spans="1:7" x14ac:dyDescent="0.3">
      <c r="A34" s="48" t="s">
        <v>83</v>
      </c>
      <c r="B34" s="104">
        <v>7</v>
      </c>
      <c r="C34" s="104"/>
      <c r="D34" s="49">
        <v>5196452</v>
      </c>
      <c r="E34" s="49">
        <f>5021362+87585</f>
        <v>5108947</v>
      </c>
    </row>
    <row r="35" spans="1:7" x14ac:dyDescent="0.3">
      <c r="A35" s="107"/>
      <c r="B35" s="108"/>
      <c r="C35" s="108"/>
      <c r="D35" s="109">
        <f>SUM(D32:D34)</f>
        <v>46423204</v>
      </c>
      <c r="E35" s="109">
        <f>SUM(E33:E34)</f>
        <v>42996315</v>
      </c>
    </row>
    <row r="36" spans="1:7" x14ac:dyDescent="0.3">
      <c r="A36" s="101" t="s">
        <v>34</v>
      </c>
      <c r="B36" s="104"/>
      <c r="C36" s="104"/>
      <c r="D36" s="49"/>
      <c r="E36" s="49"/>
    </row>
    <row r="37" spans="1:7" ht="19.5" customHeight="1" x14ac:dyDescent="0.3">
      <c r="A37" s="48" t="s">
        <v>84</v>
      </c>
      <c r="B37" s="104">
        <v>8</v>
      </c>
      <c r="C37" s="104"/>
      <c r="D37" s="49">
        <v>771652</v>
      </c>
      <c r="E37" s="49">
        <v>710807</v>
      </c>
    </row>
    <row r="38" spans="1:7" x14ac:dyDescent="0.3">
      <c r="A38" s="48" t="s">
        <v>76</v>
      </c>
      <c r="B38" s="104"/>
      <c r="C38" s="104"/>
      <c r="D38" s="49"/>
      <c r="E38" s="49">
        <v>32245</v>
      </c>
    </row>
    <row r="39" spans="1:7" x14ac:dyDescent="0.3">
      <c r="A39" s="107"/>
      <c r="B39" s="108"/>
      <c r="C39" s="108"/>
      <c r="D39" s="109">
        <f>SUM(D37:D38)</f>
        <v>771652</v>
      </c>
      <c r="E39" s="109">
        <f>SUM(E37:E38)</f>
        <v>743052</v>
      </c>
    </row>
    <row r="40" spans="1:7" x14ac:dyDescent="0.3">
      <c r="A40" s="107" t="s">
        <v>35</v>
      </c>
      <c r="B40" s="116"/>
      <c r="C40" s="116"/>
      <c r="D40" s="117">
        <f>D35+D39</f>
        <v>47194856</v>
      </c>
      <c r="E40" s="117">
        <f>E35+E39</f>
        <v>43739367</v>
      </c>
    </row>
    <row r="41" spans="1:7" x14ac:dyDescent="0.3">
      <c r="A41" s="107" t="s">
        <v>36</v>
      </c>
      <c r="B41" s="116"/>
      <c r="C41" s="116"/>
      <c r="D41" s="117">
        <f>D40+D30</f>
        <v>31181829</v>
      </c>
      <c r="E41" s="117">
        <f>E40+E30</f>
        <v>31862215</v>
      </c>
    </row>
    <row r="42" spans="1:7" ht="15" customHeight="1" x14ac:dyDescent="0.3">
      <c r="A42" s="51"/>
      <c r="B42" s="122"/>
      <c r="C42" s="122"/>
      <c r="D42" s="123"/>
      <c r="E42" s="123"/>
    </row>
    <row r="43" spans="1:7" x14ac:dyDescent="0.3">
      <c r="A43" s="124" t="s">
        <v>37</v>
      </c>
      <c r="B43" s="125"/>
      <c r="C43" s="125"/>
      <c r="D43" s="126">
        <v>23387466</v>
      </c>
      <c r="E43" s="126">
        <v>23387466</v>
      </c>
    </row>
    <row r="44" spans="1:7" x14ac:dyDescent="0.3">
      <c r="A44" s="127" t="s">
        <v>38</v>
      </c>
      <c r="B44" s="128"/>
      <c r="C44" s="128"/>
      <c r="D44" s="129">
        <v>-684.93</v>
      </c>
      <c r="E44" s="129">
        <v>-550</v>
      </c>
    </row>
    <row r="45" spans="1:7" x14ac:dyDescent="0.3">
      <c r="A45" s="51"/>
      <c r="B45" s="92"/>
      <c r="C45" s="92"/>
      <c r="D45" s="92"/>
      <c r="E45" s="92"/>
    </row>
    <row r="46" spans="1:7" x14ac:dyDescent="0.3">
      <c r="A46" s="51"/>
      <c r="B46" s="92"/>
      <c r="C46" s="92"/>
      <c r="D46" s="123">
        <f>D24-D41</f>
        <v>0</v>
      </c>
      <c r="E46" s="92"/>
    </row>
    <row r="47" spans="1:7" x14ac:dyDescent="0.3">
      <c r="A47" s="51"/>
      <c r="B47" s="92"/>
      <c r="C47" s="92"/>
      <c r="D47" s="92"/>
      <c r="E47" s="92"/>
    </row>
    <row r="48" spans="1:7" x14ac:dyDescent="0.3">
      <c r="A48" s="51" t="s">
        <v>15</v>
      </c>
      <c r="B48" s="92"/>
      <c r="C48" s="92"/>
      <c r="D48" s="92"/>
      <c r="E48" s="92" t="s">
        <v>73</v>
      </c>
    </row>
    <row r="49" spans="1:5" x14ac:dyDescent="0.3">
      <c r="A49" s="51"/>
      <c r="B49" s="92"/>
      <c r="C49" s="92"/>
      <c r="D49" s="92"/>
      <c r="E49" s="92"/>
    </row>
    <row r="50" spans="1:5" x14ac:dyDescent="0.3">
      <c r="A50" s="51"/>
      <c r="B50" s="92"/>
      <c r="C50" s="92"/>
      <c r="D50" s="92"/>
      <c r="E50" s="92"/>
    </row>
    <row r="51" spans="1:5" ht="15.75" customHeight="1" x14ac:dyDescent="0.3">
      <c r="A51" s="51" t="s">
        <v>16</v>
      </c>
      <c r="B51" s="92"/>
      <c r="C51" s="92"/>
      <c r="D51" s="92"/>
      <c r="E51" s="92" t="s">
        <v>17</v>
      </c>
    </row>
  </sheetData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29"/>
  <sheetViews>
    <sheetView workbookViewId="0">
      <selection activeCell="G17" sqref="G17"/>
    </sheetView>
  </sheetViews>
  <sheetFormatPr defaultRowHeight="14.4" x14ac:dyDescent="0.3"/>
  <cols>
    <col min="1" max="1" width="44.33203125" style="85" customWidth="1"/>
    <col min="2" max="2" width="8.88671875" style="85"/>
    <col min="3" max="3" width="15.5546875" style="85" customWidth="1"/>
    <col min="4" max="4" width="16" style="85" customWidth="1"/>
    <col min="5" max="16384" width="8.88671875" style="85"/>
  </cols>
  <sheetData>
    <row r="1" spans="1:4" x14ac:dyDescent="0.3">
      <c r="A1" s="29" t="s">
        <v>0</v>
      </c>
      <c r="B1" s="1"/>
      <c r="C1" s="1"/>
      <c r="D1" s="1"/>
    </row>
    <row r="2" spans="1:4" x14ac:dyDescent="0.3">
      <c r="A2" s="29" t="s">
        <v>1</v>
      </c>
      <c r="B2" s="1"/>
      <c r="C2" s="1"/>
      <c r="D2" s="1"/>
    </row>
    <row r="3" spans="1:4" x14ac:dyDescent="0.3">
      <c r="A3" s="2" t="s">
        <v>98</v>
      </c>
      <c r="B3" s="3"/>
      <c r="C3" s="3"/>
      <c r="D3" s="3"/>
    </row>
    <row r="4" spans="1:4" ht="15" thickBot="1" x14ac:dyDescent="0.35">
      <c r="A4" s="4"/>
      <c r="B4" s="5"/>
      <c r="C4" s="5"/>
      <c r="D4" s="5"/>
    </row>
    <row r="5" spans="1:4" x14ac:dyDescent="0.3">
      <c r="A5" s="6"/>
      <c r="B5" s="1"/>
      <c r="C5" s="1"/>
      <c r="D5" s="1"/>
    </row>
    <row r="6" spans="1:4" ht="27.6" x14ac:dyDescent="0.3">
      <c r="A6" s="7" t="s">
        <v>2</v>
      </c>
      <c r="B6" s="8" t="s">
        <v>3</v>
      </c>
      <c r="C6" s="62" t="s">
        <v>97</v>
      </c>
      <c r="D6" s="62" t="s">
        <v>100</v>
      </c>
    </row>
    <row r="7" spans="1:4" x14ac:dyDescent="0.3">
      <c r="A7" s="9" t="s">
        <v>4</v>
      </c>
      <c r="B7" s="10"/>
      <c r="C7" s="11"/>
      <c r="D7" s="11"/>
    </row>
    <row r="8" spans="1:4" x14ac:dyDescent="0.3">
      <c r="A8" s="12" t="s">
        <v>5</v>
      </c>
      <c r="B8" s="54">
        <v>10</v>
      </c>
      <c r="C8" s="11">
        <v>-353712</v>
      </c>
      <c r="D8" s="11">
        <v>-723014</v>
      </c>
    </row>
    <row r="9" spans="1:4" x14ac:dyDescent="0.3">
      <c r="A9" s="12" t="s">
        <v>90</v>
      </c>
      <c r="B9" s="54"/>
      <c r="C9" s="11">
        <f>-26138</f>
        <v>-26138</v>
      </c>
      <c r="D9" s="11">
        <f>-5067</f>
        <v>-5067</v>
      </c>
    </row>
    <row r="10" spans="1:4" x14ac:dyDescent="0.3">
      <c r="A10" s="16" t="s">
        <v>6</v>
      </c>
      <c r="B10" s="17"/>
      <c r="C10" s="11">
        <f>C8</f>
        <v>-353712</v>
      </c>
      <c r="D10" s="11">
        <f>D8</f>
        <v>-723014</v>
      </c>
    </row>
    <row r="11" spans="1:4" x14ac:dyDescent="0.3">
      <c r="A11" s="12" t="s">
        <v>7</v>
      </c>
      <c r="B11" s="17"/>
      <c r="C11" s="11">
        <f>-2171509</f>
        <v>-2171509</v>
      </c>
      <c r="D11" s="11">
        <f>-2350744</f>
        <v>-2350744</v>
      </c>
    </row>
    <row r="12" spans="1:4" x14ac:dyDescent="0.3">
      <c r="A12" s="12" t="s">
        <v>8</v>
      </c>
      <c r="B12" s="13"/>
      <c r="C12" s="11">
        <v>74</v>
      </c>
      <c r="D12" s="11">
        <v>1235</v>
      </c>
    </row>
    <row r="13" spans="1:4" x14ac:dyDescent="0.3">
      <c r="A13" s="7" t="s">
        <v>86</v>
      </c>
      <c r="B13" s="14"/>
      <c r="C13" s="86">
        <f>-1610728</f>
        <v>-1610728</v>
      </c>
      <c r="D13" s="15">
        <f>-2610351</f>
        <v>-2610351</v>
      </c>
    </row>
    <row r="14" spans="1:4" x14ac:dyDescent="0.3">
      <c r="A14" s="18" t="s">
        <v>9</v>
      </c>
      <c r="B14" s="19"/>
      <c r="C14" s="65">
        <f>SUM(C10:C13)</f>
        <v>-4135875</v>
      </c>
      <c r="D14" s="65">
        <f>SUM(D10:D13)</f>
        <v>-5682874</v>
      </c>
    </row>
    <row r="15" spans="1:4" x14ac:dyDescent="0.3">
      <c r="A15" s="12" t="s">
        <v>89</v>
      </c>
      <c r="B15" s="13"/>
      <c r="C15" s="11"/>
      <c r="D15" s="11">
        <v>0</v>
      </c>
    </row>
    <row r="16" spans="1:4" x14ac:dyDescent="0.3">
      <c r="A16" s="20" t="s">
        <v>10</v>
      </c>
      <c r="B16" s="21"/>
      <c r="C16" s="66">
        <f>C14</f>
        <v>-4135875</v>
      </c>
      <c r="D16" s="66">
        <f>D14</f>
        <v>-5682874</v>
      </c>
    </row>
    <row r="17" spans="1:4" x14ac:dyDescent="0.3">
      <c r="A17" s="22" t="s">
        <v>11</v>
      </c>
      <c r="B17" s="13"/>
      <c r="C17" s="11">
        <v>0</v>
      </c>
      <c r="D17" s="11">
        <v>0</v>
      </c>
    </row>
    <row r="18" spans="1:4" ht="27.6" x14ac:dyDescent="0.3">
      <c r="A18" s="20" t="s">
        <v>12</v>
      </c>
      <c r="B18" s="21"/>
      <c r="C18" s="67">
        <f>C16</f>
        <v>-4135875</v>
      </c>
      <c r="D18" s="67">
        <f>D16</f>
        <v>-5682874</v>
      </c>
    </row>
    <row r="19" spans="1:4" x14ac:dyDescent="0.3">
      <c r="A19" s="23"/>
      <c r="B19" s="1"/>
      <c r="C19" s="24"/>
      <c r="D19" s="24"/>
    </row>
    <row r="20" spans="1:4" x14ac:dyDescent="0.3">
      <c r="A20" s="25" t="s">
        <v>13</v>
      </c>
      <c r="B20" s="26"/>
      <c r="C20" s="68">
        <f>-176.8</f>
        <v>-176.8</v>
      </c>
      <c r="D20" s="68">
        <f>-242.9</f>
        <v>-242.9</v>
      </c>
    </row>
    <row r="21" spans="1:4" x14ac:dyDescent="0.3">
      <c r="A21" s="23"/>
      <c r="B21" s="1"/>
      <c r="C21" s="1"/>
      <c r="D21" s="1"/>
    </row>
    <row r="22" spans="1:4" x14ac:dyDescent="0.3">
      <c r="A22" s="27" t="s">
        <v>14</v>
      </c>
      <c r="B22" s="1"/>
      <c r="C22" s="1"/>
      <c r="D22" s="1"/>
    </row>
    <row r="23" spans="1:4" ht="11.25" customHeight="1" x14ac:dyDescent="0.3">
      <c r="A23" s="27"/>
      <c r="B23" s="1"/>
      <c r="C23" s="84"/>
      <c r="D23" s="84"/>
    </row>
    <row r="24" spans="1:4" ht="12.75" customHeight="1" x14ac:dyDescent="0.3">
      <c r="A24" s="27"/>
      <c r="B24" s="1"/>
      <c r="C24" s="1"/>
      <c r="D24" s="1"/>
    </row>
    <row r="25" spans="1:4" x14ac:dyDescent="0.3">
      <c r="A25" s="23"/>
      <c r="B25" s="1"/>
      <c r="C25" s="1"/>
      <c r="D25" s="1"/>
    </row>
    <row r="26" spans="1:4" ht="20.25" customHeight="1" x14ac:dyDescent="0.3">
      <c r="A26" s="23" t="s">
        <v>15</v>
      </c>
      <c r="B26" s="1"/>
      <c r="C26" s="1"/>
      <c r="D26" s="1" t="s">
        <v>73</v>
      </c>
    </row>
    <row r="27" spans="1:4" x14ac:dyDescent="0.3">
      <c r="A27" s="23"/>
      <c r="B27" s="1"/>
      <c r="C27" s="1"/>
      <c r="D27" s="1"/>
    </row>
    <row r="28" spans="1:4" ht="10.5" customHeight="1" x14ac:dyDescent="0.3">
      <c r="A28" s="23"/>
      <c r="B28" s="1"/>
      <c r="C28" s="1"/>
      <c r="D28" s="1"/>
    </row>
    <row r="29" spans="1:4" ht="20.25" customHeight="1" x14ac:dyDescent="0.3">
      <c r="A29" s="23" t="s">
        <v>16</v>
      </c>
      <c r="B29" s="1"/>
      <c r="C29" s="1"/>
      <c r="D29" s="1" t="s">
        <v>17</v>
      </c>
    </row>
  </sheetData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opLeftCell="A29" workbookViewId="0">
      <selection activeCell="L30" sqref="L30"/>
    </sheetView>
  </sheetViews>
  <sheetFormatPr defaultRowHeight="14.4" x14ac:dyDescent="0.3"/>
  <cols>
    <col min="1" max="1" width="44" style="56" customWidth="1"/>
    <col min="2" max="2" width="8.88671875" style="56"/>
    <col min="3" max="3" width="16.44140625" style="83" customWidth="1"/>
    <col min="4" max="4" width="15.88671875" style="83" customWidth="1"/>
    <col min="5" max="16384" width="8.88671875" style="56"/>
  </cols>
  <sheetData>
    <row r="1" spans="1:5" x14ac:dyDescent="0.3">
      <c r="A1" s="53" t="s">
        <v>0</v>
      </c>
      <c r="B1" s="51"/>
      <c r="C1" s="52"/>
      <c r="D1" s="52"/>
    </row>
    <row r="2" spans="1:5" x14ac:dyDescent="0.3">
      <c r="A2" s="53" t="s">
        <v>49</v>
      </c>
      <c r="B2" s="51"/>
      <c r="C2" s="52"/>
      <c r="D2" s="52"/>
    </row>
    <row r="3" spans="1:5" x14ac:dyDescent="0.3">
      <c r="A3" s="70" t="s">
        <v>98</v>
      </c>
      <c r="B3" s="71"/>
      <c r="C3" s="71"/>
      <c r="D3" s="71"/>
    </row>
    <row r="4" spans="1:5" ht="9" customHeight="1" thickBot="1" x14ac:dyDescent="0.35">
      <c r="A4" s="72"/>
      <c r="B4" s="55"/>
      <c r="C4" s="73"/>
      <c r="D4" s="73"/>
    </row>
    <row r="5" spans="1:5" ht="24.75" customHeight="1" x14ac:dyDescent="0.3">
      <c r="A5" s="47" t="s">
        <v>2</v>
      </c>
      <c r="B5" s="74" t="s">
        <v>3</v>
      </c>
      <c r="C5" s="75" t="s">
        <v>97</v>
      </c>
      <c r="D5" s="75" t="s">
        <v>100</v>
      </c>
    </row>
    <row r="6" spans="1:5" x14ac:dyDescent="0.3">
      <c r="A6" s="46" t="s">
        <v>51</v>
      </c>
      <c r="B6" s="76"/>
      <c r="C6" s="50"/>
      <c r="D6" s="50"/>
    </row>
    <row r="7" spans="1:5" x14ac:dyDescent="0.3">
      <c r="A7" s="48" t="s">
        <v>52</v>
      </c>
      <c r="B7" s="76"/>
      <c r="C7" s="49"/>
      <c r="D7" s="49"/>
      <c r="E7" s="77"/>
    </row>
    <row r="8" spans="1:5" x14ac:dyDescent="0.3">
      <c r="A8" s="78" t="s">
        <v>53</v>
      </c>
      <c r="B8" s="76"/>
      <c r="C8" s="49"/>
      <c r="D8" s="49"/>
      <c r="E8" s="77"/>
    </row>
    <row r="9" spans="1:5" x14ac:dyDescent="0.3">
      <c r="A9" s="48" t="s">
        <v>66</v>
      </c>
      <c r="B9" s="76"/>
      <c r="C9" s="49"/>
      <c r="D9" s="49"/>
      <c r="E9" s="77"/>
    </row>
    <row r="10" spans="1:5" x14ac:dyDescent="0.3">
      <c r="A10" s="48" t="s">
        <v>54</v>
      </c>
      <c r="B10" s="76"/>
      <c r="C10" s="49"/>
      <c r="D10" s="49"/>
      <c r="E10" s="77"/>
    </row>
    <row r="11" spans="1:5" x14ac:dyDescent="0.3">
      <c r="A11" s="78" t="s">
        <v>53</v>
      </c>
      <c r="B11" s="76"/>
      <c r="C11" s="49"/>
      <c r="D11" s="49"/>
      <c r="E11" s="77"/>
    </row>
    <row r="12" spans="1:5" x14ac:dyDescent="0.3">
      <c r="A12" s="48" t="s">
        <v>67</v>
      </c>
      <c r="B12" s="76"/>
      <c r="C12" s="63">
        <f>364694</f>
        <v>364694</v>
      </c>
      <c r="D12" s="63">
        <f>687611</f>
        <v>687611</v>
      </c>
      <c r="E12" s="77"/>
    </row>
    <row r="13" spans="1:5" ht="16.5" customHeight="1" x14ac:dyDescent="0.3">
      <c r="A13" s="87" t="s">
        <v>68</v>
      </c>
      <c r="B13" s="88"/>
      <c r="C13" s="89">
        <v>417809</v>
      </c>
      <c r="D13" s="89">
        <v>409460</v>
      </c>
      <c r="E13" s="77"/>
    </row>
    <row r="14" spans="1:5" ht="27" customHeight="1" x14ac:dyDescent="0.3">
      <c r="A14" s="48" t="s">
        <v>55</v>
      </c>
      <c r="B14" s="76"/>
      <c r="C14" s="49">
        <f>C7-C12-C13</f>
        <v>-782503</v>
      </c>
      <c r="D14" s="49">
        <f>D7-D12-D13</f>
        <v>-1097071</v>
      </c>
      <c r="E14" s="77"/>
    </row>
    <row r="15" spans="1:5" ht="10.95" customHeight="1" x14ac:dyDescent="0.3">
      <c r="A15" s="48"/>
      <c r="B15" s="76"/>
      <c r="C15" s="49"/>
      <c r="D15" s="49"/>
      <c r="E15" s="77"/>
    </row>
    <row r="16" spans="1:5" ht="14.25" customHeight="1" x14ac:dyDescent="0.3">
      <c r="A16" s="46" t="s">
        <v>56</v>
      </c>
      <c r="B16" s="76"/>
      <c r="C16" s="49"/>
      <c r="D16" s="49"/>
      <c r="E16" s="77"/>
    </row>
    <row r="17" spans="1:5" x14ac:dyDescent="0.3">
      <c r="A17" s="48" t="s">
        <v>57</v>
      </c>
      <c r="B17" s="76"/>
      <c r="C17" s="49"/>
      <c r="D17" s="49"/>
      <c r="E17" s="77"/>
    </row>
    <row r="18" spans="1:5" x14ac:dyDescent="0.3">
      <c r="A18" s="78" t="s">
        <v>53</v>
      </c>
      <c r="B18" s="76"/>
      <c r="C18" s="49"/>
      <c r="D18" s="49"/>
      <c r="E18" s="77"/>
    </row>
    <row r="19" spans="1:5" x14ac:dyDescent="0.3">
      <c r="A19" s="48" t="s">
        <v>82</v>
      </c>
      <c r="B19" s="76"/>
      <c r="C19" s="49">
        <v>120524</v>
      </c>
      <c r="D19" s="49">
        <f>148267</f>
        <v>148267</v>
      </c>
      <c r="E19" s="77"/>
    </row>
    <row r="20" spans="1:5" ht="15.75" customHeight="1" x14ac:dyDescent="0.3">
      <c r="A20" s="48" t="s">
        <v>54</v>
      </c>
      <c r="B20" s="76"/>
      <c r="C20" s="49"/>
      <c r="D20" s="49"/>
      <c r="E20" s="77"/>
    </row>
    <row r="21" spans="1:5" ht="15.75" customHeight="1" x14ac:dyDescent="0.3">
      <c r="A21" s="78" t="s">
        <v>53</v>
      </c>
      <c r="B21" s="76"/>
      <c r="C21" s="49"/>
      <c r="D21" s="49"/>
      <c r="E21" s="77"/>
    </row>
    <row r="22" spans="1:5" x14ac:dyDescent="0.3">
      <c r="A22" s="48" t="s">
        <v>58</v>
      </c>
      <c r="B22" s="76"/>
      <c r="C22" s="49">
        <v>15001</v>
      </c>
      <c r="D22" s="49"/>
      <c r="E22" s="77"/>
    </row>
    <row r="23" spans="1:5" ht="15.75" customHeight="1" x14ac:dyDescent="0.3">
      <c r="A23" s="87" t="s">
        <v>59</v>
      </c>
      <c r="B23" s="88"/>
      <c r="C23" s="90"/>
      <c r="D23" s="90">
        <f>-14960</f>
        <v>-14960</v>
      </c>
      <c r="E23" s="77"/>
    </row>
    <row r="24" spans="1:5" ht="25.5" customHeight="1" x14ac:dyDescent="0.3">
      <c r="A24" s="48" t="s">
        <v>60</v>
      </c>
      <c r="B24" s="76"/>
      <c r="C24" s="49">
        <f>C19-C22-C23</f>
        <v>105523</v>
      </c>
      <c r="D24" s="49">
        <f>D19-D22-D23</f>
        <v>163227</v>
      </c>
      <c r="E24" s="77"/>
    </row>
    <row r="25" spans="1:5" ht="6" customHeight="1" x14ac:dyDescent="0.3">
      <c r="A25" s="48"/>
      <c r="B25" s="76"/>
      <c r="C25" s="49"/>
      <c r="D25" s="49"/>
      <c r="E25" s="77"/>
    </row>
    <row r="26" spans="1:5" ht="13.5" customHeight="1" x14ac:dyDescent="0.3">
      <c r="A26" s="46" t="s">
        <v>61</v>
      </c>
      <c r="B26" s="76"/>
      <c r="C26" s="49"/>
      <c r="D26" s="49"/>
      <c r="E26" s="77"/>
    </row>
    <row r="27" spans="1:5" ht="18.75" customHeight="1" x14ac:dyDescent="0.3">
      <c r="A27" s="48" t="s">
        <v>70</v>
      </c>
      <c r="B27" s="76"/>
      <c r="C27" s="49"/>
      <c r="D27" s="49"/>
      <c r="E27" s="77"/>
    </row>
    <row r="28" spans="1:5" ht="16.5" customHeight="1" x14ac:dyDescent="0.3">
      <c r="A28" s="78" t="s">
        <v>53</v>
      </c>
      <c r="B28" s="76"/>
      <c r="C28" s="49"/>
      <c r="D28" s="49"/>
      <c r="E28" s="77"/>
    </row>
    <row r="29" spans="1:5" ht="15.75" customHeight="1" x14ac:dyDescent="0.3">
      <c r="A29" s="48" t="s">
        <v>62</v>
      </c>
      <c r="B29" s="76"/>
      <c r="C29" s="49">
        <v>658670</v>
      </c>
      <c r="D29" s="49">
        <f>916250</f>
        <v>916250</v>
      </c>
      <c r="E29" s="77"/>
    </row>
    <row r="30" spans="1:5" ht="20.25" customHeight="1" x14ac:dyDescent="0.3">
      <c r="A30" s="48" t="s">
        <v>54</v>
      </c>
      <c r="B30" s="76"/>
      <c r="C30" s="49"/>
      <c r="D30" s="49"/>
      <c r="E30" s="77"/>
    </row>
    <row r="31" spans="1:5" ht="13.2" customHeight="1" x14ac:dyDescent="0.3">
      <c r="A31" s="78" t="s">
        <v>53</v>
      </c>
      <c r="B31" s="76"/>
      <c r="C31" s="49"/>
      <c r="D31" s="49"/>
      <c r="E31" s="77"/>
    </row>
    <row r="32" spans="1:5" ht="18" customHeight="1" x14ac:dyDescent="0.3">
      <c r="A32" s="87" t="s">
        <v>69</v>
      </c>
      <c r="B32" s="88"/>
      <c r="C32" s="90"/>
      <c r="D32" s="90"/>
      <c r="E32" s="77"/>
    </row>
    <row r="33" spans="1:8" ht="28.5" customHeight="1" x14ac:dyDescent="0.3">
      <c r="A33" s="48" t="s">
        <v>63</v>
      </c>
      <c r="B33" s="76"/>
      <c r="C33" s="49">
        <f>C29-C30</f>
        <v>658670</v>
      </c>
      <c r="D33" s="49">
        <f>D29-D30</f>
        <v>916250</v>
      </c>
      <c r="E33" s="77"/>
    </row>
    <row r="34" spans="1:8" ht="20.25" customHeight="1" x14ac:dyDescent="0.3">
      <c r="A34" s="48" t="s">
        <v>64</v>
      </c>
      <c r="B34" s="76"/>
      <c r="C34" s="49">
        <f>-327</f>
        <v>-327</v>
      </c>
      <c r="D34" s="49">
        <f>244</f>
        <v>244</v>
      </c>
      <c r="E34" s="77"/>
    </row>
    <row r="35" spans="1:8" ht="32.25" customHeight="1" x14ac:dyDescent="0.3">
      <c r="A35" s="87" t="s">
        <v>65</v>
      </c>
      <c r="B35" s="88"/>
      <c r="C35" s="90">
        <f>C14+C24+C33+C34</f>
        <v>-18637</v>
      </c>
      <c r="D35" s="90">
        <f>D14+D24+D33+D34</f>
        <v>-17350</v>
      </c>
      <c r="E35" s="77"/>
    </row>
    <row r="36" spans="1:8" ht="27.75" customHeight="1" x14ac:dyDescent="0.3">
      <c r="A36" s="48" t="s">
        <v>71</v>
      </c>
      <c r="B36" s="76"/>
      <c r="C36" s="91">
        <f>25478</f>
        <v>25478</v>
      </c>
      <c r="D36" s="49">
        <v>182765</v>
      </c>
      <c r="E36" s="77"/>
    </row>
    <row r="37" spans="1:8" ht="25.5" customHeight="1" x14ac:dyDescent="0.3">
      <c r="A37" s="48" t="s">
        <v>72</v>
      </c>
      <c r="B37" s="76"/>
      <c r="C37" s="49">
        <f>C36+C35</f>
        <v>6841</v>
      </c>
      <c r="D37" s="49">
        <f>D36+D35</f>
        <v>165415</v>
      </c>
      <c r="E37" s="77"/>
    </row>
    <row r="38" spans="1:8" ht="30.75" customHeight="1" x14ac:dyDescent="0.3">
      <c r="A38" s="48"/>
      <c r="B38" s="79"/>
      <c r="C38" s="50"/>
      <c r="D38" s="50"/>
      <c r="F38" s="80"/>
      <c r="H38" s="80"/>
    </row>
    <row r="39" spans="1:8" ht="30.75" customHeight="1" x14ac:dyDescent="0.3">
      <c r="A39" s="48"/>
      <c r="B39" s="79"/>
      <c r="C39" s="50"/>
      <c r="D39" s="50"/>
    </row>
    <row r="40" spans="1:8" x14ac:dyDescent="0.3">
      <c r="A40" s="52"/>
      <c r="B40" s="81"/>
      <c r="C40" s="49"/>
      <c r="D40" s="49"/>
    </row>
    <row r="41" spans="1:8" x14ac:dyDescent="0.3">
      <c r="A41" s="82" t="s">
        <v>15</v>
      </c>
      <c r="B41" s="51"/>
      <c r="C41" s="51"/>
      <c r="D41" s="51" t="s">
        <v>73</v>
      </c>
    </row>
    <row r="42" spans="1:8" ht="9.75" customHeight="1" x14ac:dyDescent="0.3">
      <c r="A42" s="82"/>
      <c r="B42" s="51"/>
      <c r="C42" s="51"/>
      <c r="D42" s="51"/>
    </row>
    <row r="43" spans="1:8" ht="10.5" customHeight="1" x14ac:dyDescent="0.3">
      <c r="A43" s="82"/>
      <c r="B43" s="51"/>
      <c r="C43" s="51"/>
      <c r="D43" s="51"/>
    </row>
    <row r="44" spans="1:8" x14ac:dyDescent="0.3">
      <c r="A44" s="82" t="s">
        <v>16</v>
      </c>
      <c r="B44" s="51"/>
      <c r="C44" s="51"/>
      <c r="D44" s="51" t="s">
        <v>17</v>
      </c>
    </row>
  </sheetData>
  <pageMargins left="0.31496062992125984" right="0.51181102362204722" top="0.74803149606299213" bottom="0.74803149606299213" header="0.31496062992125984" footer="0.31496062992125984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55"/>
  <sheetViews>
    <sheetView showGridLines="0" tabSelected="1" workbookViewId="0">
      <selection activeCell="N55" sqref="N55"/>
    </sheetView>
  </sheetViews>
  <sheetFormatPr defaultColWidth="8.88671875" defaultRowHeight="13.8" x14ac:dyDescent="0.3"/>
  <cols>
    <col min="1" max="1" width="2.33203125" style="28" customWidth="1"/>
    <col min="2" max="2" width="43.109375" style="28" customWidth="1"/>
    <col min="3" max="3" width="6.33203125" style="28" customWidth="1"/>
    <col min="4" max="4" width="10.6640625" style="28" customWidth="1"/>
    <col min="5" max="5" width="13.33203125" style="28" customWidth="1"/>
    <col min="6" max="6" width="12.88671875" style="28" customWidth="1"/>
    <col min="7" max="7" width="12.44140625" style="28" customWidth="1"/>
    <col min="8" max="8" width="9.21875" style="28" bestFit="1" customWidth="1"/>
    <col min="9" max="9" width="10.44140625" style="28" bestFit="1" customWidth="1"/>
    <col min="10" max="16384" width="8.88671875" style="28"/>
  </cols>
  <sheetData>
    <row r="1" spans="1:8" x14ac:dyDescent="0.3">
      <c r="B1" s="29" t="s">
        <v>0</v>
      </c>
      <c r="C1" s="29"/>
      <c r="D1" s="29"/>
      <c r="E1" s="29"/>
      <c r="F1" s="29"/>
      <c r="G1" s="29"/>
    </row>
    <row r="2" spans="1:8" x14ac:dyDescent="0.3">
      <c r="B2" s="29" t="s">
        <v>39</v>
      </c>
      <c r="C2" s="29"/>
      <c r="D2" s="29"/>
      <c r="E2" s="29"/>
      <c r="F2" s="29"/>
      <c r="G2" s="29"/>
    </row>
    <row r="3" spans="1:8" x14ac:dyDescent="0.3">
      <c r="B3" s="2" t="s">
        <v>98</v>
      </c>
      <c r="C3" s="30"/>
      <c r="D3" s="30"/>
      <c r="E3" s="30"/>
      <c r="F3" s="3"/>
      <c r="G3" s="3"/>
    </row>
    <row r="4" spans="1:8" ht="11.25" customHeight="1" thickBot="1" x14ac:dyDescent="0.35">
      <c r="B4" s="31"/>
      <c r="C4" s="5"/>
      <c r="D4" s="5"/>
      <c r="E4" s="5"/>
      <c r="F4" s="5"/>
      <c r="G4" s="5"/>
    </row>
    <row r="5" spans="1:8" x14ac:dyDescent="0.3">
      <c r="B5" s="32"/>
      <c r="C5" s="32"/>
      <c r="D5" s="32"/>
      <c r="E5" s="32"/>
      <c r="F5" s="32"/>
      <c r="G5" s="32"/>
    </row>
    <row r="6" spans="1:8" ht="44.25" customHeight="1" x14ac:dyDescent="0.3">
      <c r="B6" s="7" t="s">
        <v>2</v>
      </c>
      <c r="C6" s="8" t="s">
        <v>3</v>
      </c>
      <c r="D6" s="8" t="s">
        <v>28</v>
      </c>
      <c r="E6" s="8" t="s">
        <v>29</v>
      </c>
      <c r="F6" s="8" t="s">
        <v>30</v>
      </c>
      <c r="G6" s="8" t="s">
        <v>40</v>
      </c>
    </row>
    <row r="7" spans="1:8" s="35" customFormat="1" hidden="1" x14ac:dyDescent="0.3">
      <c r="A7" s="33"/>
      <c r="B7" s="20" t="s">
        <v>41</v>
      </c>
      <c r="C7" s="20"/>
      <c r="D7" s="34">
        <v>0</v>
      </c>
      <c r="E7" s="34">
        <v>0</v>
      </c>
      <c r="F7" s="34">
        <v>0</v>
      </c>
      <c r="G7" s="34">
        <f>SUM(D7:F7)</f>
        <v>0</v>
      </c>
      <c r="H7" s="36"/>
    </row>
    <row r="8" spans="1:8" s="35" customFormat="1" hidden="1" x14ac:dyDescent="0.3">
      <c r="A8" s="33"/>
      <c r="B8" s="16"/>
      <c r="C8" s="16"/>
      <c r="D8" s="37"/>
      <c r="E8" s="37"/>
      <c r="F8" s="37"/>
      <c r="G8" s="37"/>
    </row>
    <row r="9" spans="1:8" s="39" customFormat="1" hidden="1" x14ac:dyDescent="0.3">
      <c r="A9" s="28"/>
      <c r="B9" s="12" t="s">
        <v>42</v>
      </c>
      <c r="C9" s="12"/>
      <c r="D9" s="38">
        <v>0</v>
      </c>
      <c r="E9" s="38">
        <v>0</v>
      </c>
      <c r="F9" s="38">
        <f>[1]BS!N31</f>
        <v>-28058</v>
      </c>
      <c r="G9" s="38">
        <f>SUM(D9:F9)</f>
        <v>-28058</v>
      </c>
    </row>
    <row r="10" spans="1:8" s="39" customFormat="1" hidden="1" x14ac:dyDescent="0.3">
      <c r="A10" s="28"/>
      <c r="B10" s="12" t="s">
        <v>43</v>
      </c>
      <c r="C10" s="12"/>
      <c r="D10" s="38">
        <f>121000+23266466</f>
        <v>23387466</v>
      </c>
      <c r="E10" s="38">
        <f>-E7</f>
        <v>0</v>
      </c>
      <c r="F10" s="38">
        <f>-E10</f>
        <v>0</v>
      </c>
      <c r="G10" s="40">
        <f>SUM(D10:F10)</f>
        <v>23387466</v>
      </c>
    </row>
    <row r="11" spans="1:8" s="39" customFormat="1" ht="41.4" hidden="1" x14ac:dyDescent="0.3">
      <c r="A11" s="28"/>
      <c r="B11" s="12" t="s">
        <v>44</v>
      </c>
      <c r="C11" s="12"/>
      <c r="D11" s="40">
        <v>0</v>
      </c>
      <c r="E11" s="40">
        <v>0</v>
      </c>
      <c r="F11" s="40">
        <v>0</v>
      </c>
      <c r="G11" s="40">
        <f>SUM(D11:F11)</f>
        <v>0</v>
      </c>
    </row>
    <row r="12" spans="1:8" s="39" customFormat="1" hidden="1" x14ac:dyDescent="0.3">
      <c r="A12" s="28"/>
      <c r="B12" s="7" t="s">
        <v>45</v>
      </c>
      <c r="C12" s="14"/>
      <c r="D12" s="41">
        <v>0</v>
      </c>
      <c r="E12" s="41">
        <v>0</v>
      </c>
      <c r="F12" s="41">
        <v>0</v>
      </c>
      <c r="G12" s="41">
        <f>SUM(D12:F12)</f>
        <v>0</v>
      </c>
    </row>
    <row r="13" spans="1:8" s="39" customFormat="1" hidden="1" x14ac:dyDescent="0.3">
      <c r="A13" s="28"/>
      <c r="B13" s="12" t="s">
        <v>46</v>
      </c>
      <c r="C13" s="12"/>
      <c r="D13" s="38">
        <f>SUM(D9:D12)</f>
        <v>23387466</v>
      </c>
      <c r="E13" s="38">
        <f>SUM(E9:E12)</f>
        <v>0</v>
      </c>
      <c r="F13" s="38">
        <f>SUM(F9:F12)</f>
        <v>-28058</v>
      </c>
      <c r="G13" s="38">
        <f>SUM(G9:G12)</f>
        <v>23359408</v>
      </c>
    </row>
    <row r="14" spans="1:8" s="39" customFormat="1" hidden="1" x14ac:dyDescent="0.3">
      <c r="A14" s="28"/>
      <c r="B14" s="12"/>
      <c r="C14" s="12"/>
      <c r="D14" s="38"/>
      <c r="E14" s="38"/>
      <c r="F14" s="38"/>
      <c r="G14" s="38"/>
    </row>
    <row r="15" spans="1:8" s="35" customFormat="1" hidden="1" x14ac:dyDescent="0.3">
      <c r="A15" s="33"/>
      <c r="B15" s="20" t="s">
        <v>47</v>
      </c>
      <c r="C15" s="20"/>
      <c r="D15" s="34">
        <f>SUM(D7,D13)</f>
        <v>23387466</v>
      </c>
      <c r="E15" s="34"/>
      <c r="F15" s="34">
        <f>F13</f>
        <v>-28058</v>
      </c>
      <c r="G15" s="34">
        <f>SUM(D15:F15)</f>
        <v>23359408</v>
      </c>
      <c r="H15" s="36"/>
    </row>
    <row r="16" spans="1:8" s="39" customFormat="1" hidden="1" x14ac:dyDescent="0.3">
      <c r="A16" s="28"/>
      <c r="B16" s="12" t="s">
        <v>42</v>
      </c>
      <c r="C16" s="12"/>
      <c r="D16" s="38">
        <v>0</v>
      </c>
      <c r="E16" s="38">
        <v>0</v>
      </c>
      <c r="F16" s="38">
        <f>-193502</f>
        <v>-193502</v>
      </c>
      <c r="G16" s="38">
        <f>SUM(D16:F16)</f>
        <v>-193502</v>
      </c>
    </row>
    <row r="17" spans="1:8" s="39" customFormat="1" hidden="1" x14ac:dyDescent="0.3">
      <c r="A17" s="28"/>
      <c r="B17" s="12" t="s">
        <v>43</v>
      </c>
      <c r="C17" s="12"/>
      <c r="D17" s="38"/>
      <c r="E17" s="38">
        <f>-E14</f>
        <v>0</v>
      </c>
      <c r="F17" s="38">
        <f>-E17</f>
        <v>0</v>
      </c>
      <c r="G17" s="40">
        <f>SUM(D17:F17)</f>
        <v>0</v>
      </c>
    </row>
    <row r="18" spans="1:8" s="39" customFormat="1" ht="41.4" hidden="1" x14ac:dyDescent="0.3">
      <c r="A18" s="28"/>
      <c r="B18" s="12" t="s">
        <v>44</v>
      </c>
      <c r="C18" s="12"/>
      <c r="D18" s="40">
        <v>0</v>
      </c>
      <c r="E18" s="40">
        <v>37139</v>
      </c>
      <c r="F18" s="40">
        <v>0</v>
      </c>
      <c r="G18" s="40">
        <f>SUM(D18:F18)</f>
        <v>37139</v>
      </c>
    </row>
    <row r="19" spans="1:8" s="39" customFormat="1" hidden="1" x14ac:dyDescent="0.3">
      <c r="A19" s="28"/>
      <c r="B19" s="7" t="s">
        <v>45</v>
      </c>
      <c r="C19" s="14"/>
      <c r="D19" s="41">
        <v>0</v>
      </c>
      <c r="E19" s="41">
        <v>-28900988</v>
      </c>
      <c r="F19" s="41">
        <v>0</v>
      </c>
      <c r="G19" s="41">
        <f>SUM(D19:F19)</f>
        <v>-28900988</v>
      </c>
    </row>
    <row r="20" spans="1:8" s="39" customFormat="1" hidden="1" x14ac:dyDescent="0.3">
      <c r="A20" s="28"/>
      <c r="B20" s="12" t="s">
        <v>46</v>
      </c>
      <c r="C20" s="12"/>
      <c r="D20" s="38">
        <f>SUM(D16:D19)</f>
        <v>0</v>
      </c>
      <c r="E20" s="42">
        <f>SUM(E16:E19)</f>
        <v>-28863849</v>
      </c>
      <c r="F20" s="38">
        <f>SUM(F15:F19)</f>
        <v>-221560</v>
      </c>
      <c r="G20" s="38">
        <f>SUM(G16:G19)</f>
        <v>-29057351</v>
      </c>
    </row>
    <row r="21" spans="1:8" s="35" customFormat="1" hidden="1" x14ac:dyDescent="0.3">
      <c r="A21" s="33"/>
      <c r="B21" s="20" t="s">
        <v>48</v>
      </c>
      <c r="C21" s="20"/>
      <c r="D21" s="34">
        <f>D15</f>
        <v>23387466</v>
      </c>
      <c r="E21" s="34">
        <f>E20</f>
        <v>-28863849</v>
      </c>
      <c r="F21" s="34">
        <f>F20</f>
        <v>-221560</v>
      </c>
      <c r="G21" s="34">
        <f>D21+E21+F21</f>
        <v>-5697943</v>
      </c>
      <c r="H21" s="36"/>
    </row>
    <row r="22" spans="1:8" s="35" customFormat="1" hidden="1" x14ac:dyDescent="0.3">
      <c r="A22" s="33"/>
      <c r="B22" s="16"/>
      <c r="C22" s="16"/>
      <c r="D22" s="37"/>
      <c r="E22" s="37"/>
      <c r="F22" s="37"/>
      <c r="G22" s="37"/>
      <c r="H22" s="36"/>
    </row>
    <row r="23" spans="1:8" s="35" customFormat="1" hidden="1" x14ac:dyDescent="0.3">
      <c r="A23" s="33"/>
      <c r="B23" s="16" t="s">
        <v>74</v>
      </c>
      <c r="C23" s="16"/>
      <c r="D23" s="37">
        <v>23387466</v>
      </c>
      <c r="E23" s="37">
        <v>-28863849</v>
      </c>
      <c r="F23" s="37">
        <v>-221560</v>
      </c>
      <c r="G23" s="37">
        <v>-5697943</v>
      </c>
      <c r="H23" s="36"/>
    </row>
    <row r="24" spans="1:8" s="39" customFormat="1" hidden="1" x14ac:dyDescent="0.3">
      <c r="A24" s="28"/>
      <c r="B24" s="12" t="s">
        <v>78</v>
      </c>
      <c r="C24" s="12"/>
      <c r="D24" s="38">
        <v>0</v>
      </c>
      <c r="E24" s="38">
        <v>0</v>
      </c>
      <c r="F24" s="38">
        <f>-3333416</f>
        <v>-3333416</v>
      </c>
      <c r="G24" s="38">
        <f>SUM(D24:F24)</f>
        <v>-3333416</v>
      </c>
    </row>
    <row r="25" spans="1:8" s="39" customFormat="1" ht="27.6" hidden="1" x14ac:dyDescent="0.3">
      <c r="A25" s="28"/>
      <c r="B25" s="12" t="s">
        <v>77</v>
      </c>
      <c r="C25" s="12"/>
      <c r="D25" s="40">
        <v>0</v>
      </c>
      <c r="E25" s="40">
        <v>37399</v>
      </c>
      <c r="F25" s="40"/>
      <c r="G25" s="40">
        <f>E25</f>
        <v>37399</v>
      </c>
    </row>
    <row r="26" spans="1:8" s="39" customFormat="1" hidden="1" x14ac:dyDescent="0.3">
      <c r="A26" s="28"/>
      <c r="B26" s="7" t="s">
        <v>45</v>
      </c>
      <c r="C26" s="14"/>
      <c r="D26" s="41">
        <v>0</v>
      </c>
      <c r="E26" s="41"/>
      <c r="F26" s="41"/>
      <c r="G26" s="41"/>
    </row>
    <row r="27" spans="1:8" s="39" customFormat="1" hidden="1" x14ac:dyDescent="0.3">
      <c r="A27" s="28"/>
      <c r="B27" s="12" t="s">
        <v>46</v>
      </c>
      <c r="C27" s="12"/>
      <c r="D27" s="38">
        <f>SUM(D24:D26)</f>
        <v>0</v>
      </c>
      <c r="E27" s="42">
        <f>SUM(E24:E26)</f>
        <v>37399</v>
      </c>
      <c r="F27" s="38">
        <f>F24</f>
        <v>-3333416</v>
      </c>
      <c r="G27" s="38">
        <f>SUM(G24:G26)</f>
        <v>-3296017</v>
      </c>
    </row>
    <row r="28" spans="1:8" s="35" customFormat="1" ht="15.75" hidden="1" customHeight="1" x14ac:dyDescent="0.3">
      <c r="A28" s="33"/>
      <c r="B28" s="20" t="s">
        <v>50</v>
      </c>
      <c r="C28" s="20"/>
      <c r="D28" s="34">
        <f>D21</f>
        <v>23387466</v>
      </c>
      <c r="E28" s="34">
        <f>E21+E25</f>
        <v>-28826450</v>
      </c>
      <c r="F28" s="34">
        <f>F27+F21</f>
        <v>-3554976</v>
      </c>
      <c r="G28" s="34">
        <f>D28+E28+F28</f>
        <v>-8993960</v>
      </c>
      <c r="H28" s="36"/>
    </row>
    <row r="29" spans="1:8" s="33" customFormat="1" ht="14.25" hidden="1" customHeight="1" x14ac:dyDescent="0.3">
      <c r="B29" s="12" t="s">
        <v>80</v>
      </c>
      <c r="C29" s="12"/>
      <c r="D29" s="38">
        <v>0</v>
      </c>
      <c r="E29" s="38">
        <v>0</v>
      </c>
      <c r="F29" s="38">
        <f>-1529359</f>
        <v>-1529359</v>
      </c>
      <c r="G29" s="38">
        <f>SUM(D29:F29)</f>
        <v>-1529359</v>
      </c>
    </row>
    <row r="30" spans="1:8" s="33" customFormat="1" ht="30.75" hidden="1" customHeight="1" x14ac:dyDescent="0.3">
      <c r="B30" s="12" t="s">
        <v>77</v>
      </c>
      <c r="C30" s="12"/>
      <c r="D30" s="40">
        <v>0</v>
      </c>
      <c r="E30" s="40"/>
      <c r="F30" s="40"/>
      <c r="G30" s="40"/>
    </row>
    <row r="31" spans="1:8" s="33" customFormat="1" hidden="1" x14ac:dyDescent="0.3">
      <c r="B31" s="12" t="s">
        <v>79</v>
      </c>
      <c r="C31" s="12"/>
      <c r="D31" s="38">
        <f>SUM(D29:D30)</f>
        <v>0</v>
      </c>
      <c r="E31" s="38">
        <f>SUM(E29:E30)</f>
        <v>0</v>
      </c>
      <c r="F31" s="38">
        <f>SUM(F29:F30)</f>
        <v>-1529359</v>
      </c>
      <c r="G31" s="38">
        <f>SUM(G29:G30)</f>
        <v>-1529359</v>
      </c>
    </row>
    <row r="32" spans="1:8" s="33" customFormat="1" hidden="1" x14ac:dyDescent="0.3">
      <c r="B32" s="12"/>
      <c r="C32" s="12"/>
      <c r="D32" s="38"/>
      <c r="E32" s="38"/>
      <c r="F32" s="38"/>
      <c r="G32" s="38"/>
    </row>
    <row r="33" spans="2:8" s="33" customFormat="1" ht="22.5" hidden="1" customHeight="1" x14ac:dyDescent="0.3">
      <c r="B33" s="20" t="s">
        <v>85</v>
      </c>
      <c r="C33" s="20"/>
      <c r="D33" s="34">
        <f>D28</f>
        <v>23387466</v>
      </c>
      <c r="E33" s="34">
        <f>E28</f>
        <v>-28826450</v>
      </c>
      <c r="F33" s="34">
        <f>F28+F29</f>
        <v>-5084335</v>
      </c>
      <c r="G33" s="34">
        <f>D33+E33+F33</f>
        <v>-10523319</v>
      </c>
      <c r="H33" s="36"/>
    </row>
    <row r="34" spans="2:8" s="33" customFormat="1" ht="14.25" hidden="1" customHeight="1" x14ac:dyDescent="0.3">
      <c r="B34" s="12" t="s">
        <v>80</v>
      </c>
      <c r="C34" s="12"/>
      <c r="D34" s="38">
        <v>0</v>
      </c>
      <c r="E34" s="38">
        <v>0</v>
      </c>
      <c r="F34" s="38"/>
      <c r="G34" s="38">
        <f>SUM(D34:F34)</f>
        <v>0</v>
      </c>
    </row>
    <row r="35" spans="2:8" s="33" customFormat="1" ht="30.75" hidden="1" customHeight="1" x14ac:dyDescent="0.3">
      <c r="B35" s="12" t="s">
        <v>77</v>
      </c>
      <c r="C35" s="12"/>
      <c r="D35" s="40">
        <v>0</v>
      </c>
      <c r="E35" s="40">
        <v>2589630</v>
      </c>
      <c r="F35" s="40"/>
      <c r="G35" s="40"/>
    </row>
    <row r="36" spans="2:8" s="33" customFormat="1" ht="15" hidden="1" customHeight="1" x14ac:dyDescent="0.3">
      <c r="B36" s="12" t="s">
        <v>79</v>
      </c>
      <c r="C36" s="12"/>
      <c r="D36" s="38">
        <f>SUM(D34:D35)</f>
        <v>0</v>
      </c>
      <c r="E36" s="38"/>
      <c r="F36" s="38">
        <f>-5047293</f>
        <v>-5047293</v>
      </c>
      <c r="G36" s="38">
        <f>SUM(G34:G35)</f>
        <v>0</v>
      </c>
    </row>
    <row r="37" spans="2:8" s="33" customFormat="1" ht="10.5" hidden="1" customHeight="1" x14ac:dyDescent="0.3">
      <c r="B37" s="12"/>
      <c r="C37" s="12"/>
      <c r="D37" s="38"/>
      <c r="E37" s="38"/>
      <c r="F37" s="38"/>
      <c r="G37" s="38"/>
    </row>
    <row r="38" spans="2:8" s="60" customFormat="1" ht="18" hidden="1" customHeight="1" x14ac:dyDescent="0.3">
      <c r="B38" s="57" t="s">
        <v>88</v>
      </c>
      <c r="C38" s="57"/>
      <c r="D38" s="58">
        <f>SUM(D15,D36)</f>
        <v>23387466</v>
      </c>
      <c r="E38" s="58">
        <f>E33+E35</f>
        <v>-26236820</v>
      </c>
      <c r="F38" s="58">
        <f>F33+F36</f>
        <v>-10131628</v>
      </c>
      <c r="G38" s="58">
        <f>D38+E38+F38</f>
        <v>-12980982</v>
      </c>
      <c r="H38" s="59"/>
    </row>
    <row r="39" spans="2:8" s="60" customFormat="1" ht="23.4" hidden="1" customHeight="1" x14ac:dyDescent="0.3">
      <c r="B39" s="48" t="s">
        <v>80</v>
      </c>
      <c r="C39" s="48"/>
      <c r="D39" s="63">
        <v>0</v>
      </c>
      <c r="E39" s="63">
        <v>0</v>
      </c>
      <c r="F39" s="63"/>
      <c r="G39" s="63">
        <f>SUM(D39:F39)</f>
        <v>0</v>
      </c>
      <c r="H39" s="59"/>
    </row>
    <row r="40" spans="2:8" s="60" customFormat="1" ht="36.6" hidden="1" customHeight="1" x14ac:dyDescent="0.3">
      <c r="B40" s="48" t="s">
        <v>77</v>
      </c>
      <c r="C40" s="48"/>
      <c r="D40" s="64">
        <v>0</v>
      </c>
      <c r="E40" s="64">
        <v>5368526</v>
      </c>
      <c r="F40" s="64"/>
      <c r="G40" s="64"/>
      <c r="H40" s="59"/>
    </row>
    <row r="41" spans="2:8" s="60" customFormat="1" ht="18" hidden="1" customHeight="1" x14ac:dyDescent="0.3">
      <c r="B41" s="48" t="s">
        <v>79</v>
      </c>
      <c r="C41" s="48"/>
      <c r="D41" s="63">
        <f>SUM(D39:D40)</f>
        <v>0</v>
      </c>
      <c r="E41" s="63"/>
      <c r="F41" s="63">
        <f>-4264696</f>
        <v>-4264696</v>
      </c>
      <c r="G41" s="63">
        <f>SUM(G39:G40)</f>
        <v>0</v>
      </c>
      <c r="H41" s="59"/>
    </row>
    <row r="42" spans="2:8" s="60" customFormat="1" ht="18" hidden="1" customHeight="1" x14ac:dyDescent="0.3">
      <c r="B42" s="48"/>
      <c r="C42" s="48"/>
      <c r="D42" s="63"/>
      <c r="E42" s="63"/>
      <c r="F42" s="63"/>
      <c r="G42" s="63"/>
      <c r="H42" s="59"/>
    </row>
    <row r="43" spans="2:8" s="60" customFormat="1" ht="18" hidden="1" customHeight="1" x14ac:dyDescent="0.3">
      <c r="B43" s="57" t="s">
        <v>91</v>
      </c>
      <c r="C43" s="57"/>
      <c r="D43" s="58">
        <v>23387466</v>
      </c>
      <c r="E43" s="58">
        <f>E38+E40</f>
        <v>-20868294</v>
      </c>
      <c r="F43" s="58">
        <f>F38+F41</f>
        <v>-14396324</v>
      </c>
      <c r="G43" s="58">
        <f>D43+E43+F43</f>
        <v>-11877152</v>
      </c>
      <c r="H43" s="59"/>
    </row>
    <row r="44" spans="2:8" s="60" customFormat="1" ht="19.5" customHeight="1" x14ac:dyDescent="0.3">
      <c r="B44" s="61" t="s">
        <v>92</v>
      </c>
      <c r="C44" s="61"/>
      <c r="D44" s="63">
        <v>23387466</v>
      </c>
      <c r="E44" s="63">
        <f>E43</f>
        <v>-20868294</v>
      </c>
      <c r="F44" s="63">
        <f>F43</f>
        <v>-14396324</v>
      </c>
      <c r="G44" s="63">
        <f>G43</f>
        <v>-11877152</v>
      </c>
      <c r="H44" s="59"/>
    </row>
    <row r="45" spans="2:8" s="33" customFormat="1" ht="30" customHeight="1" x14ac:dyDescent="0.3">
      <c r="B45" s="48" t="s">
        <v>77</v>
      </c>
      <c r="C45" s="48"/>
      <c r="D45" s="64"/>
      <c r="E45" s="64">
        <f>E44-E43</f>
        <v>0</v>
      </c>
      <c r="F45" s="64"/>
      <c r="G45" s="64"/>
      <c r="H45" s="36"/>
    </row>
    <row r="46" spans="2:8" s="33" customFormat="1" ht="16.5" customHeight="1" x14ac:dyDescent="0.3">
      <c r="B46" s="48" t="s">
        <v>79</v>
      </c>
      <c r="C46" s="48"/>
      <c r="D46" s="63"/>
      <c r="E46" s="63"/>
      <c r="F46" s="63">
        <f>-4135875</f>
        <v>-4135875</v>
      </c>
      <c r="G46" s="63"/>
      <c r="H46" s="36"/>
    </row>
    <row r="47" spans="2:8" s="33" customFormat="1" x14ac:dyDescent="0.3">
      <c r="B47" s="48"/>
      <c r="C47" s="48"/>
      <c r="D47" s="63"/>
      <c r="E47" s="63"/>
      <c r="F47" s="63"/>
      <c r="G47" s="63"/>
      <c r="H47" s="36"/>
    </row>
    <row r="48" spans="2:8" s="33" customFormat="1" ht="18" customHeight="1" x14ac:dyDescent="0.3">
      <c r="B48" s="57" t="s">
        <v>99</v>
      </c>
      <c r="C48" s="57"/>
      <c r="D48" s="69">
        <f>D38</f>
        <v>23387466</v>
      </c>
      <c r="E48" s="69">
        <f>E44</f>
        <v>-20868294</v>
      </c>
      <c r="F48" s="69">
        <f>F44+F46</f>
        <v>-18532199</v>
      </c>
      <c r="G48" s="69">
        <f>D48+E48+F48</f>
        <v>-16013027</v>
      </c>
      <c r="H48" s="36"/>
    </row>
    <row r="49" spans="2:9" s="33" customFormat="1" x14ac:dyDescent="0.3">
      <c r="B49" s="16"/>
      <c r="C49" s="16"/>
      <c r="D49" s="37"/>
      <c r="E49" s="37"/>
      <c r="F49" s="37"/>
      <c r="G49" s="37"/>
      <c r="H49" s="35"/>
      <c r="I49" s="35"/>
    </row>
    <row r="50" spans="2:9" s="33" customFormat="1" x14ac:dyDescent="0.3">
      <c r="B50" s="16"/>
      <c r="C50" s="16"/>
      <c r="D50" s="37"/>
      <c r="E50" s="37"/>
      <c r="F50" s="37"/>
      <c r="G50" s="37"/>
    </row>
    <row r="51" spans="2:9" s="33" customFormat="1" ht="15.75" customHeight="1" x14ac:dyDescent="0.3">
      <c r="B51" s="44" t="s">
        <v>15</v>
      </c>
      <c r="C51" s="23"/>
      <c r="D51" s="43"/>
      <c r="E51" s="1"/>
      <c r="F51" s="1"/>
      <c r="G51" s="1" t="s">
        <v>73</v>
      </c>
    </row>
    <row r="52" spans="2:9" s="33" customFormat="1" x14ac:dyDescent="0.3">
      <c r="B52" s="44"/>
      <c r="C52" s="23"/>
      <c r="D52" s="1"/>
      <c r="E52" s="1"/>
      <c r="F52" s="37"/>
      <c r="G52" s="1"/>
    </row>
    <row r="53" spans="2:9" s="33" customFormat="1" x14ac:dyDescent="0.3">
      <c r="B53" s="44"/>
      <c r="C53" s="23"/>
      <c r="D53" s="1"/>
      <c r="E53" s="1"/>
      <c r="F53" s="37"/>
      <c r="G53" s="1"/>
    </row>
    <row r="54" spans="2:9" s="33" customFormat="1" ht="18" customHeight="1" x14ac:dyDescent="0.3">
      <c r="B54" s="44" t="s">
        <v>16</v>
      </c>
      <c r="C54" s="23"/>
      <c r="D54" s="1"/>
      <c r="E54" s="1"/>
      <c r="F54" s="1"/>
      <c r="G54" s="1" t="s">
        <v>17</v>
      </c>
    </row>
    <row r="55" spans="2:9" s="33" customFormat="1" x14ac:dyDescent="0.3">
      <c r="B55" s="45"/>
      <c r="C55" s="16"/>
    </row>
  </sheetData>
  <pageMargins left="0" right="0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 о финансовом положении</vt:lpstr>
      <vt:lpstr>Отч о совокупном доходе</vt:lpstr>
      <vt:lpstr>Отч о движении денег</vt:lpstr>
      <vt:lpstr>Отч об изм в капитале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Viktoriya Koshkarova</dc:creator>
  <cp:lastModifiedBy>Viktoriya Kashkarova</cp:lastModifiedBy>
  <cp:lastPrinted>2024-11-14T11:46:42Z</cp:lastPrinted>
  <dcterms:created xsi:type="dcterms:W3CDTF">2020-11-13T09:40:50Z</dcterms:created>
  <dcterms:modified xsi:type="dcterms:W3CDTF">2024-11-22T11:02:17Z</dcterms:modified>
</cp:coreProperties>
</file>