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2024 Касе\6 мес\"/>
    </mc:Choice>
  </mc:AlternateContent>
  <bookViews>
    <workbookView xWindow="0" yWindow="0" windowWidth="28800" windowHeight="12432" activeTab="3"/>
  </bookViews>
  <sheets>
    <sheet name="Отч о финансовом положении" sheetId="2" r:id="rId1"/>
    <sheet name="Отч о совокупном доходе" sheetId="1" r:id="rId2"/>
    <sheet name="Отч о движении денег" sheetId="6" r:id="rId3"/>
    <sheet name="Отч об изм в капитале" sheetId="3" r:id="rId4"/>
  </sheets>
  <externalReferences>
    <externalReference r:id="rId5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3" i="1"/>
  <c r="D11" i="1"/>
  <c r="D9" i="1"/>
  <c r="D9" i="2" l="1"/>
  <c r="C20" i="1"/>
  <c r="C13" i="1"/>
  <c r="C11" i="1"/>
  <c r="C9" i="1"/>
  <c r="C22" i="6" l="1"/>
  <c r="D34" i="6"/>
  <c r="D29" i="6"/>
  <c r="D33" i="6" s="1"/>
  <c r="D23" i="6"/>
  <c r="D22" i="6"/>
  <c r="D24" i="6" s="1"/>
  <c r="D19" i="6"/>
  <c r="D12" i="6"/>
  <c r="D14" i="6" s="1"/>
  <c r="D35" i="6" s="1"/>
  <c r="D37" i="6" s="1"/>
  <c r="C34" i="6" l="1"/>
  <c r="C29" i="6"/>
  <c r="C23" i="6"/>
  <c r="C13" i="6"/>
  <c r="C12" i="6"/>
  <c r="C36" i="6"/>
  <c r="F46" i="3"/>
  <c r="D28" i="2"/>
  <c r="F41" i="3"/>
  <c r="D31" i="2"/>
  <c r="D27" i="2"/>
  <c r="D26" i="2"/>
  <c r="D15" i="2"/>
  <c r="D19" i="2"/>
  <c r="E32" i="2"/>
  <c r="E26" i="2"/>
  <c r="E15" i="2"/>
  <c r="C27" i="2" l="1"/>
  <c r="C26" i="2"/>
  <c r="C25" i="2"/>
  <c r="C29" i="2" l="1"/>
  <c r="C28" i="2"/>
  <c r="D41" i="3" l="1"/>
  <c r="G39" i="3"/>
  <c r="G41" i="3" s="1"/>
  <c r="C24" i="6" l="1"/>
  <c r="E28" i="2" l="1"/>
  <c r="E38" i="2"/>
  <c r="E21" i="2"/>
  <c r="F36" i="3"/>
  <c r="D38" i="2" l="1"/>
  <c r="D10" i="1" l="1"/>
  <c r="D14" i="1" l="1"/>
  <c r="D16" i="1" s="1"/>
  <c r="D18" i="1" s="1"/>
  <c r="E22" i="2"/>
  <c r="C33" i="6" l="1"/>
  <c r="F29" i="3" l="1"/>
  <c r="C10" i="1" l="1"/>
  <c r="C14" i="1" l="1"/>
  <c r="C16" i="1" s="1"/>
  <c r="C18" i="1" s="1"/>
  <c r="C14" i="6"/>
  <c r="C35" i="6" s="1"/>
  <c r="C37" i="6" l="1"/>
  <c r="E31" i="3"/>
  <c r="D31" i="3"/>
  <c r="G29" i="3"/>
  <c r="G31" i="3" s="1"/>
  <c r="F31" i="3" l="1"/>
  <c r="E27" i="3" l="1"/>
  <c r="F24" i="3"/>
  <c r="F27" i="3" l="1"/>
  <c r="G7" i="3" l="1"/>
  <c r="F9" i="3"/>
  <c r="G9" i="3" s="1"/>
  <c r="D10" i="3"/>
  <c r="D13" i="3" s="1"/>
  <c r="D15" i="3" s="1"/>
  <c r="E10" i="3"/>
  <c r="E13" i="3" s="1"/>
  <c r="G11" i="3"/>
  <c r="G12" i="3"/>
  <c r="F16" i="3"/>
  <c r="G16" i="3" s="1"/>
  <c r="E17" i="3"/>
  <c r="F17" i="3" s="1"/>
  <c r="G17" i="3" s="1"/>
  <c r="G18" i="3"/>
  <c r="G19" i="3"/>
  <c r="D20" i="3"/>
  <c r="G24" i="3"/>
  <c r="G25" i="3"/>
  <c r="D27" i="3"/>
  <c r="E33" i="2"/>
  <c r="E39" i="2" s="1"/>
  <c r="E40" i="2" s="1"/>
  <c r="D33" i="2"/>
  <c r="G27" i="3" l="1"/>
  <c r="D39" i="2"/>
  <c r="D40" i="2" s="1"/>
  <c r="E20" i="3"/>
  <c r="E21" i="3" s="1"/>
  <c r="E28" i="3" s="1"/>
  <c r="E33" i="3" s="1"/>
  <c r="F10" i="3"/>
  <c r="F13" i="3" s="1"/>
  <c r="F15" i="3" s="1"/>
  <c r="F20" i="3" s="1"/>
  <c r="G20" i="3"/>
  <c r="D21" i="3"/>
  <c r="D28" i="3" s="1"/>
  <c r="E38" i="3" l="1"/>
  <c r="D33" i="3"/>
  <c r="F21" i="3"/>
  <c r="G15" i="3"/>
  <c r="G10" i="3"/>
  <c r="G13" i="3" s="1"/>
  <c r="E43" i="3" l="1"/>
  <c r="F28" i="3"/>
  <c r="F33" i="3" s="1"/>
  <c r="G21" i="3"/>
  <c r="E44" i="3" l="1"/>
  <c r="E48" i="3" s="1"/>
  <c r="E45" i="3"/>
  <c r="F38" i="3"/>
  <c r="F43" i="3" s="1"/>
  <c r="F44" i="3" s="1"/>
  <c r="F48" i="3" s="1"/>
  <c r="G33" i="3"/>
  <c r="G28" i="3"/>
  <c r="G43" i="3" l="1"/>
  <c r="G44" i="3" s="1"/>
  <c r="D21" i="2"/>
  <c r="G34" i="3"/>
  <c r="G36" i="3" s="1"/>
  <c r="D36" i="3"/>
  <c r="D22" i="2" l="1"/>
  <c r="D38" i="3"/>
  <c r="G38" i="3" s="1"/>
  <c r="D45" i="2" l="1"/>
  <c r="D48" i="3"/>
  <c r="G48" i="3" l="1"/>
</calcChain>
</file>

<file path=xl/sharedStrings.xml><?xml version="1.0" encoding="utf-8"?>
<sst xmlns="http://schemas.openxmlformats.org/spreadsheetml/2006/main" count="155" uniqueCount="102">
  <si>
    <t>АО "Аскер Мунай Эксплорэйшн"</t>
  </si>
  <si>
    <t>ПРОМЕЖУТОЧНЫЙ КОНСОЛИДИРОВАННЫЙ ОТЧЕТ О СОВОКУПНОМ ДОХОДЕ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</si>
  <si>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</si>
  <si>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</si>
  <si>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</si>
  <si>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</si>
  <si>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</si>
  <si>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</si>
  <si>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</si>
  <si>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</si>
  <si>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</si>
  <si>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</si>
  <si>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</si>
  <si>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</si>
  <si>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</si>
  <si>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</si>
  <si>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</si>
  <si>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</si>
  <si>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>ПРОМЕЖУТОЧНЫЙ КОНСОЛИДИРОВАННЫЙ ОТЧЕТ О ФИНАНСОВОМ ПОЛОЖЕНИИ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</si>
  <si>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</si>
  <si>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</si>
  <si>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</si>
  <si>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</si>
  <si>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</si>
  <si>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</si>
  <si>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</si>
  <si>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</si>
  <si>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</si>
  <si>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</si>
  <si>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</si>
  <si>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</si>
  <si>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</si>
  <si>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</si>
  <si>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</si>
  <si>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</si>
  <si>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</si>
  <si>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</si>
  <si>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</si>
  <si>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</si>
  <si>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</si>
  <si>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ОБ ИЗМЕНЕНИЯХ В КАПИТАЛЕ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</si>
  <si>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</si>
  <si>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</si>
  <si>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</si>
  <si>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</si>
  <si>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</si>
  <si>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</si>
  <si>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</si>
  <si>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</si>
  <si>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</si>
  <si>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ДВИЖЕНИИ ДЕНЕЖНЫХ СРЕДСТВ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</si>
  <si>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</si>
  <si>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</si>
  <si>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</si>
  <si>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</si>
  <si>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</si>
  <si>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</si>
  <si>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</si>
  <si>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</si>
  <si>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</si>
  <si>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</si>
  <si>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</si>
  <si>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</si>
  <si>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</si>
  <si>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</si>
  <si>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</si>
  <si>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</si>
  <si>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</si>
  <si>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</si>
  <si>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</si>
  <si>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</si>
  <si>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</si>
  <si>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</si>
  <si>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</si>
  <si>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</si>
  <si>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На 1 января 2020 года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</si>
  <si>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</si>
  <si>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</si>
  <si>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</si>
  <si>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</si>
  <si>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</si>
  <si>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</si>
  <si>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</si>
  <si>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</si>
  <si>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</si>
  <si>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</si>
  <si>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На 31 декабря 2021 года</t>
  </si>
  <si>
    <t>Курсовая разница</t>
  </si>
  <si>
    <t>Отложенный налоговый актив</t>
  </si>
  <si>
    <t>На 31 декабря 2022 года</t>
  </si>
  <si>
    <t>Экономия по подоходному налогу</t>
  </si>
  <si>
    <t>Убытки от обесценения</t>
  </si>
  <si>
    <t>На 31 декабря 2023 года</t>
  </si>
  <si>
    <t>На 1 января 2024 года</t>
  </si>
  <si>
    <t>31 декабря 2023 года</t>
  </si>
  <si>
    <t>По состоянию на 30 июня 2024 года</t>
  </si>
  <si>
    <t>30 июня 2024 года</t>
  </si>
  <si>
    <t>Денежные средства ограниченные в использовании</t>
  </si>
  <si>
    <t>За шесть месяцев, закончившихся 30 июня 2024 года</t>
  </si>
  <si>
    <t>На 30 июня 2024 года</t>
  </si>
  <si>
    <t>30 июня 2023 года</t>
  </si>
  <si>
    <t>НДС к взмещению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</si>
</sst>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(* #,##0_);_(* \(#,##0\);_(* \-_);_(@_)"/>
    <numFmt numFmtId="165" formatCode="_(* #,##0.0_);_(* \(#,##0.0\);_(* \-_);_(@_)"/>
    <numFmt numFmtId="166" formatCode="_(* #,##0_);_(* \(#,##0\);_(* &quot;-&quot;??_);_(@_)"/>
    <numFmt numFmtId="167" formatCode="#,##0.0"/>
    <numFmt numFmtId="168" formatCode="_(* #,##0_);_(* \(#,##0\);_(* &quot;-&quot;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b/>
      <sz val="10"/>
      <color theme="1" tint="0.34998626667073579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808080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2" fillId="0" borderId="0"/>
  </cellStyleXfs>
  <cellXfs count="144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3" fillId="2" borderId="0" xfId="0" applyFont="1" applyFill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1" fillId="2" borderId="0" xfId="0" applyFont="1" applyFill="1" applyAlignment="1"/>
    <xf numFmtId="164" fontId="1" fillId="2" borderId="0" xfId="0" applyNumberFormat="1" applyFont="1" applyFill="1"/>
    <xf numFmtId="0" fontId="4" fillId="2" borderId="3" xfId="0" applyFont="1" applyFill="1" applyBorder="1" applyAlignment="1"/>
    <xf numFmtId="0" fontId="4" fillId="2" borderId="3" xfId="0" applyFont="1" applyFill="1" applyBorder="1"/>
    <xf numFmtId="0" fontId="7" fillId="2" borderId="0" xfId="0" applyFont="1" applyFill="1"/>
    <xf numFmtId="14" fontId="8" fillId="3" borderId="0" xfId="0" applyNumberFormat="1" applyFont="1" applyFill="1" applyBorder="1" applyAlignment="1"/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164" fontId="1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4" fontId="4" fillId="2" borderId="3" xfId="0" applyNumberFormat="1" applyFont="1" applyFill="1" applyBorder="1" applyAlignment="1"/>
    <xf numFmtId="164" fontId="10" fillId="2" borderId="0" xfId="0" applyNumberFormat="1" applyFont="1" applyFill="1"/>
    <xf numFmtId="167" fontId="11" fillId="2" borderId="0" xfId="0" applyNumberFormat="1" applyFont="1" applyFill="1"/>
    <xf numFmtId="164" fontId="4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9" fillId="2" borderId="0" xfId="0" applyNumberFormat="1" applyFont="1" applyFill="1"/>
    <xf numFmtId="164" fontId="1" fillId="2" borderId="0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/>
    <xf numFmtId="164" fontId="1" fillId="2" borderId="3" xfId="0" applyNumberFormat="1" applyFont="1" applyFill="1" applyBorder="1" applyAlignment="1"/>
    <xf numFmtId="168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37" fontId="1" fillId="3" borderId="0" xfId="1" applyNumberFormat="1" applyFont="1" applyFill="1" applyBorder="1"/>
    <xf numFmtId="14" fontId="7" fillId="3" borderId="0" xfId="0" applyNumberFormat="1" applyFont="1" applyFill="1" applyBorder="1" applyAlignment="1"/>
    <xf numFmtId="0" fontId="7" fillId="3" borderId="1" xfId="0" applyFont="1" applyFill="1" applyBorder="1" applyAlignment="1"/>
    <xf numFmtId="0" fontId="1" fillId="3" borderId="1" xfId="0" applyFont="1" applyFill="1" applyBorder="1"/>
    <xf numFmtId="37" fontId="1" fillId="3" borderId="0" xfId="1" applyNumberFormat="1" applyFont="1" applyFill="1" applyBorder="1" applyAlignment="1"/>
    <xf numFmtId="164" fontId="4" fillId="0" borderId="3" xfId="0" applyNumberFormat="1" applyFont="1" applyFill="1" applyBorder="1" applyAlignment="1">
      <alignment wrapText="1"/>
    </xf>
    <xf numFmtId="0" fontId="1" fillId="0" borderId="0" xfId="0" applyFont="1" applyFill="1" applyBorder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1" fillId="0" borderId="4" xfId="0" applyFont="1" applyFill="1" applyBorder="1" applyAlignment="1"/>
    <xf numFmtId="164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165" fontId="4" fillId="0" borderId="2" xfId="0" applyNumberFormat="1" applyFont="1" applyFill="1" applyBorder="1" applyAlignment="1">
      <alignment wrapText="1"/>
    </xf>
    <xf numFmtId="0" fontId="7" fillId="3" borderId="0" xfId="0" applyFont="1" applyFill="1" applyBorder="1" applyAlignment="1"/>
    <xf numFmtId="0" fontId="1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0" fillId="0" borderId="0" xfId="0" applyAlignment="1"/>
    <xf numFmtId="0" fontId="0" fillId="0" borderId="0" xfId="0" applyFont="1"/>
    <xf numFmtId="164" fontId="1" fillId="3" borderId="5" xfId="0" applyNumberFormat="1" applyFont="1" applyFill="1" applyBorder="1" applyAlignment="1">
      <alignment wrapText="1"/>
    </xf>
    <xf numFmtId="37" fontId="1" fillId="0" borderId="0" xfId="1" applyNumberFormat="1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/>
    <xf numFmtId="14" fontId="1" fillId="0" borderId="0" xfId="0" applyNumberFormat="1" applyFont="1" applyFill="1" applyBorder="1" applyAlignment="1"/>
    <xf numFmtId="164" fontId="14" fillId="0" borderId="0" xfId="0" applyNumberFormat="1" applyFont="1" applyFill="1"/>
    <xf numFmtId="0" fontId="15" fillId="3" borderId="0" xfId="0" applyFont="1" applyFill="1" applyBorder="1" applyAlignment="1"/>
    <xf numFmtId="164" fontId="1" fillId="3" borderId="0" xfId="0" applyNumberFormat="1" applyFont="1" applyFill="1" applyBorder="1" applyAlignment="1"/>
    <xf numFmtId="164" fontId="1" fillId="3" borderId="5" xfId="0" applyNumberFormat="1" applyFont="1" applyFill="1" applyBorder="1" applyAlignment="1"/>
    <xf numFmtId="164" fontId="4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left" vertical="top" wrapText="1"/>
    </xf>
    <xf numFmtId="0" fontId="1" fillId="0" borderId="0" xfId="0" applyFont="1" applyFill="1"/>
    <xf numFmtId="14" fontId="3" fillId="0" borderId="0" xfId="0" applyNumberFormat="1" applyFont="1" applyFill="1" applyAlignment="1"/>
    <xf numFmtId="0" fontId="1" fillId="0" borderId="1" xfId="0" applyFont="1" applyFill="1" applyBorder="1"/>
    <xf numFmtId="164" fontId="1" fillId="0" borderId="2" xfId="0" applyNumberFormat="1" applyFont="1" applyFill="1" applyBorder="1" applyAlignment="1">
      <alignment horizontal="center" wrapText="1"/>
    </xf>
    <xf numFmtId="164" fontId="1" fillId="0" borderId="0" xfId="0" applyNumberFormat="1" applyFont="1" applyFill="1"/>
    <xf numFmtId="43" fontId="1" fillId="0" borderId="0" xfId="0" applyNumberFormat="1" applyFont="1" applyFill="1"/>
    <xf numFmtId="0" fontId="0" fillId="0" borderId="0" xfId="0" applyFill="1"/>
    <xf numFmtId="14" fontId="4" fillId="3" borderId="2" xfId="0" quotePrefix="1" applyNumberFormat="1" applyFont="1" applyFill="1" applyBorder="1" applyAlignment="1">
      <alignment horizontal="right" vertical="center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/>
    <xf numFmtId="167" fontId="11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14" fontId="4" fillId="2" borderId="2" xfId="0" quotePrefix="1" applyNumberFormat="1" applyFont="1" applyFill="1" applyBorder="1" applyAlignment="1">
      <alignment horizontal="right" vertical="top" wrapText="1"/>
    </xf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wrapText="1"/>
    </xf>
    <xf numFmtId="164" fontId="1" fillId="0" borderId="5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66" fontId="14" fillId="0" borderId="0" xfId="0" applyNumberFormat="1" applyFont="1" applyFill="1"/>
    <xf numFmtId="0" fontId="7" fillId="0" borderId="2" xfId="0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/>
    <xf numFmtId="165" fontId="1" fillId="2" borderId="3" xfId="0" applyNumberFormat="1" applyFont="1" applyFill="1" applyBorder="1"/>
    <xf numFmtId="164" fontId="1" fillId="0" borderId="3" xfId="0" applyNumberFormat="1" applyFont="1" applyFill="1" applyBorder="1" applyAlignment="1"/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50"/>
  <sheetViews>
    <sheetView workbookViewId="0">
      <selection activeCell="J47" sqref="J47"/>
    </sheetView>
  </sheetViews>
  <sheetFormatPr defaultColWidth="8.88671875" defaultRowHeight="14.4" x14ac:dyDescent="0.3"/>
  <cols>
    <col min="1" max="1" width="41.44140625" style="100" customWidth="1"/>
    <col min="2" max="2" width="10.33203125" style="100" customWidth="1"/>
    <col min="3" max="3" width="14.21875" style="100" hidden="1" customWidth="1"/>
    <col min="4" max="4" width="16.109375" style="100" customWidth="1"/>
    <col min="5" max="5" width="15.33203125" style="100" customWidth="1"/>
    <col min="6" max="6" width="11" style="100" bestFit="1" customWidth="1"/>
    <col min="7" max="16384" width="8.88671875" style="100"/>
  </cols>
  <sheetData>
    <row r="1" spans="1:7" x14ac:dyDescent="0.3">
      <c r="A1" s="99" t="s">
        <v>0</v>
      </c>
      <c r="B1" s="59"/>
      <c r="C1" s="59"/>
      <c r="D1" s="59"/>
      <c r="E1" s="59"/>
    </row>
    <row r="2" spans="1:7" x14ac:dyDescent="0.3">
      <c r="A2" s="99" t="s">
        <v>18</v>
      </c>
      <c r="B2" s="59"/>
      <c r="C2" s="59"/>
      <c r="D2" s="59"/>
      <c r="E2" s="59"/>
    </row>
    <row r="3" spans="1:7" x14ac:dyDescent="0.3">
      <c r="A3" s="101" t="s">
        <v>95</v>
      </c>
      <c r="B3" s="60"/>
      <c r="C3" s="60"/>
      <c r="D3" s="60"/>
      <c r="E3" s="60"/>
    </row>
    <row r="4" spans="1:7" ht="15" thickBot="1" x14ac:dyDescent="0.35">
      <c r="A4" s="61"/>
      <c r="B4" s="62"/>
      <c r="C4" s="62"/>
      <c r="D4" s="62"/>
      <c r="E4" s="62"/>
    </row>
    <row r="5" spans="1:7" x14ac:dyDescent="0.3">
      <c r="A5" s="63"/>
      <c r="B5" s="59"/>
      <c r="C5" s="59"/>
      <c r="D5" s="59"/>
      <c r="E5" s="59"/>
    </row>
    <row r="6" spans="1:7" ht="29.25" customHeight="1" x14ac:dyDescent="0.3">
      <c r="A6" s="64" t="s">
        <v>2</v>
      </c>
      <c r="B6" s="65" t="s">
        <v>3</v>
      </c>
      <c r="C6" s="65"/>
      <c r="D6" s="110" t="s">
        <v>96</v>
      </c>
      <c r="E6" s="119" t="s">
        <v>94</v>
      </c>
    </row>
    <row r="7" spans="1:7" x14ac:dyDescent="0.3">
      <c r="A7" s="72" t="s">
        <v>19</v>
      </c>
      <c r="B7" s="66"/>
      <c r="C7" s="66"/>
      <c r="D7" s="67"/>
      <c r="E7" s="67"/>
    </row>
    <row r="8" spans="1:7" x14ac:dyDescent="0.3">
      <c r="A8" s="72" t="s">
        <v>20</v>
      </c>
      <c r="B8" s="66"/>
      <c r="C8" s="66"/>
      <c r="D8" s="67"/>
      <c r="E8" s="67"/>
    </row>
    <row r="9" spans="1:7" x14ac:dyDescent="0.3">
      <c r="A9" s="68" t="s">
        <v>21</v>
      </c>
      <c r="B9" s="90">
        <v>3</v>
      </c>
      <c r="C9" s="90"/>
      <c r="D9" s="69">
        <f>27659186</f>
        <v>27659186</v>
      </c>
      <c r="E9" s="67">
        <v>28640523</v>
      </c>
      <c r="G9" s="133"/>
    </row>
    <row r="10" spans="1:7" x14ac:dyDescent="0.3">
      <c r="A10" s="68" t="s">
        <v>76</v>
      </c>
      <c r="B10" s="90"/>
      <c r="C10" s="90"/>
      <c r="D10" s="128">
        <v>701550</v>
      </c>
      <c r="E10" s="67">
        <v>747849</v>
      </c>
    </row>
    <row r="11" spans="1:7" x14ac:dyDescent="0.3">
      <c r="A11" s="68" t="s">
        <v>22</v>
      </c>
      <c r="B11" s="90"/>
      <c r="C11" s="90"/>
      <c r="D11" s="128">
        <v>5706</v>
      </c>
      <c r="E11" s="67">
        <v>5706</v>
      </c>
    </row>
    <row r="12" spans="1:7" x14ac:dyDescent="0.3">
      <c r="A12" s="68" t="s">
        <v>101</v>
      </c>
      <c r="B12" s="90">
        <v>4</v>
      </c>
      <c r="C12" s="90"/>
      <c r="D12" s="128">
        <v>1452268</v>
      </c>
      <c r="E12" s="67">
        <v>1437599</v>
      </c>
    </row>
    <row r="13" spans="1:7" x14ac:dyDescent="0.3">
      <c r="A13" s="68" t="s">
        <v>88</v>
      </c>
      <c r="B13" s="90"/>
      <c r="C13" s="90"/>
      <c r="D13" s="128">
        <v>706592</v>
      </c>
      <c r="E13" s="67">
        <v>706592</v>
      </c>
    </row>
    <row r="14" spans="1:7" x14ac:dyDescent="0.3">
      <c r="A14" s="68" t="s">
        <v>97</v>
      </c>
      <c r="B14" s="90"/>
      <c r="C14" s="90"/>
      <c r="D14" s="128">
        <v>132839</v>
      </c>
      <c r="E14" s="67">
        <v>132839</v>
      </c>
    </row>
    <row r="15" spans="1:7" x14ac:dyDescent="0.3">
      <c r="A15" s="70"/>
      <c r="B15" s="91"/>
      <c r="C15" s="91"/>
      <c r="D15" s="71">
        <f>SUM(D9:D14)</f>
        <v>30658141</v>
      </c>
      <c r="E15" s="71">
        <f>SUM(E9:E14)</f>
        <v>31671108</v>
      </c>
    </row>
    <row r="16" spans="1:7" x14ac:dyDescent="0.3">
      <c r="A16" s="72" t="s">
        <v>23</v>
      </c>
      <c r="B16" s="90"/>
      <c r="C16" s="90"/>
      <c r="D16" s="69"/>
      <c r="E16" s="69"/>
    </row>
    <row r="17" spans="1:6" x14ac:dyDescent="0.3">
      <c r="A17" s="68" t="s">
        <v>24</v>
      </c>
      <c r="B17" s="90"/>
      <c r="C17" s="90"/>
      <c r="D17" s="128">
        <v>64142</v>
      </c>
      <c r="E17" s="69">
        <v>56264</v>
      </c>
    </row>
    <row r="18" spans="1:6" x14ac:dyDescent="0.3">
      <c r="A18" s="68" t="s">
        <v>25</v>
      </c>
      <c r="B18" s="90"/>
      <c r="C18" s="90"/>
      <c r="D18" s="128">
        <v>10407</v>
      </c>
      <c r="E18" s="69">
        <v>12516</v>
      </c>
    </row>
    <row r="19" spans="1:6" x14ac:dyDescent="0.3">
      <c r="A19" s="68" t="s">
        <v>26</v>
      </c>
      <c r="B19" s="90"/>
      <c r="C19" s="90"/>
      <c r="D19" s="69">
        <f>96802+2522</f>
        <v>99324</v>
      </c>
      <c r="E19" s="69">
        <v>96849</v>
      </c>
    </row>
    <row r="20" spans="1:6" x14ac:dyDescent="0.3">
      <c r="A20" s="64" t="s">
        <v>27</v>
      </c>
      <c r="B20" s="134">
        <v>5</v>
      </c>
      <c r="C20" s="90"/>
      <c r="D20" s="129">
        <v>14901</v>
      </c>
      <c r="E20" s="129">
        <v>25478</v>
      </c>
    </row>
    <row r="21" spans="1:6" x14ac:dyDescent="0.3">
      <c r="A21" s="72"/>
      <c r="B21" s="90"/>
      <c r="C21" s="90"/>
      <c r="D21" s="69">
        <f>SUM(D16:D20)</f>
        <v>188774</v>
      </c>
      <c r="E21" s="69">
        <f>SUM(E17:E20)</f>
        <v>191107</v>
      </c>
    </row>
    <row r="22" spans="1:6" x14ac:dyDescent="0.3">
      <c r="A22" s="70" t="s">
        <v>28</v>
      </c>
      <c r="B22" s="92"/>
      <c r="C22" s="92"/>
      <c r="D22" s="58">
        <f>D15+D21</f>
        <v>30846915</v>
      </c>
      <c r="E22" s="58">
        <f>E15+E21</f>
        <v>31862215</v>
      </c>
      <c r="F22" s="102"/>
    </row>
    <row r="23" spans="1:6" x14ac:dyDescent="0.3">
      <c r="A23" s="72"/>
      <c r="B23" s="93"/>
      <c r="C23" s="93"/>
      <c r="D23" s="69"/>
      <c r="E23" s="69"/>
    </row>
    <row r="24" spans="1:6" x14ac:dyDescent="0.3">
      <c r="A24" s="72" t="s">
        <v>29</v>
      </c>
      <c r="B24" s="93"/>
      <c r="C24" s="93"/>
      <c r="D24" s="69"/>
      <c r="E24" s="69"/>
    </row>
    <row r="25" spans="1:6" x14ac:dyDescent="0.3">
      <c r="A25" s="68" t="s">
        <v>82</v>
      </c>
      <c r="B25" s="90">
        <v>6</v>
      </c>
      <c r="C25" s="130">
        <f>D25</f>
        <v>23387466</v>
      </c>
      <c r="D25" s="69">
        <v>23387466</v>
      </c>
      <c r="E25" s="69">
        <v>23387466</v>
      </c>
    </row>
    <row r="26" spans="1:6" x14ac:dyDescent="0.3">
      <c r="A26" s="68" t="s">
        <v>30</v>
      </c>
      <c r="B26" s="90"/>
      <c r="C26" s="130">
        <f>-25718395</f>
        <v>-25718395</v>
      </c>
      <c r="D26" s="69">
        <f>-20868294</f>
        <v>-20868294</v>
      </c>
      <c r="E26" s="69">
        <f>-20868294</f>
        <v>-20868294</v>
      </c>
    </row>
    <row r="27" spans="1:6" x14ac:dyDescent="0.3">
      <c r="A27" s="68" t="s">
        <v>31</v>
      </c>
      <c r="B27" s="90"/>
      <c r="C27" s="130">
        <f>-12475717</f>
        <v>-12475717</v>
      </c>
      <c r="D27" s="69">
        <f>-17806774</f>
        <v>-17806774</v>
      </c>
      <c r="E27" s="69">
        <v>-14396324</v>
      </c>
    </row>
    <row r="28" spans="1:6" x14ac:dyDescent="0.3">
      <c r="A28" s="70" t="s">
        <v>32</v>
      </c>
      <c r="B28" s="92"/>
      <c r="C28" s="131">
        <f>SUM(C25:C27)</f>
        <v>-14806646</v>
      </c>
      <c r="D28" s="58">
        <f>SUM(D23:D27)</f>
        <v>-15287602</v>
      </c>
      <c r="E28" s="58">
        <f>SUM(E25:E27)</f>
        <v>-11877152</v>
      </c>
    </row>
    <row r="29" spans="1:6" x14ac:dyDescent="0.3">
      <c r="A29" s="72"/>
      <c r="B29" s="94"/>
      <c r="C29" s="132">
        <f>SUM(C25:C27)</f>
        <v>-14806646</v>
      </c>
      <c r="D29" s="73"/>
      <c r="E29" s="73"/>
    </row>
    <row r="30" spans="1:6" x14ac:dyDescent="0.3">
      <c r="A30" s="72" t="s">
        <v>33</v>
      </c>
      <c r="B30" s="90"/>
      <c r="C30" s="90"/>
      <c r="D30" s="69"/>
      <c r="E30" s="69"/>
    </row>
    <row r="31" spans="1:6" x14ac:dyDescent="0.3">
      <c r="A31" s="68" t="s">
        <v>34</v>
      </c>
      <c r="B31" s="90">
        <v>9</v>
      </c>
      <c r="C31" s="90"/>
      <c r="D31" s="69">
        <f>42079214-1870539</f>
        <v>40208675</v>
      </c>
      <c r="E31" s="69">
        <v>37887368</v>
      </c>
    </row>
    <row r="32" spans="1:6" x14ac:dyDescent="0.3">
      <c r="A32" s="68" t="s">
        <v>84</v>
      </c>
      <c r="B32" s="90">
        <v>7</v>
      </c>
      <c r="C32" s="90"/>
      <c r="D32" s="69">
        <v>5196452</v>
      </c>
      <c r="E32" s="69">
        <f>5021362+87585</f>
        <v>5108947</v>
      </c>
    </row>
    <row r="33" spans="1:5" x14ac:dyDescent="0.3">
      <c r="A33" s="70"/>
      <c r="B33" s="91"/>
      <c r="C33" s="91"/>
      <c r="D33" s="71">
        <f>SUM(D30:D32)</f>
        <v>45405127</v>
      </c>
      <c r="E33" s="71">
        <f>SUM(E31:E32)</f>
        <v>42996315</v>
      </c>
    </row>
    <row r="34" spans="1:5" x14ac:dyDescent="0.3">
      <c r="A34" s="72" t="s">
        <v>35</v>
      </c>
      <c r="B34" s="90"/>
      <c r="C34" s="90"/>
      <c r="D34" s="69"/>
      <c r="E34" s="69"/>
    </row>
    <row r="35" spans="1:5" x14ac:dyDescent="0.3">
      <c r="A35" s="68" t="s">
        <v>84</v>
      </c>
      <c r="B35" s="90"/>
      <c r="C35" s="90"/>
      <c r="D35" s="69"/>
      <c r="E35" s="69"/>
    </row>
    <row r="36" spans="1:5" ht="19.5" customHeight="1" x14ac:dyDescent="0.3">
      <c r="A36" s="68" t="s">
        <v>85</v>
      </c>
      <c r="B36" s="90">
        <v>8</v>
      </c>
      <c r="C36" s="90"/>
      <c r="D36" s="69">
        <v>729390</v>
      </c>
      <c r="E36" s="69">
        <v>710807</v>
      </c>
    </row>
    <row r="37" spans="1:5" x14ac:dyDescent="0.3">
      <c r="A37" s="68" t="s">
        <v>77</v>
      </c>
      <c r="B37" s="90"/>
      <c r="C37" s="90"/>
      <c r="D37" s="69"/>
      <c r="E37" s="69">
        <v>32245</v>
      </c>
    </row>
    <row r="38" spans="1:5" x14ac:dyDescent="0.3">
      <c r="A38" s="70"/>
      <c r="B38" s="91"/>
      <c r="C38" s="91"/>
      <c r="D38" s="71">
        <f>SUM(D35:D37)</f>
        <v>729390</v>
      </c>
      <c r="E38" s="71">
        <f>SUM(E35:E37)</f>
        <v>743052</v>
      </c>
    </row>
    <row r="39" spans="1:5" x14ac:dyDescent="0.3">
      <c r="A39" s="70" t="s">
        <v>36</v>
      </c>
      <c r="B39" s="92"/>
      <c r="C39" s="92"/>
      <c r="D39" s="58">
        <f>D33+D38</f>
        <v>46134517</v>
      </c>
      <c r="E39" s="58">
        <f>E33+E38</f>
        <v>43739367</v>
      </c>
    </row>
    <row r="40" spans="1:5" x14ac:dyDescent="0.3">
      <c r="A40" s="70" t="s">
        <v>37</v>
      </c>
      <c r="B40" s="92"/>
      <c r="C40" s="92"/>
      <c r="D40" s="58">
        <f>D39+D28</f>
        <v>30846915</v>
      </c>
      <c r="E40" s="58">
        <f>E39+E28</f>
        <v>31862215</v>
      </c>
    </row>
    <row r="41" spans="1:5" ht="21.75" customHeight="1" x14ac:dyDescent="0.3">
      <c r="A41" s="74"/>
      <c r="B41" s="95"/>
      <c r="C41" s="95"/>
      <c r="D41" s="75"/>
      <c r="E41" s="75"/>
    </row>
    <row r="42" spans="1:5" x14ac:dyDescent="0.3">
      <c r="A42" s="76" t="s">
        <v>38</v>
      </c>
      <c r="B42" s="96"/>
      <c r="C42" s="96"/>
      <c r="D42" s="77">
        <v>23387466</v>
      </c>
      <c r="E42" s="77">
        <v>23387466</v>
      </c>
    </row>
    <row r="43" spans="1:5" x14ac:dyDescent="0.3">
      <c r="A43" s="78" t="s">
        <v>39</v>
      </c>
      <c r="B43" s="97"/>
      <c r="C43" s="97"/>
      <c r="D43" s="79">
        <v>-653.91</v>
      </c>
      <c r="E43" s="79">
        <v>-550</v>
      </c>
    </row>
    <row r="44" spans="1:5" x14ac:dyDescent="0.3">
      <c r="A44" s="74"/>
      <c r="B44" s="59"/>
      <c r="C44" s="59"/>
      <c r="D44" s="59"/>
      <c r="E44" s="59"/>
    </row>
    <row r="45" spans="1:5" x14ac:dyDescent="0.3">
      <c r="A45" s="74"/>
      <c r="B45" s="59"/>
      <c r="C45" s="59"/>
      <c r="D45" s="75">
        <f>D22-D40</f>
        <v>0</v>
      </c>
      <c r="E45" s="59"/>
    </row>
    <row r="46" spans="1:5" x14ac:dyDescent="0.3">
      <c r="A46" s="74"/>
      <c r="B46" s="59"/>
      <c r="C46" s="59"/>
      <c r="D46" s="59"/>
      <c r="E46" s="59"/>
    </row>
    <row r="47" spans="1:5" x14ac:dyDescent="0.3">
      <c r="A47" s="74" t="s">
        <v>15</v>
      </c>
      <c r="B47" s="59"/>
      <c r="C47" s="59"/>
      <c r="D47" s="59"/>
      <c r="E47" s="59" t="s">
        <v>74</v>
      </c>
    </row>
    <row r="48" spans="1:5" x14ac:dyDescent="0.3">
      <c r="A48" s="74"/>
      <c r="B48" s="59"/>
      <c r="C48" s="59"/>
      <c r="D48" s="59"/>
      <c r="E48" s="59"/>
    </row>
    <row r="49" spans="1:5" x14ac:dyDescent="0.3">
      <c r="A49" s="74"/>
      <c r="B49" s="59"/>
      <c r="C49" s="59"/>
      <c r="D49" s="59"/>
      <c r="E49" s="59"/>
    </row>
    <row r="50" spans="1:5" ht="15.75" customHeight="1" x14ac:dyDescent="0.3">
      <c r="A50" s="74" t="s">
        <v>16</v>
      </c>
      <c r="B50" s="59"/>
      <c r="C50" s="59"/>
      <c r="D50" s="59"/>
      <c r="E50" s="59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29"/>
  <sheetViews>
    <sheetView topLeftCell="A16" workbookViewId="0">
      <selection activeCell="I15" sqref="I15"/>
    </sheetView>
  </sheetViews>
  <sheetFormatPr defaultRowHeight="14.4" x14ac:dyDescent="0.3"/>
  <cols>
    <col min="1" max="1" width="44.33203125" customWidth="1"/>
    <col min="3" max="3" width="15.5546875" style="117" customWidth="1"/>
    <col min="4" max="4" width="16" customWidth="1"/>
  </cols>
  <sheetData>
    <row r="1" spans="1:4" x14ac:dyDescent="0.3">
      <c r="A1" s="98" t="s">
        <v>0</v>
      </c>
      <c r="B1" s="1"/>
      <c r="C1" s="111"/>
      <c r="D1" s="1"/>
    </row>
    <row r="2" spans="1:4" x14ac:dyDescent="0.3">
      <c r="A2" s="98" t="s">
        <v>1</v>
      </c>
      <c r="B2" s="1"/>
      <c r="C2" s="111"/>
      <c r="D2" s="1"/>
    </row>
    <row r="3" spans="1:4" x14ac:dyDescent="0.3">
      <c r="A3" s="2" t="s">
        <v>98</v>
      </c>
      <c r="B3" s="3"/>
      <c r="C3" s="112"/>
      <c r="D3" s="3"/>
    </row>
    <row r="4" spans="1:4" ht="15" thickBot="1" x14ac:dyDescent="0.35">
      <c r="A4" s="4"/>
      <c r="B4" s="5"/>
      <c r="C4" s="113"/>
      <c r="D4" s="5"/>
    </row>
    <row r="5" spans="1:4" x14ac:dyDescent="0.3">
      <c r="A5" s="6"/>
      <c r="B5" s="1"/>
      <c r="C5" s="111"/>
      <c r="D5" s="1"/>
    </row>
    <row r="6" spans="1:4" x14ac:dyDescent="0.3">
      <c r="A6" s="7" t="s">
        <v>2</v>
      </c>
      <c r="B6" s="8" t="s">
        <v>3</v>
      </c>
      <c r="C6" s="119" t="s">
        <v>96</v>
      </c>
      <c r="D6" s="125" t="s">
        <v>100</v>
      </c>
    </row>
    <row r="7" spans="1:4" x14ac:dyDescent="0.3">
      <c r="A7" s="9" t="s">
        <v>4</v>
      </c>
      <c r="B7" s="10"/>
      <c r="C7" s="89"/>
      <c r="D7" s="89"/>
    </row>
    <row r="8" spans="1:4" x14ac:dyDescent="0.3">
      <c r="A8" s="12" t="s">
        <v>5</v>
      </c>
      <c r="B8" s="108">
        <v>10</v>
      </c>
      <c r="C8" s="89">
        <v>-260514</v>
      </c>
      <c r="D8" s="11">
        <v>-634915</v>
      </c>
    </row>
    <row r="9" spans="1:4" x14ac:dyDescent="0.3">
      <c r="A9" s="12" t="s">
        <v>91</v>
      </c>
      <c r="B9" s="108"/>
      <c r="C9" s="89">
        <f>-26138</f>
        <v>-26138</v>
      </c>
      <c r="D9" s="11">
        <f>-5067</f>
        <v>-5067</v>
      </c>
    </row>
    <row r="10" spans="1:4" x14ac:dyDescent="0.3">
      <c r="A10" s="16" t="s">
        <v>6</v>
      </c>
      <c r="B10" s="17"/>
      <c r="C10" s="89">
        <f>C8</f>
        <v>-260514</v>
      </c>
      <c r="D10" s="11">
        <f>D8</f>
        <v>-634915</v>
      </c>
    </row>
    <row r="11" spans="1:4" x14ac:dyDescent="0.3">
      <c r="A11" s="12" t="s">
        <v>7</v>
      </c>
      <c r="B11" s="17"/>
      <c r="C11" s="89">
        <f>-2052250</f>
        <v>-2052250</v>
      </c>
      <c r="D11" s="11">
        <f>-828472</f>
        <v>-828472</v>
      </c>
    </row>
    <row r="12" spans="1:4" x14ac:dyDescent="0.3">
      <c r="A12" s="12" t="s">
        <v>8</v>
      </c>
      <c r="B12" s="13"/>
      <c r="C12" s="89"/>
      <c r="D12" s="11">
        <v>123</v>
      </c>
    </row>
    <row r="13" spans="1:4" x14ac:dyDescent="0.3">
      <c r="A13" s="7" t="s">
        <v>87</v>
      </c>
      <c r="B13" s="14"/>
      <c r="C13" s="114">
        <f>-1097746</f>
        <v>-1097746</v>
      </c>
      <c r="D13" s="15">
        <f>24243</f>
        <v>24243</v>
      </c>
    </row>
    <row r="14" spans="1:4" x14ac:dyDescent="0.3">
      <c r="A14" s="18" t="s">
        <v>9</v>
      </c>
      <c r="B14" s="19"/>
      <c r="C14" s="135">
        <f>SUM(C10:C13)</f>
        <v>-3410510</v>
      </c>
      <c r="D14" s="136">
        <f>SUM(D10:D13)</f>
        <v>-1439021</v>
      </c>
    </row>
    <row r="15" spans="1:4" x14ac:dyDescent="0.3">
      <c r="A15" s="12" t="s">
        <v>90</v>
      </c>
      <c r="B15" s="13"/>
      <c r="C15" s="89"/>
      <c r="D15" s="11">
        <v>0</v>
      </c>
    </row>
    <row r="16" spans="1:4" x14ac:dyDescent="0.3">
      <c r="A16" s="20" t="s">
        <v>10</v>
      </c>
      <c r="B16" s="21"/>
      <c r="C16" s="137">
        <f>C14</f>
        <v>-3410510</v>
      </c>
      <c r="D16" s="138">
        <f>D14</f>
        <v>-1439021</v>
      </c>
    </row>
    <row r="17" spans="1:4" x14ac:dyDescent="0.3">
      <c r="A17" s="22" t="s">
        <v>11</v>
      </c>
      <c r="B17" s="13"/>
      <c r="C17" s="89">
        <v>0</v>
      </c>
      <c r="D17" s="11">
        <v>0</v>
      </c>
    </row>
    <row r="18" spans="1:4" ht="27.6" x14ac:dyDescent="0.3">
      <c r="A18" s="20" t="s">
        <v>12</v>
      </c>
      <c r="B18" s="21"/>
      <c r="C18" s="139">
        <f>C16</f>
        <v>-3410510</v>
      </c>
      <c r="D18" s="140">
        <f>D16</f>
        <v>-1439021</v>
      </c>
    </row>
    <row r="19" spans="1:4" x14ac:dyDescent="0.3">
      <c r="A19" s="23"/>
      <c r="B19" s="1"/>
      <c r="C19" s="115"/>
      <c r="D19" s="24"/>
    </row>
    <row r="20" spans="1:4" x14ac:dyDescent="0.3">
      <c r="A20" s="25" t="s">
        <v>13</v>
      </c>
      <c r="B20" s="26"/>
      <c r="C20" s="141">
        <f>-145.8</f>
        <v>-145.80000000000001</v>
      </c>
      <c r="D20" s="142">
        <f>-61.7</f>
        <v>-61.7</v>
      </c>
    </row>
    <row r="21" spans="1:4" x14ac:dyDescent="0.3">
      <c r="A21" s="23"/>
      <c r="B21" s="1"/>
      <c r="C21" s="111"/>
      <c r="D21" s="1"/>
    </row>
    <row r="22" spans="1:4" x14ac:dyDescent="0.3">
      <c r="A22" s="27" t="s">
        <v>14</v>
      </c>
      <c r="B22" s="1"/>
      <c r="C22" s="111"/>
      <c r="D22" s="1"/>
    </row>
    <row r="23" spans="1:4" ht="11.25" customHeight="1" x14ac:dyDescent="0.3">
      <c r="A23" s="27"/>
      <c r="B23" s="1"/>
      <c r="C23" s="116"/>
      <c r="D23" s="1"/>
    </row>
    <row r="24" spans="1:4" ht="12.75" customHeight="1" x14ac:dyDescent="0.3">
      <c r="A24" s="27"/>
      <c r="B24" s="1"/>
      <c r="C24" s="111"/>
      <c r="D24" s="1"/>
    </row>
    <row r="25" spans="1:4" x14ac:dyDescent="0.3">
      <c r="A25" s="23"/>
      <c r="B25" s="1"/>
      <c r="C25" s="111"/>
      <c r="D25" s="1"/>
    </row>
    <row r="26" spans="1:4" ht="20.25" customHeight="1" x14ac:dyDescent="0.3">
      <c r="A26" s="23" t="s">
        <v>15</v>
      </c>
      <c r="B26" s="1"/>
      <c r="C26" s="111"/>
      <c r="D26" s="1" t="s">
        <v>74</v>
      </c>
    </row>
    <row r="27" spans="1:4" x14ac:dyDescent="0.3">
      <c r="A27" s="23"/>
      <c r="B27" s="1"/>
      <c r="C27" s="111"/>
      <c r="D27" s="1"/>
    </row>
    <row r="28" spans="1:4" ht="10.5" customHeight="1" x14ac:dyDescent="0.3">
      <c r="A28" s="23"/>
      <c r="B28" s="1"/>
      <c r="C28" s="111"/>
      <c r="D28" s="1"/>
    </row>
    <row r="29" spans="1:4" ht="20.25" customHeight="1" x14ac:dyDescent="0.3">
      <c r="A29" s="23" t="s">
        <v>16</v>
      </c>
      <c r="B29" s="1"/>
      <c r="C29" s="111"/>
      <c r="D29" s="1" t="s">
        <v>17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28" workbookViewId="0">
      <selection activeCell="J39" sqref="J39"/>
    </sheetView>
  </sheetViews>
  <sheetFormatPr defaultRowHeight="14.4" x14ac:dyDescent="0.3"/>
  <cols>
    <col min="1" max="1" width="44" customWidth="1"/>
    <col min="3" max="3" width="16.44140625" style="84" customWidth="1"/>
    <col min="4" max="4" width="15.88671875" style="84" customWidth="1"/>
  </cols>
  <sheetData>
    <row r="1" spans="1:5" x14ac:dyDescent="0.3">
      <c r="A1" s="103" t="s">
        <v>0</v>
      </c>
      <c r="B1" s="34"/>
      <c r="C1" s="57"/>
      <c r="D1" s="87"/>
    </row>
    <row r="2" spans="1:5" x14ac:dyDescent="0.3">
      <c r="A2" s="103" t="s">
        <v>50</v>
      </c>
      <c r="B2" s="34"/>
      <c r="C2" s="57"/>
      <c r="D2" s="57"/>
    </row>
    <row r="3" spans="1:5" x14ac:dyDescent="0.3">
      <c r="A3" s="28" t="s">
        <v>98</v>
      </c>
      <c r="B3" s="54"/>
      <c r="C3" s="54"/>
      <c r="D3" s="54"/>
    </row>
    <row r="4" spans="1:5" ht="9" customHeight="1" thickBot="1" x14ac:dyDescent="0.35">
      <c r="A4" s="55"/>
      <c r="B4" s="56"/>
      <c r="C4" s="83"/>
      <c r="D4" s="83"/>
    </row>
    <row r="5" spans="1:5" ht="24.75" customHeight="1" x14ac:dyDescent="0.3">
      <c r="A5" s="29" t="s">
        <v>2</v>
      </c>
      <c r="B5" s="109" t="s">
        <v>3</v>
      </c>
      <c r="C5" s="118" t="s">
        <v>96</v>
      </c>
      <c r="D5" s="118" t="s">
        <v>100</v>
      </c>
    </row>
    <row r="6" spans="1:5" x14ac:dyDescent="0.3">
      <c r="A6" s="80" t="s">
        <v>52</v>
      </c>
      <c r="B6" s="32"/>
      <c r="C6" s="33"/>
      <c r="D6" s="33"/>
    </row>
    <row r="7" spans="1:5" x14ac:dyDescent="0.3">
      <c r="A7" s="30" t="s">
        <v>53</v>
      </c>
      <c r="B7" s="32"/>
      <c r="C7" s="31"/>
      <c r="D7" s="31"/>
      <c r="E7" s="85"/>
    </row>
    <row r="8" spans="1:5" x14ac:dyDescent="0.3">
      <c r="A8" s="107" t="s">
        <v>54</v>
      </c>
      <c r="B8" s="32"/>
      <c r="C8" s="31"/>
      <c r="D8" s="31"/>
      <c r="E8" s="85"/>
    </row>
    <row r="9" spans="1:5" x14ac:dyDescent="0.3">
      <c r="A9" s="30" t="s">
        <v>67</v>
      </c>
      <c r="B9" s="32"/>
      <c r="C9" s="31"/>
      <c r="D9" s="31"/>
      <c r="E9" s="85"/>
    </row>
    <row r="10" spans="1:5" x14ac:dyDescent="0.3">
      <c r="A10" s="30" t="s">
        <v>55</v>
      </c>
      <c r="B10" s="32"/>
      <c r="C10" s="31"/>
      <c r="D10" s="31"/>
      <c r="E10" s="85"/>
    </row>
    <row r="11" spans="1:5" x14ac:dyDescent="0.3">
      <c r="A11" s="107" t="s">
        <v>54</v>
      </c>
      <c r="B11" s="32"/>
      <c r="C11" s="31"/>
      <c r="D11" s="31"/>
      <c r="E11" s="85"/>
    </row>
    <row r="12" spans="1:5" x14ac:dyDescent="0.3">
      <c r="A12" s="30" t="s">
        <v>68</v>
      </c>
      <c r="B12" s="32"/>
      <c r="C12" s="104">
        <f>168374</f>
        <v>168374</v>
      </c>
      <c r="D12" s="104">
        <f>531164</f>
        <v>531164</v>
      </c>
      <c r="E12" s="85"/>
    </row>
    <row r="13" spans="1:5" ht="16.5" customHeight="1" x14ac:dyDescent="0.3">
      <c r="A13" s="81" t="s">
        <v>69</v>
      </c>
      <c r="B13" s="82"/>
      <c r="C13" s="105">
        <f>287412</f>
        <v>287412</v>
      </c>
      <c r="D13" s="105">
        <v>274985</v>
      </c>
      <c r="E13" s="85"/>
    </row>
    <row r="14" spans="1:5" ht="27" customHeight="1" x14ac:dyDescent="0.3">
      <c r="A14" s="30" t="s">
        <v>56</v>
      </c>
      <c r="B14" s="32"/>
      <c r="C14" s="31">
        <f>C7-C12-C13</f>
        <v>-455786</v>
      </c>
      <c r="D14" s="31">
        <f>D7-D12-D13</f>
        <v>-806149</v>
      </c>
      <c r="E14" s="85"/>
    </row>
    <row r="15" spans="1:5" ht="10.95" customHeight="1" x14ac:dyDescent="0.3">
      <c r="A15" s="30"/>
      <c r="B15" s="32"/>
      <c r="C15" s="31"/>
      <c r="D15" s="31"/>
      <c r="E15" s="85"/>
    </row>
    <row r="16" spans="1:5" ht="14.25" customHeight="1" x14ac:dyDescent="0.3">
      <c r="A16" s="80" t="s">
        <v>57</v>
      </c>
      <c r="B16" s="32"/>
      <c r="C16" s="31"/>
      <c r="D16" s="31"/>
      <c r="E16" s="85"/>
    </row>
    <row r="17" spans="1:5" x14ac:dyDescent="0.3">
      <c r="A17" s="30" t="s">
        <v>58</v>
      </c>
      <c r="B17" s="32"/>
      <c r="C17" s="31"/>
      <c r="D17" s="31"/>
      <c r="E17" s="85"/>
    </row>
    <row r="18" spans="1:5" x14ac:dyDescent="0.3">
      <c r="A18" s="107" t="s">
        <v>54</v>
      </c>
      <c r="B18" s="32"/>
      <c r="C18" s="31"/>
      <c r="D18" s="31"/>
      <c r="E18" s="85"/>
    </row>
    <row r="19" spans="1:5" x14ac:dyDescent="0.3">
      <c r="A19" s="30" t="s">
        <v>83</v>
      </c>
      <c r="B19" s="32"/>
      <c r="C19" s="31"/>
      <c r="D19" s="31">
        <f>148265</f>
        <v>148265</v>
      </c>
      <c r="E19" s="85"/>
    </row>
    <row r="20" spans="1:5" ht="15.75" customHeight="1" x14ac:dyDescent="0.3">
      <c r="A20" s="30" t="s">
        <v>55</v>
      </c>
      <c r="B20" s="32"/>
      <c r="C20" s="31"/>
      <c r="D20" s="31"/>
      <c r="E20" s="85"/>
    </row>
    <row r="21" spans="1:5" ht="15.75" customHeight="1" x14ac:dyDescent="0.3">
      <c r="A21" s="107" t="s">
        <v>54</v>
      </c>
      <c r="B21" s="32"/>
      <c r="C21" s="31"/>
      <c r="D21" s="31"/>
      <c r="E21" s="85"/>
    </row>
    <row r="22" spans="1:5" x14ac:dyDescent="0.3">
      <c r="A22" s="30" t="s">
        <v>59</v>
      </c>
      <c r="B22" s="32"/>
      <c r="C22" s="31">
        <f>54301</f>
        <v>54301</v>
      </c>
      <c r="D22" s="31">
        <f>64841</f>
        <v>64841</v>
      </c>
      <c r="E22" s="85"/>
    </row>
    <row r="23" spans="1:5" ht="15.75" customHeight="1" x14ac:dyDescent="0.3">
      <c r="A23" s="81" t="s">
        <v>60</v>
      </c>
      <c r="B23" s="82"/>
      <c r="C23" s="86">
        <f>4124</f>
        <v>4124</v>
      </c>
      <c r="D23" s="86">
        <f>-13599</f>
        <v>-13599</v>
      </c>
      <c r="E23" s="85"/>
    </row>
    <row r="24" spans="1:5" ht="25.5" customHeight="1" x14ac:dyDescent="0.3">
      <c r="A24" s="30" t="s">
        <v>61</v>
      </c>
      <c r="B24" s="32"/>
      <c r="C24" s="31">
        <f>C19-C22-C23</f>
        <v>-58425</v>
      </c>
      <c r="D24" s="31">
        <f>D19-D22-D23</f>
        <v>97023</v>
      </c>
      <c r="E24" s="85"/>
    </row>
    <row r="25" spans="1:5" ht="6" customHeight="1" x14ac:dyDescent="0.3">
      <c r="A25" s="30"/>
      <c r="B25" s="32"/>
      <c r="C25" s="31"/>
      <c r="D25" s="31"/>
      <c r="E25" s="85"/>
    </row>
    <row r="26" spans="1:5" ht="13.5" customHeight="1" x14ac:dyDescent="0.3">
      <c r="A26" s="80" t="s">
        <v>62</v>
      </c>
      <c r="B26" s="32"/>
      <c r="C26" s="31"/>
      <c r="D26" s="31"/>
      <c r="E26" s="85"/>
    </row>
    <row r="27" spans="1:5" ht="18.75" customHeight="1" x14ac:dyDescent="0.3">
      <c r="A27" s="30" t="s">
        <v>71</v>
      </c>
      <c r="B27" s="32"/>
      <c r="C27" s="31"/>
      <c r="D27" s="31"/>
      <c r="E27" s="85"/>
    </row>
    <row r="28" spans="1:5" ht="16.5" customHeight="1" x14ac:dyDescent="0.3">
      <c r="A28" s="107" t="s">
        <v>54</v>
      </c>
      <c r="B28" s="32"/>
      <c r="C28" s="31"/>
      <c r="D28" s="31"/>
      <c r="E28" s="85"/>
    </row>
    <row r="29" spans="1:5" ht="15.75" customHeight="1" x14ac:dyDescent="0.3">
      <c r="A29" s="30" t="s">
        <v>63</v>
      </c>
      <c r="B29" s="32"/>
      <c r="C29" s="31">
        <f>503855</f>
        <v>503855</v>
      </c>
      <c r="D29" s="31">
        <f>701152</f>
        <v>701152</v>
      </c>
      <c r="E29" s="85"/>
    </row>
    <row r="30" spans="1:5" ht="20.25" customHeight="1" x14ac:dyDescent="0.3">
      <c r="A30" s="30" t="s">
        <v>55</v>
      </c>
      <c r="B30" s="32"/>
      <c r="C30" s="31"/>
      <c r="D30" s="31"/>
      <c r="E30" s="85"/>
    </row>
    <row r="31" spans="1:5" ht="13.2" customHeight="1" x14ac:dyDescent="0.3">
      <c r="A31" s="107" t="s">
        <v>54</v>
      </c>
      <c r="B31" s="32"/>
      <c r="C31" s="31"/>
      <c r="D31" s="31"/>
      <c r="E31" s="85"/>
    </row>
    <row r="32" spans="1:5" ht="18" customHeight="1" x14ac:dyDescent="0.3">
      <c r="A32" s="81" t="s">
        <v>70</v>
      </c>
      <c r="B32" s="82"/>
      <c r="C32" s="86"/>
      <c r="D32" s="86"/>
      <c r="E32" s="85"/>
    </row>
    <row r="33" spans="1:5" ht="28.5" customHeight="1" x14ac:dyDescent="0.3">
      <c r="A33" s="30" t="s">
        <v>64</v>
      </c>
      <c r="B33" s="32"/>
      <c r="C33" s="31">
        <f>C29-C30</f>
        <v>503855</v>
      </c>
      <c r="D33" s="31">
        <f>D29-D30</f>
        <v>701152</v>
      </c>
      <c r="E33" s="85"/>
    </row>
    <row r="34" spans="1:5" ht="20.25" customHeight="1" x14ac:dyDescent="0.3">
      <c r="A34" s="30" t="s">
        <v>65</v>
      </c>
      <c r="B34" s="32"/>
      <c r="C34" s="31">
        <f>-220</f>
        <v>-220</v>
      </c>
      <c r="D34" s="31">
        <f>-1007</f>
        <v>-1007</v>
      </c>
      <c r="E34" s="85"/>
    </row>
    <row r="35" spans="1:5" ht="32.25" customHeight="1" x14ac:dyDescent="0.3">
      <c r="A35" s="81" t="s">
        <v>66</v>
      </c>
      <c r="B35" s="82"/>
      <c r="C35" s="86">
        <f>C14+C24+C33+C34</f>
        <v>-10576</v>
      </c>
      <c r="D35" s="86">
        <f>D14+D24+D33+D34</f>
        <v>-8981</v>
      </c>
      <c r="E35" s="85"/>
    </row>
    <row r="36" spans="1:5" ht="27.75" customHeight="1" x14ac:dyDescent="0.3">
      <c r="A36" s="30" t="s">
        <v>72</v>
      </c>
      <c r="B36" s="32"/>
      <c r="C36" s="69">
        <f>25477</f>
        <v>25477</v>
      </c>
      <c r="D36" s="31">
        <v>182765</v>
      </c>
      <c r="E36" s="85"/>
    </row>
    <row r="37" spans="1:5" ht="25.5" customHeight="1" x14ac:dyDescent="0.3">
      <c r="A37" s="30" t="s">
        <v>73</v>
      </c>
      <c r="B37" s="32"/>
      <c r="C37" s="31">
        <f>C36+C35</f>
        <v>14901</v>
      </c>
      <c r="D37" s="31">
        <f>D36+D35</f>
        <v>173784</v>
      </c>
      <c r="E37" s="85"/>
    </row>
    <row r="38" spans="1:5" ht="30.75" customHeight="1" x14ac:dyDescent="0.3">
      <c r="A38" s="30"/>
      <c r="B38" s="106"/>
      <c r="C38" s="33"/>
      <c r="D38" s="33"/>
    </row>
    <row r="39" spans="1:5" ht="30.75" customHeight="1" x14ac:dyDescent="0.3">
      <c r="A39" s="30"/>
      <c r="B39" s="106"/>
      <c r="C39" s="33"/>
      <c r="D39" s="33"/>
    </row>
    <row r="40" spans="1:5" x14ac:dyDescent="0.3">
      <c r="A40" s="57"/>
      <c r="B40" s="53"/>
      <c r="C40" s="31"/>
      <c r="D40" s="31"/>
    </row>
    <row r="41" spans="1:5" x14ac:dyDescent="0.3">
      <c r="A41" s="88" t="s">
        <v>15</v>
      </c>
      <c r="B41" s="34"/>
      <c r="C41" s="34"/>
      <c r="D41" s="34" t="s">
        <v>74</v>
      </c>
    </row>
    <row r="42" spans="1:5" ht="9.75" customHeight="1" x14ac:dyDescent="0.3">
      <c r="A42" s="88"/>
      <c r="B42" s="34"/>
      <c r="C42" s="34"/>
      <c r="D42" s="34"/>
    </row>
    <row r="43" spans="1:5" ht="10.5" customHeight="1" x14ac:dyDescent="0.3">
      <c r="A43" s="88"/>
      <c r="B43" s="34"/>
      <c r="C43" s="34"/>
      <c r="D43" s="34"/>
    </row>
    <row r="44" spans="1:5" x14ac:dyDescent="0.3">
      <c r="A44" s="88" t="s">
        <v>16</v>
      </c>
      <c r="B44" s="34"/>
      <c r="C44" s="34"/>
      <c r="D44" s="34" t="s">
        <v>17</v>
      </c>
    </row>
  </sheetData>
  <pageMargins left="0.31496062992125984" right="0.5118110236220472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55"/>
  <sheetViews>
    <sheetView showGridLines="0" tabSelected="1" workbookViewId="0">
      <selection activeCell="M53" sqref="M53"/>
    </sheetView>
  </sheetViews>
  <sheetFormatPr defaultColWidth="8.88671875" defaultRowHeight="13.8" x14ac:dyDescent="0.3"/>
  <cols>
    <col min="1" max="1" width="2.33203125" style="35" customWidth="1"/>
    <col min="2" max="2" width="43.109375" style="35" customWidth="1"/>
    <col min="3" max="3" width="6.33203125" style="35" customWidth="1"/>
    <col min="4" max="4" width="10.6640625" style="35" customWidth="1"/>
    <col min="5" max="5" width="13.33203125" style="35" customWidth="1"/>
    <col min="6" max="6" width="12.88671875" style="35" customWidth="1"/>
    <col min="7" max="7" width="12.44140625" style="35" customWidth="1"/>
    <col min="8" max="8" width="9.21875" style="35" bestFit="1" customWidth="1"/>
    <col min="9" max="9" width="10.44140625" style="35" bestFit="1" customWidth="1"/>
    <col min="10" max="16384" width="8.88671875" style="35"/>
  </cols>
  <sheetData>
    <row r="1" spans="1:8" x14ac:dyDescent="0.3">
      <c r="B1" s="98" t="s">
        <v>0</v>
      </c>
      <c r="C1" s="36"/>
      <c r="D1" s="36"/>
      <c r="E1" s="36"/>
      <c r="F1" s="36"/>
      <c r="G1" s="36"/>
    </row>
    <row r="2" spans="1:8" x14ac:dyDescent="0.3">
      <c r="B2" s="98" t="s">
        <v>40</v>
      </c>
      <c r="C2" s="36"/>
      <c r="D2" s="36"/>
      <c r="E2" s="36"/>
      <c r="F2" s="36"/>
      <c r="G2" s="36"/>
    </row>
    <row r="3" spans="1:8" x14ac:dyDescent="0.3">
      <c r="B3" s="2" t="s">
        <v>98</v>
      </c>
      <c r="C3" s="37"/>
      <c r="D3" s="37"/>
      <c r="E3" s="37"/>
      <c r="F3" s="3"/>
      <c r="G3" s="3"/>
    </row>
    <row r="4" spans="1:8" ht="11.25" customHeight="1" thickBot="1" x14ac:dyDescent="0.35">
      <c r="B4" s="38"/>
      <c r="C4" s="5"/>
      <c r="D4" s="5"/>
      <c r="E4" s="5"/>
      <c r="F4" s="5"/>
      <c r="G4" s="5"/>
    </row>
    <row r="5" spans="1:8" x14ac:dyDescent="0.3">
      <c r="B5" s="39"/>
      <c r="C5" s="39"/>
      <c r="D5" s="39"/>
      <c r="E5" s="39"/>
      <c r="F5" s="39"/>
      <c r="G5" s="39"/>
    </row>
    <row r="6" spans="1:8" ht="44.25" customHeight="1" x14ac:dyDescent="0.3">
      <c r="B6" s="7" t="s">
        <v>2</v>
      </c>
      <c r="C6" s="8" t="s">
        <v>3</v>
      </c>
      <c r="D6" s="8" t="s">
        <v>29</v>
      </c>
      <c r="E6" s="8" t="s">
        <v>30</v>
      </c>
      <c r="F6" s="8" t="s">
        <v>31</v>
      </c>
      <c r="G6" s="8" t="s">
        <v>41</v>
      </c>
    </row>
    <row r="7" spans="1:8" s="42" customFormat="1" hidden="1" x14ac:dyDescent="0.3">
      <c r="A7" s="40"/>
      <c r="B7" s="20" t="s">
        <v>42</v>
      </c>
      <c r="C7" s="20"/>
      <c r="D7" s="41">
        <v>0</v>
      </c>
      <c r="E7" s="41">
        <v>0</v>
      </c>
      <c r="F7" s="41">
        <v>0</v>
      </c>
      <c r="G7" s="41">
        <f>SUM(D7:F7)</f>
        <v>0</v>
      </c>
      <c r="H7" s="43"/>
    </row>
    <row r="8" spans="1:8" s="42" customFormat="1" hidden="1" x14ac:dyDescent="0.3">
      <c r="A8" s="40"/>
      <c r="B8" s="16"/>
      <c r="C8" s="16"/>
      <c r="D8" s="44"/>
      <c r="E8" s="44"/>
      <c r="F8" s="44"/>
      <c r="G8" s="44"/>
    </row>
    <row r="9" spans="1:8" s="46" customFormat="1" hidden="1" x14ac:dyDescent="0.3">
      <c r="A9" s="35"/>
      <c r="B9" s="12" t="s">
        <v>43</v>
      </c>
      <c r="C9" s="12"/>
      <c r="D9" s="45">
        <v>0</v>
      </c>
      <c r="E9" s="45">
        <v>0</v>
      </c>
      <c r="F9" s="45">
        <f>[1]BS!N31</f>
        <v>-28058</v>
      </c>
      <c r="G9" s="45">
        <f>SUM(D9:F9)</f>
        <v>-28058</v>
      </c>
    </row>
    <row r="10" spans="1:8" s="46" customFormat="1" hidden="1" x14ac:dyDescent="0.3">
      <c r="A10" s="35"/>
      <c r="B10" s="12" t="s">
        <v>44</v>
      </c>
      <c r="C10" s="12"/>
      <c r="D10" s="45">
        <f>121000+23266466</f>
        <v>23387466</v>
      </c>
      <c r="E10" s="45">
        <f>-E7</f>
        <v>0</v>
      </c>
      <c r="F10" s="45">
        <f>-E10</f>
        <v>0</v>
      </c>
      <c r="G10" s="47">
        <f>SUM(D10:F10)</f>
        <v>23387466</v>
      </c>
    </row>
    <row r="11" spans="1:8" s="46" customFormat="1" ht="41.4" hidden="1" x14ac:dyDescent="0.3">
      <c r="A11" s="35"/>
      <c r="B11" s="12" t="s">
        <v>45</v>
      </c>
      <c r="C11" s="12"/>
      <c r="D11" s="47">
        <v>0</v>
      </c>
      <c r="E11" s="47">
        <v>0</v>
      </c>
      <c r="F11" s="47">
        <v>0</v>
      </c>
      <c r="G11" s="47">
        <f>SUM(D11:F11)</f>
        <v>0</v>
      </c>
    </row>
    <row r="12" spans="1:8" s="46" customFormat="1" hidden="1" x14ac:dyDescent="0.3">
      <c r="A12" s="35"/>
      <c r="B12" s="7" t="s">
        <v>46</v>
      </c>
      <c r="C12" s="14"/>
      <c r="D12" s="48">
        <v>0</v>
      </c>
      <c r="E12" s="48">
        <v>0</v>
      </c>
      <c r="F12" s="48">
        <v>0</v>
      </c>
      <c r="G12" s="48">
        <f>SUM(D12:F12)</f>
        <v>0</v>
      </c>
    </row>
    <row r="13" spans="1:8" s="46" customFormat="1" hidden="1" x14ac:dyDescent="0.3">
      <c r="A13" s="35"/>
      <c r="B13" s="12" t="s">
        <v>47</v>
      </c>
      <c r="C13" s="12"/>
      <c r="D13" s="45">
        <f>SUM(D9:D12)</f>
        <v>23387466</v>
      </c>
      <c r="E13" s="45">
        <f>SUM(E9:E12)</f>
        <v>0</v>
      </c>
      <c r="F13" s="45">
        <f>SUM(F9:F12)</f>
        <v>-28058</v>
      </c>
      <c r="G13" s="45">
        <f>SUM(G9:G12)</f>
        <v>23359408</v>
      </c>
    </row>
    <row r="14" spans="1:8" s="46" customFormat="1" hidden="1" x14ac:dyDescent="0.3">
      <c r="A14" s="35"/>
      <c r="B14" s="12"/>
      <c r="C14" s="12"/>
      <c r="D14" s="45"/>
      <c r="E14" s="45"/>
      <c r="F14" s="45"/>
      <c r="G14" s="45"/>
    </row>
    <row r="15" spans="1:8" s="42" customFormat="1" hidden="1" x14ac:dyDescent="0.3">
      <c r="A15" s="40"/>
      <c r="B15" s="20" t="s">
        <v>48</v>
      </c>
      <c r="C15" s="20"/>
      <c r="D15" s="41">
        <f>SUM(D7,D13)</f>
        <v>23387466</v>
      </c>
      <c r="E15" s="41"/>
      <c r="F15" s="41">
        <f>F13</f>
        <v>-28058</v>
      </c>
      <c r="G15" s="41">
        <f>SUM(D15:F15)</f>
        <v>23359408</v>
      </c>
      <c r="H15" s="43"/>
    </row>
    <row r="16" spans="1:8" s="46" customFormat="1" hidden="1" x14ac:dyDescent="0.3">
      <c r="A16" s="35"/>
      <c r="B16" s="12" t="s">
        <v>43</v>
      </c>
      <c r="C16" s="12"/>
      <c r="D16" s="45">
        <v>0</v>
      </c>
      <c r="E16" s="45">
        <v>0</v>
      </c>
      <c r="F16" s="45">
        <f>-193502</f>
        <v>-193502</v>
      </c>
      <c r="G16" s="45">
        <f>SUM(D16:F16)</f>
        <v>-193502</v>
      </c>
    </row>
    <row r="17" spans="1:8" s="46" customFormat="1" hidden="1" x14ac:dyDescent="0.3">
      <c r="A17" s="35"/>
      <c r="B17" s="12" t="s">
        <v>44</v>
      </c>
      <c r="C17" s="12"/>
      <c r="D17" s="45"/>
      <c r="E17" s="45">
        <f>-E14</f>
        <v>0</v>
      </c>
      <c r="F17" s="45">
        <f>-E17</f>
        <v>0</v>
      </c>
      <c r="G17" s="47">
        <f>SUM(D17:F17)</f>
        <v>0</v>
      </c>
    </row>
    <row r="18" spans="1:8" s="46" customFormat="1" ht="41.4" hidden="1" x14ac:dyDescent="0.3">
      <c r="A18" s="35"/>
      <c r="B18" s="12" t="s">
        <v>45</v>
      </c>
      <c r="C18" s="12"/>
      <c r="D18" s="47">
        <v>0</v>
      </c>
      <c r="E18" s="47">
        <v>37139</v>
      </c>
      <c r="F18" s="47">
        <v>0</v>
      </c>
      <c r="G18" s="47">
        <f>SUM(D18:F18)</f>
        <v>37139</v>
      </c>
    </row>
    <row r="19" spans="1:8" s="46" customFormat="1" hidden="1" x14ac:dyDescent="0.3">
      <c r="A19" s="35"/>
      <c r="B19" s="7" t="s">
        <v>46</v>
      </c>
      <c r="C19" s="14"/>
      <c r="D19" s="48">
        <v>0</v>
      </c>
      <c r="E19" s="48">
        <v>-28900988</v>
      </c>
      <c r="F19" s="48">
        <v>0</v>
      </c>
      <c r="G19" s="48">
        <f>SUM(D19:F19)</f>
        <v>-28900988</v>
      </c>
    </row>
    <row r="20" spans="1:8" s="46" customFormat="1" hidden="1" x14ac:dyDescent="0.3">
      <c r="A20" s="35"/>
      <c r="B20" s="12" t="s">
        <v>47</v>
      </c>
      <c r="C20" s="12"/>
      <c r="D20" s="45">
        <f>SUM(D16:D19)</f>
        <v>0</v>
      </c>
      <c r="E20" s="49">
        <f>SUM(E16:E19)</f>
        <v>-28863849</v>
      </c>
      <c r="F20" s="45">
        <f>SUM(F15:F19)</f>
        <v>-221560</v>
      </c>
      <c r="G20" s="45">
        <f>SUM(G16:G19)</f>
        <v>-29057351</v>
      </c>
    </row>
    <row r="21" spans="1:8" s="42" customFormat="1" hidden="1" x14ac:dyDescent="0.3">
      <c r="A21" s="40"/>
      <c r="B21" s="20" t="s">
        <v>49</v>
      </c>
      <c r="C21" s="20"/>
      <c r="D21" s="41">
        <f>D15</f>
        <v>23387466</v>
      </c>
      <c r="E21" s="41">
        <f>E20</f>
        <v>-28863849</v>
      </c>
      <c r="F21" s="41">
        <f>F20</f>
        <v>-221560</v>
      </c>
      <c r="G21" s="41">
        <f>D21+E21+F21</f>
        <v>-5697943</v>
      </c>
      <c r="H21" s="43"/>
    </row>
    <row r="22" spans="1:8" s="42" customFormat="1" hidden="1" x14ac:dyDescent="0.3">
      <c r="A22" s="40"/>
      <c r="B22" s="16"/>
      <c r="C22" s="16"/>
      <c r="D22" s="44"/>
      <c r="E22" s="44"/>
      <c r="F22" s="44"/>
      <c r="G22" s="44"/>
      <c r="H22" s="43"/>
    </row>
    <row r="23" spans="1:8" s="42" customFormat="1" hidden="1" x14ac:dyDescent="0.3">
      <c r="A23" s="40"/>
      <c r="B23" s="16" t="s">
        <v>75</v>
      </c>
      <c r="C23" s="16"/>
      <c r="D23" s="44">
        <v>23387466</v>
      </c>
      <c r="E23" s="44">
        <v>-28863849</v>
      </c>
      <c r="F23" s="44">
        <v>-221560</v>
      </c>
      <c r="G23" s="44">
        <v>-5697943</v>
      </c>
      <c r="H23" s="43"/>
    </row>
    <row r="24" spans="1:8" s="46" customFormat="1" hidden="1" x14ac:dyDescent="0.3">
      <c r="A24" s="35"/>
      <c r="B24" s="12" t="s">
        <v>79</v>
      </c>
      <c r="C24" s="12"/>
      <c r="D24" s="45">
        <v>0</v>
      </c>
      <c r="E24" s="45">
        <v>0</v>
      </c>
      <c r="F24" s="45">
        <f>-3333416</f>
        <v>-3333416</v>
      </c>
      <c r="G24" s="45">
        <f>SUM(D24:F24)</f>
        <v>-3333416</v>
      </c>
    </row>
    <row r="25" spans="1:8" s="46" customFormat="1" ht="27.6" hidden="1" x14ac:dyDescent="0.3">
      <c r="A25" s="35"/>
      <c r="B25" s="12" t="s">
        <v>78</v>
      </c>
      <c r="C25" s="12"/>
      <c r="D25" s="47">
        <v>0</v>
      </c>
      <c r="E25" s="47">
        <v>37399</v>
      </c>
      <c r="F25" s="47"/>
      <c r="G25" s="47">
        <f>E25</f>
        <v>37399</v>
      </c>
    </row>
    <row r="26" spans="1:8" s="46" customFormat="1" hidden="1" x14ac:dyDescent="0.3">
      <c r="A26" s="35"/>
      <c r="B26" s="7" t="s">
        <v>46</v>
      </c>
      <c r="C26" s="14"/>
      <c r="D26" s="48">
        <v>0</v>
      </c>
      <c r="E26" s="48"/>
      <c r="F26" s="48"/>
      <c r="G26" s="48"/>
    </row>
    <row r="27" spans="1:8" s="46" customFormat="1" hidden="1" x14ac:dyDescent="0.3">
      <c r="A27" s="35"/>
      <c r="B27" s="12" t="s">
        <v>47</v>
      </c>
      <c r="C27" s="12"/>
      <c r="D27" s="45">
        <f>SUM(D24:D26)</f>
        <v>0</v>
      </c>
      <c r="E27" s="49">
        <f>SUM(E24:E26)</f>
        <v>37399</v>
      </c>
      <c r="F27" s="45">
        <f>F24</f>
        <v>-3333416</v>
      </c>
      <c r="G27" s="45">
        <f>SUM(G24:G26)</f>
        <v>-3296017</v>
      </c>
    </row>
    <row r="28" spans="1:8" s="42" customFormat="1" ht="15.75" hidden="1" customHeight="1" x14ac:dyDescent="0.3">
      <c r="A28" s="40"/>
      <c r="B28" s="20" t="s">
        <v>51</v>
      </c>
      <c r="C28" s="20"/>
      <c r="D28" s="41">
        <f>D21</f>
        <v>23387466</v>
      </c>
      <c r="E28" s="41">
        <f>E21+E25</f>
        <v>-28826450</v>
      </c>
      <c r="F28" s="41">
        <f>F27+F21</f>
        <v>-3554976</v>
      </c>
      <c r="G28" s="41">
        <f>D28+E28+F28</f>
        <v>-8993960</v>
      </c>
      <c r="H28" s="43"/>
    </row>
    <row r="29" spans="1:8" s="40" customFormat="1" ht="14.25" hidden="1" customHeight="1" x14ac:dyDescent="0.3">
      <c r="B29" s="12" t="s">
        <v>81</v>
      </c>
      <c r="C29" s="12"/>
      <c r="D29" s="45">
        <v>0</v>
      </c>
      <c r="E29" s="45">
        <v>0</v>
      </c>
      <c r="F29" s="45">
        <f>-1529359</f>
        <v>-1529359</v>
      </c>
      <c r="G29" s="45">
        <f>SUM(D29:F29)</f>
        <v>-1529359</v>
      </c>
    </row>
    <row r="30" spans="1:8" s="40" customFormat="1" ht="30.75" hidden="1" customHeight="1" x14ac:dyDescent="0.3">
      <c r="B30" s="12" t="s">
        <v>78</v>
      </c>
      <c r="C30" s="12"/>
      <c r="D30" s="47">
        <v>0</v>
      </c>
      <c r="E30" s="47"/>
      <c r="F30" s="47"/>
      <c r="G30" s="47"/>
    </row>
    <row r="31" spans="1:8" s="40" customFormat="1" hidden="1" x14ac:dyDescent="0.3">
      <c r="B31" s="12" t="s">
        <v>80</v>
      </c>
      <c r="C31" s="12"/>
      <c r="D31" s="45">
        <f>SUM(D29:D30)</f>
        <v>0</v>
      </c>
      <c r="E31" s="45">
        <f>SUM(E29:E30)</f>
        <v>0</v>
      </c>
      <c r="F31" s="45">
        <f>SUM(F29:F30)</f>
        <v>-1529359</v>
      </c>
      <c r="G31" s="45">
        <f>SUM(G29:G30)</f>
        <v>-1529359</v>
      </c>
    </row>
    <row r="32" spans="1:8" s="40" customFormat="1" hidden="1" x14ac:dyDescent="0.3">
      <c r="B32" s="12"/>
      <c r="C32" s="12"/>
      <c r="D32" s="45"/>
      <c r="E32" s="45"/>
      <c r="F32" s="45"/>
      <c r="G32" s="45"/>
    </row>
    <row r="33" spans="2:8" s="40" customFormat="1" ht="22.5" hidden="1" customHeight="1" x14ac:dyDescent="0.3">
      <c r="B33" s="20" t="s">
        <v>86</v>
      </c>
      <c r="C33" s="20"/>
      <c r="D33" s="41">
        <f>D28</f>
        <v>23387466</v>
      </c>
      <c r="E33" s="41">
        <f>E28</f>
        <v>-28826450</v>
      </c>
      <c r="F33" s="41">
        <f>F28+F29</f>
        <v>-5084335</v>
      </c>
      <c r="G33" s="41">
        <f>D33+E33+F33</f>
        <v>-10523319</v>
      </c>
      <c r="H33" s="43"/>
    </row>
    <row r="34" spans="2:8" s="40" customFormat="1" ht="14.25" hidden="1" customHeight="1" x14ac:dyDescent="0.3">
      <c r="B34" s="12" t="s">
        <v>81</v>
      </c>
      <c r="C34" s="12"/>
      <c r="D34" s="45">
        <v>0</v>
      </c>
      <c r="E34" s="45">
        <v>0</v>
      </c>
      <c r="F34" s="45"/>
      <c r="G34" s="45">
        <f>SUM(D34:F34)</f>
        <v>0</v>
      </c>
    </row>
    <row r="35" spans="2:8" s="40" customFormat="1" ht="30.75" hidden="1" customHeight="1" x14ac:dyDescent="0.3">
      <c r="B35" s="12" t="s">
        <v>78</v>
      </c>
      <c r="C35" s="12"/>
      <c r="D35" s="47">
        <v>0</v>
      </c>
      <c r="E35" s="47">
        <v>2589630</v>
      </c>
      <c r="F35" s="47"/>
      <c r="G35" s="47"/>
    </row>
    <row r="36" spans="2:8" s="40" customFormat="1" ht="15" hidden="1" customHeight="1" x14ac:dyDescent="0.3">
      <c r="B36" s="12" t="s">
        <v>80</v>
      </c>
      <c r="C36" s="12"/>
      <c r="D36" s="45">
        <f>SUM(D34:D35)</f>
        <v>0</v>
      </c>
      <c r="E36" s="45"/>
      <c r="F36" s="45">
        <f>-5047293</f>
        <v>-5047293</v>
      </c>
      <c r="G36" s="45">
        <f>SUM(G34:G35)</f>
        <v>0</v>
      </c>
    </row>
    <row r="37" spans="2:8" s="40" customFormat="1" ht="10.5" hidden="1" customHeight="1" x14ac:dyDescent="0.3">
      <c r="B37" s="12"/>
      <c r="C37" s="12"/>
      <c r="D37" s="45"/>
      <c r="E37" s="45"/>
      <c r="F37" s="45"/>
      <c r="G37" s="45"/>
    </row>
    <row r="38" spans="2:8" s="123" customFormat="1" ht="18" hidden="1" customHeight="1" x14ac:dyDescent="0.3">
      <c r="B38" s="120" t="s">
        <v>89</v>
      </c>
      <c r="C38" s="120"/>
      <c r="D38" s="121">
        <f>SUM(D15,D36)</f>
        <v>23387466</v>
      </c>
      <c r="E38" s="121">
        <f>E33+E35</f>
        <v>-26236820</v>
      </c>
      <c r="F38" s="121">
        <f>F33+F36</f>
        <v>-10131628</v>
      </c>
      <c r="G38" s="121">
        <f>D38+E38+F38</f>
        <v>-12980982</v>
      </c>
      <c r="H38" s="122"/>
    </row>
    <row r="39" spans="2:8" s="123" customFormat="1" ht="23.4" hidden="1" customHeight="1" x14ac:dyDescent="0.3">
      <c r="B39" s="68" t="s">
        <v>81</v>
      </c>
      <c r="C39" s="68"/>
      <c r="D39" s="126">
        <v>0</v>
      </c>
      <c r="E39" s="126">
        <v>0</v>
      </c>
      <c r="F39" s="126"/>
      <c r="G39" s="126">
        <f>SUM(D39:F39)</f>
        <v>0</v>
      </c>
      <c r="H39" s="122"/>
    </row>
    <row r="40" spans="2:8" s="123" customFormat="1" ht="36.6" hidden="1" customHeight="1" x14ac:dyDescent="0.3">
      <c r="B40" s="68" t="s">
        <v>78</v>
      </c>
      <c r="C40" s="68"/>
      <c r="D40" s="127">
        <v>0</v>
      </c>
      <c r="E40" s="127">
        <v>5368526</v>
      </c>
      <c r="F40" s="127"/>
      <c r="G40" s="127"/>
      <c r="H40" s="122"/>
    </row>
    <row r="41" spans="2:8" s="123" customFormat="1" ht="18" hidden="1" customHeight="1" x14ac:dyDescent="0.3">
      <c r="B41" s="68" t="s">
        <v>80</v>
      </c>
      <c r="C41" s="68"/>
      <c r="D41" s="126">
        <f>SUM(D39:D40)</f>
        <v>0</v>
      </c>
      <c r="E41" s="126"/>
      <c r="F41" s="126">
        <f>-4264696</f>
        <v>-4264696</v>
      </c>
      <c r="G41" s="126">
        <f>SUM(G39:G40)</f>
        <v>0</v>
      </c>
      <c r="H41" s="122"/>
    </row>
    <row r="42" spans="2:8" s="123" customFormat="1" ht="18" hidden="1" customHeight="1" x14ac:dyDescent="0.3">
      <c r="B42" s="68"/>
      <c r="C42" s="68"/>
      <c r="D42" s="126"/>
      <c r="E42" s="126"/>
      <c r="F42" s="126"/>
      <c r="G42" s="126"/>
      <c r="H42" s="122"/>
    </row>
    <row r="43" spans="2:8" s="123" customFormat="1" ht="18" hidden="1" customHeight="1" x14ac:dyDescent="0.3">
      <c r="B43" s="120" t="s">
        <v>92</v>
      </c>
      <c r="C43" s="120"/>
      <c r="D43" s="121">
        <v>23387466</v>
      </c>
      <c r="E43" s="121">
        <f>E38+E40</f>
        <v>-20868294</v>
      </c>
      <c r="F43" s="121">
        <f>F38+F41</f>
        <v>-14396324</v>
      </c>
      <c r="G43" s="121">
        <f>D43+E43+F43</f>
        <v>-11877152</v>
      </c>
      <c r="H43" s="122"/>
    </row>
    <row r="44" spans="2:8" s="123" customFormat="1" ht="19.5" customHeight="1" x14ac:dyDescent="0.3">
      <c r="B44" s="124" t="s">
        <v>93</v>
      </c>
      <c r="C44" s="124"/>
      <c r="D44" s="126">
        <v>23387466</v>
      </c>
      <c r="E44" s="126">
        <f>E43</f>
        <v>-20868294</v>
      </c>
      <c r="F44" s="126">
        <f>F43</f>
        <v>-14396324</v>
      </c>
      <c r="G44" s="126">
        <f>G43</f>
        <v>-11877152</v>
      </c>
      <c r="H44" s="122"/>
    </row>
    <row r="45" spans="2:8" s="40" customFormat="1" ht="30" customHeight="1" x14ac:dyDescent="0.3">
      <c r="B45" s="68" t="s">
        <v>78</v>
      </c>
      <c r="C45" s="68"/>
      <c r="D45" s="127"/>
      <c r="E45" s="127">
        <f>E44-E43</f>
        <v>0</v>
      </c>
      <c r="F45" s="127"/>
      <c r="G45" s="127"/>
      <c r="H45" s="43"/>
    </row>
    <row r="46" spans="2:8" s="40" customFormat="1" ht="16.5" customHeight="1" x14ac:dyDescent="0.3">
      <c r="B46" s="68" t="s">
        <v>80</v>
      </c>
      <c r="C46" s="68"/>
      <c r="D46" s="126"/>
      <c r="E46" s="126"/>
      <c r="F46" s="126">
        <f>-3410450</f>
        <v>-3410450</v>
      </c>
      <c r="G46" s="126"/>
      <c r="H46" s="43"/>
    </row>
    <row r="47" spans="2:8" s="40" customFormat="1" x14ac:dyDescent="0.3">
      <c r="B47" s="68"/>
      <c r="C47" s="68"/>
      <c r="D47" s="126"/>
      <c r="E47" s="126"/>
      <c r="F47" s="126"/>
      <c r="G47" s="126"/>
      <c r="H47" s="43"/>
    </row>
    <row r="48" spans="2:8" s="40" customFormat="1" ht="18" customHeight="1" x14ac:dyDescent="0.3">
      <c r="B48" s="120" t="s">
        <v>99</v>
      </c>
      <c r="C48" s="120"/>
      <c r="D48" s="143">
        <f>D38</f>
        <v>23387466</v>
      </c>
      <c r="E48" s="143">
        <f>E44</f>
        <v>-20868294</v>
      </c>
      <c r="F48" s="143">
        <f>F44+F46</f>
        <v>-17806774</v>
      </c>
      <c r="G48" s="143">
        <f>D48+E48+F48</f>
        <v>-15287602</v>
      </c>
      <c r="H48" s="43"/>
    </row>
    <row r="49" spans="2:8" s="40" customFormat="1" x14ac:dyDescent="0.3">
      <c r="B49" s="16"/>
      <c r="C49" s="16"/>
      <c r="D49" s="44"/>
      <c r="E49" s="44"/>
      <c r="F49" s="44"/>
      <c r="G49" s="44"/>
      <c r="H49" s="42"/>
    </row>
    <row r="50" spans="2:8" s="40" customFormat="1" x14ac:dyDescent="0.3">
      <c r="B50" s="16"/>
      <c r="C50" s="16"/>
      <c r="D50" s="44"/>
      <c r="E50" s="44"/>
      <c r="F50" s="44"/>
      <c r="G50" s="44"/>
    </row>
    <row r="51" spans="2:8" s="40" customFormat="1" ht="15.75" customHeight="1" x14ac:dyDescent="0.3">
      <c r="B51" s="51" t="s">
        <v>15</v>
      </c>
      <c r="C51" s="23"/>
      <c r="D51" s="50"/>
      <c r="E51" s="1"/>
      <c r="F51" s="1"/>
      <c r="G51" s="1" t="s">
        <v>74</v>
      </c>
    </row>
    <row r="52" spans="2:8" s="40" customFormat="1" x14ac:dyDescent="0.3">
      <c r="B52" s="51"/>
      <c r="C52" s="23"/>
      <c r="D52" s="1"/>
      <c r="E52" s="1"/>
      <c r="F52" s="44"/>
      <c r="G52" s="1"/>
    </row>
    <row r="53" spans="2:8" s="40" customFormat="1" x14ac:dyDescent="0.3">
      <c r="B53" s="51"/>
      <c r="C53" s="23"/>
      <c r="D53" s="1"/>
      <c r="E53" s="1"/>
      <c r="F53" s="44"/>
      <c r="G53" s="1"/>
    </row>
    <row r="54" spans="2:8" s="40" customFormat="1" ht="18" customHeight="1" x14ac:dyDescent="0.3">
      <c r="B54" s="51" t="s">
        <v>16</v>
      </c>
      <c r="C54" s="23"/>
      <c r="D54" s="1"/>
      <c r="E54" s="1"/>
      <c r="F54" s="1"/>
      <c r="G54" s="1" t="s">
        <v>17</v>
      </c>
    </row>
    <row r="55" spans="2:8" s="40" customFormat="1" x14ac:dyDescent="0.3">
      <c r="B55" s="52"/>
      <c r="C55" s="16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 о движении денег</vt:lpstr>
      <vt:lpstr>Отч об изм в капитале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2024-08-14T11:34:51Z</cp:lastPrinted>
  <dcterms:created xsi:type="dcterms:W3CDTF">2020-11-13T09:40:50Z</dcterms:created>
  <dcterms:modified xsi:type="dcterms:W3CDTF">2024-08-14T11:35:10Z</dcterms:modified>
</cp:coreProperties>
</file>