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0309\Desktop\KASE\2025\01.01.2025\"/>
    </mc:Choice>
  </mc:AlternateContent>
  <xr:revisionPtr revIDLastSave="0" documentId="13_ncr:1_{7A6555DF-D174-4751-AB40-F11A0F4256B3}" xr6:coauthVersionLast="47" xr6:coauthVersionMax="47" xr10:uidLastSave="{00000000-0000-0000-0000-000000000000}"/>
  <bookViews>
    <workbookView xWindow="-120" yWindow="-120" windowWidth="29040" windowHeight="15720" xr2:uid="{A53882DE-A690-45A1-9F31-FBD962234FD7}"/>
  </bookViews>
  <sheets>
    <sheet name="VREP_700_ND_RESPONDENTundefined" sheetId="1" r:id="rId1"/>
  </sheets>
  <definedNames>
    <definedName name="_xlnm._FilterDatabase" localSheetId="0" hidden="1">VREP_700_ND_RESPONDENTundefined!$A$2:$I$216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E69" i="1"/>
  <c r="F69" i="1"/>
  <c r="G69" i="1"/>
  <c r="H69" i="1"/>
  <c r="D67" i="1"/>
  <c r="E67" i="1"/>
  <c r="F67" i="1"/>
  <c r="G67" i="1"/>
  <c r="H67" i="1"/>
  <c r="D55" i="1"/>
  <c r="E55" i="1"/>
  <c r="F55" i="1"/>
  <c r="G55" i="1"/>
  <c r="H55" i="1"/>
  <c r="D68" i="1"/>
  <c r="E68" i="1"/>
  <c r="F68" i="1"/>
  <c r="G68" i="1"/>
  <c r="H68" i="1"/>
  <c r="D70" i="1"/>
  <c r="E70" i="1"/>
  <c r="F70" i="1"/>
  <c r="G70" i="1"/>
  <c r="H70" i="1"/>
  <c r="D31" i="1"/>
  <c r="E31" i="1"/>
  <c r="F31" i="1"/>
  <c r="G31" i="1"/>
  <c r="H31" i="1"/>
  <c r="D71" i="1"/>
  <c r="E71" i="1"/>
  <c r="F71" i="1"/>
  <c r="G71" i="1"/>
  <c r="H71" i="1"/>
  <c r="D3" i="1"/>
  <c r="E3" i="1"/>
  <c r="F3" i="1"/>
  <c r="G3" i="1"/>
  <c r="H3" i="1"/>
  <c r="D72" i="1"/>
  <c r="E72" i="1"/>
  <c r="F72" i="1"/>
  <c r="G72" i="1"/>
  <c r="H72" i="1"/>
  <c r="D73" i="1"/>
  <c r="E73" i="1"/>
  <c r="F73" i="1"/>
  <c r="G73" i="1"/>
  <c r="H73" i="1"/>
  <c r="D25" i="1"/>
  <c r="E25" i="1"/>
  <c r="F25" i="1"/>
  <c r="G25" i="1"/>
  <c r="H25" i="1"/>
  <c r="D50" i="1"/>
  <c r="E50" i="1"/>
  <c r="F50" i="1"/>
  <c r="G50" i="1"/>
  <c r="H50" i="1"/>
  <c r="D84" i="1"/>
  <c r="E84" i="1"/>
  <c r="F84" i="1"/>
  <c r="G84" i="1"/>
  <c r="H84" i="1"/>
  <c r="D30" i="1"/>
  <c r="E30" i="1"/>
  <c r="F30" i="1"/>
  <c r="G30" i="1"/>
  <c r="H30" i="1"/>
  <c r="D63" i="1"/>
  <c r="E63" i="1"/>
  <c r="F63" i="1"/>
  <c r="G63" i="1"/>
  <c r="H63" i="1"/>
  <c r="D74" i="1"/>
  <c r="E74" i="1"/>
  <c r="F74" i="1"/>
  <c r="G74" i="1"/>
  <c r="H74" i="1"/>
  <c r="D26" i="1"/>
  <c r="E26" i="1"/>
  <c r="F26" i="1"/>
  <c r="G26" i="1"/>
  <c r="H26" i="1"/>
  <c r="D17" i="1"/>
  <c r="E17" i="1"/>
  <c r="F17" i="1"/>
  <c r="G17" i="1"/>
  <c r="H17" i="1"/>
  <c r="D4" i="1"/>
  <c r="E4" i="1"/>
  <c r="F4" i="1"/>
  <c r="G4" i="1"/>
  <c r="H4" i="1"/>
  <c r="D8" i="1"/>
  <c r="E8" i="1"/>
  <c r="F8" i="1"/>
  <c r="G8" i="1"/>
  <c r="H8" i="1"/>
  <c r="D9" i="1"/>
  <c r="E9" i="1"/>
  <c r="F9" i="1"/>
  <c r="G9" i="1"/>
  <c r="H9" i="1"/>
  <c r="D29" i="1"/>
  <c r="E29" i="1"/>
  <c r="F29" i="1"/>
  <c r="G29" i="1"/>
  <c r="H29" i="1"/>
  <c r="D75" i="1"/>
  <c r="E75" i="1"/>
  <c r="F75" i="1"/>
  <c r="G75" i="1"/>
  <c r="H75" i="1"/>
  <c r="D76" i="1"/>
  <c r="E76" i="1"/>
  <c r="F76" i="1"/>
  <c r="G76" i="1"/>
  <c r="H76" i="1"/>
  <c r="D16" i="1"/>
  <c r="E16" i="1"/>
  <c r="F16" i="1"/>
  <c r="G16" i="1"/>
  <c r="H16" i="1"/>
  <c r="D61" i="1"/>
  <c r="E61" i="1"/>
  <c r="F61" i="1"/>
  <c r="G61" i="1"/>
  <c r="H61" i="1"/>
  <c r="D22" i="1"/>
  <c r="E22" i="1"/>
  <c r="F22" i="1"/>
  <c r="G22" i="1"/>
  <c r="H22" i="1"/>
  <c r="D47" i="1"/>
  <c r="E47" i="1"/>
  <c r="F47" i="1"/>
  <c r="G47" i="1"/>
  <c r="H47" i="1"/>
  <c r="D48" i="1"/>
  <c r="E48" i="1"/>
  <c r="F48" i="1"/>
  <c r="G48" i="1"/>
  <c r="H48" i="1"/>
  <c r="D77" i="1"/>
  <c r="E77" i="1"/>
  <c r="F77" i="1"/>
  <c r="G77" i="1"/>
  <c r="H77" i="1"/>
  <c r="D10" i="1"/>
  <c r="E10" i="1"/>
  <c r="F10" i="1"/>
  <c r="G10" i="1"/>
  <c r="H10" i="1"/>
  <c r="D64" i="1"/>
  <c r="E64" i="1"/>
  <c r="F64" i="1"/>
  <c r="G64" i="1"/>
  <c r="H64" i="1"/>
  <c r="D56" i="1"/>
  <c r="E56" i="1"/>
  <c r="F56" i="1"/>
  <c r="G56" i="1"/>
  <c r="H56" i="1"/>
  <c r="D78" i="1"/>
  <c r="E78" i="1"/>
  <c r="F78" i="1"/>
  <c r="G78" i="1"/>
  <c r="H78" i="1"/>
  <c r="D79" i="1"/>
  <c r="E79" i="1"/>
  <c r="F79" i="1"/>
  <c r="G79" i="1"/>
  <c r="H79" i="1"/>
  <c r="D18" i="1"/>
  <c r="E18" i="1"/>
  <c r="F18" i="1"/>
  <c r="G18" i="1"/>
  <c r="H18" i="1"/>
  <c r="D49" i="1"/>
  <c r="E49" i="1"/>
  <c r="F49" i="1"/>
  <c r="G49" i="1"/>
  <c r="H49" i="1"/>
  <c r="D23" i="1"/>
  <c r="E23" i="1"/>
  <c r="F23" i="1"/>
  <c r="G23" i="1"/>
  <c r="H23" i="1"/>
  <c r="D54" i="1"/>
  <c r="E54" i="1"/>
  <c r="F54" i="1"/>
  <c r="G54" i="1"/>
  <c r="H54" i="1"/>
  <c r="D24" i="1"/>
  <c r="E24" i="1"/>
  <c r="F24" i="1"/>
  <c r="G24" i="1"/>
  <c r="H24" i="1"/>
  <c r="D85" i="1"/>
  <c r="E85" i="1"/>
  <c r="F85" i="1"/>
  <c r="G85" i="1"/>
  <c r="H85" i="1"/>
  <c r="D5" i="1"/>
  <c r="E5" i="1"/>
  <c r="F5" i="1"/>
  <c r="G5" i="1"/>
  <c r="H5" i="1"/>
  <c r="D57" i="1"/>
  <c r="E57" i="1"/>
  <c r="F57" i="1"/>
  <c r="G57" i="1"/>
  <c r="H57" i="1"/>
  <c r="D58" i="1"/>
  <c r="E58" i="1"/>
  <c r="F58" i="1"/>
  <c r="G58" i="1"/>
  <c r="H58" i="1"/>
  <c r="D80" i="1"/>
  <c r="E80" i="1"/>
  <c r="F80" i="1"/>
  <c r="G80" i="1"/>
  <c r="H80" i="1"/>
  <c r="D19" i="1"/>
  <c r="E19" i="1"/>
  <c r="F19" i="1"/>
  <c r="G19" i="1"/>
  <c r="H19" i="1"/>
  <c r="D27" i="1"/>
  <c r="E27" i="1"/>
  <c r="F27" i="1"/>
  <c r="G27" i="1"/>
  <c r="H27" i="1"/>
  <c r="D52" i="1"/>
  <c r="E52" i="1"/>
  <c r="F52" i="1"/>
  <c r="G52" i="1"/>
  <c r="H52" i="1"/>
  <c r="D81" i="1"/>
  <c r="E81" i="1"/>
  <c r="F81" i="1"/>
  <c r="G81" i="1"/>
  <c r="H81" i="1"/>
  <c r="D82" i="1"/>
  <c r="E82" i="1"/>
  <c r="F82" i="1"/>
  <c r="G82" i="1"/>
  <c r="H82" i="1"/>
  <c r="D62" i="1"/>
  <c r="E62" i="1"/>
  <c r="F62" i="1"/>
  <c r="G62" i="1"/>
  <c r="H62" i="1"/>
  <c r="D86" i="1"/>
  <c r="E86" i="1"/>
  <c r="F86" i="1"/>
  <c r="G86" i="1"/>
  <c r="H86" i="1"/>
  <c r="D83" i="1"/>
  <c r="E83" i="1"/>
  <c r="F83" i="1"/>
  <c r="G83" i="1"/>
  <c r="H83" i="1"/>
  <c r="D87" i="1"/>
  <c r="E87" i="1"/>
  <c r="F87" i="1"/>
  <c r="G87" i="1"/>
  <c r="H87" i="1"/>
  <c r="D59" i="1"/>
  <c r="E59" i="1"/>
  <c r="F59" i="1"/>
  <c r="G59" i="1"/>
  <c r="H59" i="1"/>
  <c r="D92" i="1"/>
  <c r="E92" i="1"/>
  <c r="F92" i="1"/>
  <c r="G92" i="1"/>
  <c r="H92" i="1"/>
  <c r="D90" i="1"/>
  <c r="E90" i="1"/>
  <c r="F90" i="1"/>
  <c r="G90" i="1"/>
  <c r="H90" i="1"/>
  <c r="D20" i="1"/>
  <c r="E20" i="1"/>
  <c r="F20" i="1"/>
  <c r="G20" i="1"/>
  <c r="H20" i="1"/>
  <c r="D88" i="1"/>
  <c r="E88" i="1"/>
  <c r="F88" i="1"/>
  <c r="G88" i="1"/>
  <c r="H88" i="1"/>
  <c r="D91" i="1"/>
  <c r="E91" i="1"/>
  <c r="F91" i="1"/>
  <c r="G91" i="1"/>
  <c r="H91" i="1"/>
  <c r="D12" i="1"/>
  <c r="E12" i="1"/>
  <c r="F12" i="1"/>
  <c r="G12" i="1"/>
  <c r="H12" i="1"/>
  <c r="D13" i="1"/>
  <c r="E13" i="1"/>
  <c r="F13" i="1"/>
  <c r="G13" i="1"/>
  <c r="H13" i="1"/>
  <c r="D21" i="1"/>
  <c r="E21" i="1"/>
  <c r="F21" i="1"/>
  <c r="G21" i="1"/>
  <c r="H21" i="1"/>
  <c r="D99" i="1"/>
  <c r="E99" i="1"/>
  <c r="F99" i="1"/>
  <c r="G99" i="1"/>
  <c r="H99" i="1"/>
  <c r="D100" i="1"/>
  <c r="E100" i="1"/>
  <c r="F100" i="1"/>
  <c r="G100" i="1"/>
  <c r="H100" i="1"/>
  <c r="D14" i="1"/>
  <c r="E14" i="1"/>
  <c r="F14" i="1"/>
  <c r="G14" i="1"/>
  <c r="H14" i="1"/>
  <c r="D101" i="1"/>
  <c r="E101" i="1"/>
  <c r="F101" i="1"/>
  <c r="G101" i="1"/>
  <c r="H101" i="1"/>
  <c r="D102" i="1"/>
  <c r="E102" i="1"/>
  <c r="F102" i="1"/>
  <c r="G102" i="1"/>
  <c r="H102" i="1"/>
  <c r="D11" i="1"/>
  <c r="E11" i="1"/>
  <c r="F11" i="1"/>
  <c r="G11" i="1"/>
  <c r="H11" i="1"/>
  <c r="D93" i="1"/>
  <c r="E93" i="1"/>
  <c r="F93" i="1"/>
  <c r="G93" i="1"/>
  <c r="H93" i="1"/>
  <c r="D103" i="1"/>
  <c r="E103" i="1"/>
  <c r="F103" i="1"/>
  <c r="G103" i="1"/>
  <c r="H10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65" i="1"/>
  <c r="E65" i="1"/>
  <c r="F65" i="1"/>
  <c r="G65" i="1"/>
  <c r="H65" i="1"/>
  <c r="D15" i="1"/>
  <c r="E15" i="1"/>
  <c r="F15" i="1"/>
  <c r="G15" i="1"/>
  <c r="H15" i="1"/>
  <c r="D6" i="1"/>
  <c r="E6" i="1"/>
  <c r="F6" i="1"/>
  <c r="G6" i="1"/>
  <c r="H6" i="1"/>
  <c r="D97" i="1"/>
  <c r="E97" i="1"/>
  <c r="F97" i="1"/>
  <c r="G97" i="1"/>
  <c r="H97" i="1"/>
  <c r="D107" i="1"/>
  <c r="E107" i="1"/>
  <c r="F107" i="1"/>
  <c r="G107" i="1"/>
  <c r="H107" i="1"/>
  <c r="D104" i="1"/>
  <c r="E104" i="1"/>
  <c r="F104" i="1"/>
  <c r="G104" i="1"/>
  <c r="H104" i="1"/>
  <c r="D106" i="1"/>
  <c r="E106" i="1"/>
  <c r="F106" i="1"/>
  <c r="G106" i="1"/>
  <c r="H106" i="1"/>
  <c r="D98" i="1"/>
  <c r="E98" i="1"/>
  <c r="F98" i="1"/>
  <c r="G98" i="1"/>
  <c r="H98" i="1"/>
  <c r="D105" i="1"/>
  <c r="E105" i="1"/>
  <c r="F105" i="1"/>
  <c r="G105" i="1"/>
  <c r="H105" i="1"/>
  <c r="D111" i="1"/>
  <c r="E111" i="1"/>
  <c r="F111" i="1"/>
  <c r="G111" i="1"/>
  <c r="H111" i="1"/>
  <c r="D89" i="1"/>
  <c r="E89" i="1"/>
  <c r="F89" i="1"/>
  <c r="G89" i="1"/>
  <c r="H89" i="1"/>
  <c r="D108" i="1"/>
  <c r="E108" i="1"/>
  <c r="F108" i="1"/>
  <c r="G108" i="1"/>
  <c r="H108" i="1"/>
  <c r="D112" i="1"/>
  <c r="E112" i="1"/>
  <c r="F112" i="1"/>
  <c r="G112" i="1"/>
  <c r="H112" i="1"/>
  <c r="D122" i="1"/>
  <c r="E122" i="1"/>
  <c r="F122" i="1"/>
  <c r="G122" i="1"/>
  <c r="H122" i="1"/>
  <c r="D113" i="1"/>
  <c r="E113" i="1"/>
  <c r="F113" i="1"/>
  <c r="G113" i="1"/>
  <c r="H113" i="1"/>
  <c r="D66" i="1"/>
  <c r="E66" i="1"/>
  <c r="F66" i="1"/>
  <c r="G66" i="1"/>
  <c r="H66" i="1"/>
  <c r="D7" i="1"/>
  <c r="E7" i="1"/>
  <c r="F7" i="1"/>
  <c r="G7" i="1"/>
  <c r="H7" i="1"/>
  <c r="D119" i="1"/>
  <c r="E119" i="1"/>
  <c r="F119" i="1"/>
  <c r="G119" i="1"/>
  <c r="H119" i="1"/>
  <c r="D123" i="1"/>
  <c r="E123" i="1"/>
  <c r="F123" i="1"/>
  <c r="G123" i="1"/>
  <c r="H123" i="1"/>
  <c r="D124" i="1"/>
  <c r="E124" i="1"/>
  <c r="F124" i="1"/>
  <c r="G124" i="1"/>
  <c r="H124" i="1"/>
  <c r="D171" i="1"/>
  <c r="E171" i="1"/>
  <c r="F171" i="1"/>
  <c r="G171" i="1"/>
  <c r="H171" i="1"/>
  <c r="D46" i="1"/>
  <c r="E46" i="1"/>
  <c r="F46" i="1"/>
  <c r="G46" i="1"/>
  <c r="H46" i="1"/>
  <c r="D128" i="1"/>
  <c r="E128" i="1"/>
  <c r="F128" i="1"/>
  <c r="G128" i="1"/>
  <c r="H128" i="1"/>
  <c r="D129" i="1"/>
  <c r="E129" i="1"/>
  <c r="F129" i="1"/>
  <c r="G129" i="1"/>
  <c r="H129" i="1"/>
  <c r="D125" i="1"/>
  <c r="E125" i="1"/>
  <c r="F125" i="1"/>
  <c r="G125" i="1"/>
  <c r="H125" i="1"/>
  <c r="D139" i="1"/>
  <c r="E139" i="1"/>
  <c r="F139" i="1"/>
  <c r="G139" i="1"/>
  <c r="H139" i="1"/>
  <c r="D206" i="1"/>
  <c r="E206" i="1"/>
  <c r="F206" i="1"/>
  <c r="G206" i="1"/>
  <c r="H206" i="1"/>
  <c r="D172" i="1"/>
  <c r="E172" i="1"/>
  <c r="F172" i="1"/>
  <c r="G172" i="1"/>
  <c r="H172" i="1"/>
  <c r="D126" i="1"/>
  <c r="E126" i="1"/>
  <c r="F126" i="1"/>
  <c r="G126" i="1"/>
  <c r="H126" i="1"/>
  <c r="D207" i="1"/>
  <c r="E207" i="1"/>
  <c r="F207" i="1"/>
  <c r="G207" i="1"/>
  <c r="H207" i="1"/>
  <c r="D109" i="1"/>
  <c r="E109" i="1"/>
  <c r="F109" i="1"/>
  <c r="G109" i="1"/>
  <c r="H109" i="1"/>
  <c r="D140" i="1"/>
  <c r="E140" i="1"/>
  <c r="F140" i="1"/>
  <c r="G140" i="1"/>
  <c r="H140" i="1"/>
  <c r="D141" i="1"/>
  <c r="E141" i="1"/>
  <c r="F141" i="1"/>
  <c r="G141" i="1"/>
  <c r="H141" i="1"/>
  <c r="D130" i="1"/>
  <c r="E130" i="1"/>
  <c r="F130" i="1"/>
  <c r="G130" i="1"/>
  <c r="H130" i="1"/>
  <c r="D211" i="1"/>
  <c r="E211" i="1"/>
  <c r="F211" i="1"/>
  <c r="G211" i="1"/>
  <c r="H211" i="1"/>
  <c r="D147" i="1"/>
  <c r="E147" i="1"/>
  <c r="F147" i="1"/>
  <c r="G147" i="1"/>
  <c r="H147" i="1"/>
  <c r="D150" i="1"/>
  <c r="E150" i="1"/>
  <c r="F150" i="1"/>
  <c r="G150" i="1"/>
  <c r="H150" i="1"/>
  <c r="D28" i="1"/>
  <c r="E28" i="1"/>
  <c r="F28" i="1"/>
  <c r="G28" i="1"/>
  <c r="H28" i="1"/>
  <c r="D127" i="1"/>
  <c r="E127" i="1"/>
  <c r="F127" i="1"/>
  <c r="G127" i="1"/>
  <c r="H127" i="1"/>
  <c r="D144" i="1"/>
  <c r="E144" i="1"/>
  <c r="F144" i="1"/>
  <c r="G144" i="1"/>
  <c r="H144" i="1"/>
  <c r="D210" i="1"/>
  <c r="E210" i="1"/>
  <c r="F210" i="1"/>
  <c r="G210" i="1"/>
  <c r="H210" i="1"/>
  <c r="D143" i="1"/>
  <c r="E143" i="1"/>
  <c r="F143" i="1"/>
  <c r="G143" i="1"/>
  <c r="H143" i="1"/>
  <c r="D32" i="1"/>
  <c r="E32" i="1"/>
  <c r="F32" i="1"/>
  <c r="G32" i="1"/>
  <c r="H32" i="1"/>
  <c r="D146" i="1"/>
  <c r="E146" i="1"/>
  <c r="F146" i="1"/>
  <c r="G146" i="1"/>
  <c r="H146" i="1"/>
  <c r="D60" i="1"/>
  <c r="E60" i="1"/>
  <c r="F60" i="1"/>
  <c r="G60" i="1"/>
  <c r="H60" i="1"/>
  <c r="D33" i="1"/>
  <c r="E33" i="1"/>
  <c r="F33" i="1"/>
  <c r="G33" i="1"/>
  <c r="H33" i="1"/>
  <c r="D142" i="1"/>
  <c r="E142" i="1"/>
  <c r="F142" i="1"/>
  <c r="G142" i="1"/>
  <c r="H142" i="1"/>
  <c r="D40" i="1"/>
  <c r="E40" i="1"/>
  <c r="F40" i="1"/>
  <c r="G40" i="1"/>
  <c r="H40" i="1"/>
  <c r="D35" i="1"/>
  <c r="E35" i="1"/>
  <c r="F35" i="1"/>
  <c r="G35" i="1"/>
  <c r="H35" i="1"/>
  <c r="D120" i="1"/>
  <c r="E120" i="1"/>
  <c r="F120" i="1"/>
  <c r="G120" i="1"/>
  <c r="H120" i="1"/>
  <c r="D145" i="1"/>
  <c r="E145" i="1"/>
  <c r="F145" i="1"/>
  <c r="G145" i="1"/>
  <c r="H145" i="1"/>
  <c r="D209" i="1"/>
  <c r="E209" i="1"/>
  <c r="F209" i="1"/>
  <c r="G209" i="1"/>
  <c r="H209" i="1"/>
  <c r="D37" i="1"/>
  <c r="E37" i="1"/>
  <c r="F37" i="1"/>
  <c r="G37" i="1"/>
  <c r="H37" i="1"/>
  <c r="D38" i="1"/>
  <c r="E38" i="1"/>
  <c r="F38" i="1"/>
  <c r="G38" i="1"/>
  <c r="H38" i="1"/>
  <c r="D36" i="1"/>
  <c r="E36" i="1"/>
  <c r="F36" i="1"/>
  <c r="G36" i="1"/>
  <c r="H36" i="1"/>
  <c r="D42" i="1"/>
  <c r="E42" i="1"/>
  <c r="F42" i="1"/>
  <c r="G42" i="1"/>
  <c r="H42" i="1"/>
  <c r="D43" i="1"/>
  <c r="E43" i="1"/>
  <c r="F43" i="1"/>
  <c r="G43" i="1"/>
  <c r="H43" i="1"/>
  <c r="D151" i="1"/>
  <c r="E151" i="1"/>
  <c r="F151" i="1"/>
  <c r="G151" i="1"/>
  <c r="H151" i="1"/>
  <c r="D34" i="1"/>
  <c r="E34" i="1"/>
  <c r="F34" i="1"/>
  <c r="G34" i="1"/>
  <c r="H34" i="1"/>
  <c r="D154" i="1"/>
  <c r="E154" i="1"/>
  <c r="F154" i="1"/>
  <c r="G154" i="1"/>
  <c r="H154" i="1"/>
  <c r="D118" i="1"/>
  <c r="E118" i="1"/>
  <c r="F118" i="1"/>
  <c r="G118" i="1"/>
  <c r="H118" i="1"/>
  <c r="D153" i="1"/>
  <c r="E153" i="1"/>
  <c r="F153" i="1"/>
  <c r="G153" i="1"/>
  <c r="H153" i="1"/>
  <c r="D155" i="1"/>
  <c r="E155" i="1"/>
  <c r="F155" i="1"/>
  <c r="G155" i="1"/>
  <c r="H155" i="1"/>
  <c r="D205" i="1"/>
  <c r="E205" i="1"/>
  <c r="F205" i="1"/>
  <c r="G205" i="1"/>
  <c r="H205" i="1"/>
  <c r="D212" i="1"/>
  <c r="E212" i="1"/>
  <c r="F212" i="1"/>
  <c r="G212" i="1"/>
  <c r="H212" i="1"/>
  <c r="D157" i="1"/>
  <c r="E157" i="1"/>
  <c r="F157" i="1"/>
  <c r="G157" i="1"/>
  <c r="H157" i="1"/>
  <c r="D213" i="1"/>
  <c r="E213" i="1"/>
  <c r="F213" i="1"/>
  <c r="G213" i="1"/>
  <c r="H213" i="1"/>
  <c r="D152" i="1"/>
  <c r="E152" i="1"/>
  <c r="F152" i="1"/>
  <c r="G152" i="1"/>
  <c r="H152" i="1"/>
  <c r="D208" i="1"/>
  <c r="E208" i="1"/>
  <c r="F208" i="1"/>
  <c r="G208" i="1"/>
  <c r="H208" i="1"/>
  <c r="D214" i="1"/>
  <c r="E214" i="1"/>
  <c r="F214" i="1"/>
  <c r="G214" i="1"/>
  <c r="H214" i="1"/>
  <c r="D215" i="1"/>
  <c r="E215" i="1"/>
  <c r="F215" i="1"/>
  <c r="G215" i="1"/>
  <c r="H215" i="1"/>
  <c r="D149" i="1"/>
  <c r="E149" i="1"/>
  <c r="F149" i="1"/>
  <c r="G149" i="1"/>
  <c r="H149" i="1"/>
  <c r="D136" i="1"/>
  <c r="E136" i="1"/>
  <c r="F136" i="1"/>
  <c r="G136" i="1"/>
  <c r="H136" i="1"/>
  <c r="D134" i="1"/>
  <c r="E134" i="1"/>
  <c r="F134" i="1"/>
  <c r="G134" i="1"/>
  <c r="H134" i="1"/>
  <c r="D51" i="1"/>
  <c r="E51" i="1"/>
  <c r="F51" i="1"/>
  <c r="G51" i="1"/>
  <c r="H51" i="1"/>
  <c r="D132" i="1"/>
  <c r="E132" i="1"/>
  <c r="F132" i="1"/>
  <c r="G132" i="1"/>
  <c r="H132" i="1"/>
  <c r="D133" i="1"/>
  <c r="E133" i="1"/>
  <c r="F133" i="1"/>
  <c r="G133" i="1"/>
  <c r="H133" i="1"/>
  <c r="D53" i="1"/>
  <c r="E53" i="1"/>
  <c r="F53" i="1"/>
  <c r="G53" i="1"/>
  <c r="H53" i="1"/>
  <c r="D41" i="1"/>
  <c r="E41" i="1"/>
  <c r="F41" i="1"/>
  <c r="G41" i="1"/>
  <c r="H41" i="1"/>
  <c r="D173" i="1"/>
  <c r="E173" i="1"/>
  <c r="F173" i="1"/>
  <c r="G173" i="1"/>
  <c r="H173" i="1"/>
  <c r="D216" i="1"/>
  <c r="E216" i="1"/>
  <c r="F216" i="1"/>
  <c r="G216" i="1"/>
  <c r="H216" i="1"/>
  <c r="D138" i="1"/>
  <c r="E138" i="1"/>
  <c r="F138" i="1"/>
  <c r="G138" i="1"/>
  <c r="H138" i="1"/>
  <c r="D45" i="1"/>
  <c r="E45" i="1"/>
  <c r="F45" i="1"/>
  <c r="G45" i="1"/>
  <c r="H45" i="1"/>
  <c r="D137" i="1"/>
  <c r="E137" i="1"/>
  <c r="F137" i="1"/>
  <c r="G137" i="1"/>
  <c r="H137" i="1"/>
  <c r="D39" i="1"/>
  <c r="E39" i="1"/>
  <c r="F39" i="1"/>
  <c r="G39" i="1"/>
  <c r="H39" i="1"/>
  <c r="D158" i="1"/>
  <c r="E158" i="1"/>
  <c r="F158" i="1"/>
  <c r="G158" i="1"/>
  <c r="H158" i="1"/>
  <c r="D131" i="1"/>
  <c r="E131" i="1"/>
  <c r="F131" i="1"/>
  <c r="G131" i="1"/>
  <c r="H131" i="1"/>
  <c r="D175" i="1"/>
  <c r="E175" i="1"/>
  <c r="F175" i="1"/>
  <c r="G175" i="1"/>
  <c r="H175" i="1"/>
  <c r="D178" i="1"/>
  <c r="E178" i="1"/>
  <c r="F178" i="1"/>
  <c r="G178" i="1"/>
  <c r="H178" i="1"/>
  <c r="D177" i="1"/>
  <c r="E177" i="1"/>
  <c r="F177" i="1"/>
  <c r="G177" i="1"/>
  <c r="H177" i="1"/>
  <c r="D160" i="1"/>
  <c r="E160" i="1"/>
  <c r="F160" i="1"/>
  <c r="G160" i="1"/>
  <c r="H160" i="1"/>
  <c r="D176" i="1"/>
  <c r="E176" i="1"/>
  <c r="F176" i="1"/>
  <c r="G176" i="1"/>
  <c r="H176" i="1"/>
  <c r="D161" i="1"/>
  <c r="E161" i="1"/>
  <c r="F161" i="1"/>
  <c r="G161" i="1"/>
  <c r="H161" i="1"/>
  <c r="D181" i="1"/>
  <c r="E181" i="1"/>
  <c r="F181" i="1"/>
  <c r="G181" i="1"/>
  <c r="H181" i="1"/>
  <c r="D162" i="1"/>
  <c r="E162" i="1"/>
  <c r="F162" i="1"/>
  <c r="G162" i="1"/>
  <c r="H162" i="1"/>
  <c r="D183" i="1"/>
  <c r="E183" i="1"/>
  <c r="F183" i="1"/>
  <c r="G183" i="1"/>
  <c r="H183" i="1"/>
  <c r="D185" i="1"/>
  <c r="E185" i="1"/>
  <c r="F185" i="1"/>
  <c r="G185" i="1"/>
  <c r="H185" i="1"/>
  <c r="D186" i="1"/>
  <c r="E186" i="1"/>
  <c r="F186" i="1"/>
  <c r="G186" i="1"/>
  <c r="H186" i="1"/>
  <c r="D180" i="1"/>
  <c r="E180" i="1"/>
  <c r="F180" i="1"/>
  <c r="G180" i="1"/>
  <c r="H180" i="1"/>
  <c r="D188" i="1"/>
  <c r="E188" i="1"/>
  <c r="F188" i="1"/>
  <c r="G188" i="1"/>
  <c r="H188" i="1"/>
  <c r="D164" i="1"/>
  <c r="E164" i="1"/>
  <c r="F164" i="1"/>
  <c r="G164" i="1"/>
  <c r="H164" i="1"/>
  <c r="D179" i="1"/>
  <c r="E179" i="1"/>
  <c r="F179" i="1"/>
  <c r="G179" i="1"/>
  <c r="H179" i="1"/>
  <c r="D135" i="1"/>
  <c r="E135" i="1"/>
  <c r="F135" i="1"/>
  <c r="G135" i="1"/>
  <c r="H135" i="1"/>
  <c r="D191" i="1"/>
  <c r="E191" i="1"/>
  <c r="F191" i="1"/>
  <c r="G191" i="1"/>
  <c r="H191" i="1"/>
  <c r="D174" i="1"/>
  <c r="E174" i="1"/>
  <c r="F174" i="1"/>
  <c r="G174" i="1"/>
  <c r="H174" i="1"/>
  <c r="D190" i="1"/>
  <c r="E190" i="1"/>
  <c r="F190" i="1"/>
  <c r="G190" i="1"/>
  <c r="H190" i="1"/>
  <c r="D167" i="1"/>
  <c r="E167" i="1"/>
  <c r="F167" i="1"/>
  <c r="G167" i="1"/>
  <c r="H167" i="1"/>
  <c r="D166" i="1"/>
  <c r="E166" i="1"/>
  <c r="F166" i="1"/>
  <c r="G166" i="1"/>
  <c r="H166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99" i="1"/>
  <c r="E199" i="1"/>
  <c r="F199" i="1"/>
  <c r="G199" i="1"/>
  <c r="H199" i="1"/>
  <c r="D182" i="1"/>
  <c r="E182" i="1"/>
  <c r="F182" i="1"/>
  <c r="G182" i="1"/>
  <c r="H182" i="1"/>
  <c r="D168" i="1"/>
  <c r="E168" i="1"/>
  <c r="F168" i="1"/>
  <c r="G168" i="1"/>
  <c r="H168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4" i="1"/>
  <c r="E204" i="1"/>
  <c r="F204" i="1"/>
  <c r="G204" i="1"/>
  <c r="H204" i="1"/>
  <c r="D44" i="1"/>
  <c r="E44" i="1"/>
  <c r="F44" i="1"/>
  <c r="G44" i="1"/>
  <c r="H44" i="1"/>
  <c r="D203" i="1"/>
  <c r="E203" i="1"/>
  <c r="F203" i="1"/>
  <c r="G203" i="1"/>
  <c r="H203" i="1"/>
  <c r="D195" i="1"/>
  <c r="E195" i="1"/>
  <c r="F195" i="1"/>
  <c r="G195" i="1"/>
  <c r="H195" i="1"/>
  <c r="D196" i="1"/>
  <c r="E196" i="1"/>
  <c r="F196" i="1"/>
  <c r="G196" i="1"/>
  <c r="H196" i="1"/>
  <c r="D187" i="1"/>
  <c r="E187" i="1"/>
  <c r="F187" i="1"/>
  <c r="G187" i="1"/>
  <c r="H187" i="1"/>
  <c r="D169" i="1"/>
  <c r="E169" i="1"/>
  <c r="F169" i="1"/>
  <c r="G169" i="1"/>
  <c r="H169" i="1"/>
  <c r="D184" i="1"/>
  <c r="E184" i="1"/>
  <c r="F184" i="1"/>
  <c r="G184" i="1"/>
  <c r="H184" i="1"/>
  <c r="D159" i="1"/>
  <c r="E159" i="1"/>
  <c r="F159" i="1"/>
  <c r="G159" i="1"/>
  <c r="H159" i="1"/>
  <c r="D198" i="1"/>
  <c r="E198" i="1"/>
  <c r="F198" i="1"/>
  <c r="G198" i="1"/>
  <c r="H198" i="1"/>
  <c r="D170" i="1"/>
  <c r="E170" i="1"/>
  <c r="F170" i="1"/>
  <c r="G170" i="1"/>
  <c r="H170" i="1"/>
  <c r="D117" i="1"/>
  <c r="E117" i="1"/>
  <c r="F117" i="1"/>
  <c r="G117" i="1"/>
  <c r="H117" i="1"/>
  <c r="D121" i="1"/>
  <c r="E121" i="1"/>
  <c r="F121" i="1"/>
  <c r="G121" i="1"/>
  <c r="H121" i="1"/>
  <c r="D192" i="1"/>
  <c r="E192" i="1"/>
  <c r="F192" i="1"/>
  <c r="G192" i="1"/>
  <c r="H192" i="1"/>
  <c r="D197" i="1"/>
  <c r="E197" i="1"/>
  <c r="F197" i="1"/>
  <c r="G197" i="1"/>
  <c r="H197" i="1"/>
  <c r="D165" i="1"/>
  <c r="E165" i="1"/>
  <c r="F165" i="1"/>
  <c r="G165" i="1"/>
  <c r="H165" i="1"/>
  <c r="D163" i="1"/>
  <c r="E163" i="1"/>
  <c r="F163" i="1"/>
  <c r="G163" i="1"/>
  <c r="H163" i="1"/>
  <c r="D194" i="1"/>
  <c r="E194" i="1"/>
  <c r="F194" i="1"/>
  <c r="G194" i="1"/>
  <c r="H194" i="1"/>
  <c r="D156" i="1"/>
  <c r="E156" i="1"/>
  <c r="F156" i="1"/>
  <c r="G156" i="1"/>
  <c r="H156" i="1"/>
  <c r="D189" i="1"/>
  <c r="E189" i="1"/>
  <c r="F189" i="1"/>
  <c r="G189" i="1"/>
  <c r="H189" i="1"/>
  <c r="D148" i="1"/>
  <c r="E148" i="1"/>
  <c r="F148" i="1"/>
  <c r="G148" i="1"/>
  <c r="H148" i="1"/>
  <c r="D193" i="1"/>
  <c r="E193" i="1"/>
  <c r="F193" i="1"/>
  <c r="G193" i="1"/>
  <c r="H193" i="1"/>
  <c r="D110" i="1"/>
  <c r="E110" i="1"/>
  <c r="F110" i="1"/>
  <c r="G110" i="1"/>
  <c r="H110" i="1"/>
</calcChain>
</file>

<file path=xl/sharedStrings.xml><?xml version="1.0" encoding="utf-8"?>
<sst xmlns="http://schemas.openxmlformats.org/spreadsheetml/2006/main" count="10" uniqueCount="10">
  <si>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</si>
  <si>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</si>
  <si>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</si>
  <si>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</si>
  <si>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</si>
  <si>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</si>
  <si>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</si>
  <si>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</si>
  <si>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</si>
  <si>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АО «Исламский Банк «ADCB»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</si>
</sst>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4" fontId="18" fillId="0" borderId="0" xfId="0" applyNumberFormat="1" applyFont="1"/>
    <xf numFmtId="14" fontId="18" fillId="0" borderId="0" xfId="0" applyNumberFormat="1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266C-F331-47A3-9568-A25E5CAE8D9E}">
  <dimension ref="A1:I216"/>
  <sheetViews>
    <sheetView tabSelected="1" workbookViewId="0">
      <selection activeCell="D8" sqref="D8"/>
    </sheetView>
  </sheetViews>
  <sheetFormatPr defaultRowHeight="12.75" x14ac:dyDescent="0.2"/>
  <cols>
    <col min="1" max="1" width="9.28515625" style="1" bestFit="1" customWidth="1"/>
    <col min="2" max="2" width="10.140625" style="1" bestFit="1" customWidth="1"/>
    <col min="3" max="3" width="9.28515625" style="1" bestFit="1" customWidth="1"/>
    <col min="4" max="8" width="9.140625" style="1"/>
    <col min="9" max="9" width="17.140625" style="2" bestFit="1" customWidth="1"/>
    <col min="10" max="16384" width="9.140625" style="1"/>
  </cols>
  <sheetData>
    <row r="1" spans="1:9" x14ac:dyDescent="0.2">
      <c r="A1" s="4" t="s">
        <v>9</v>
      </c>
    </row>
    <row r="2" spans="1:9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</row>
    <row r="3" spans="1:9" x14ac:dyDescent="0.2">
      <c r="A3" s="1">
        <v>8</v>
      </c>
      <c r="B3" s="3">
        <v>45657</v>
      </c>
      <c r="C3" s="1">
        <v>13</v>
      </c>
      <c r="D3" s="1" t="str">
        <f>"1001"</f>
        <v>1001</v>
      </c>
      <c r="E3" s="1" t="str">
        <f>"Наличность в кассе"</f>
        <v>Наличность в кассе</v>
      </c>
      <c r="F3" s="1" t="str">
        <f>"2"</f>
        <v>2</v>
      </c>
      <c r="G3" s="1" t="str">
        <f>"3"</f>
        <v>3</v>
      </c>
      <c r="H3" s="1" t="str">
        <f>"3"</f>
        <v>3</v>
      </c>
      <c r="I3" s="2">
        <v>55422209.049999997</v>
      </c>
    </row>
    <row r="4" spans="1:9" x14ac:dyDescent="0.2">
      <c r="A4" s="1">
        <v>19</v>
      </c>
      <c r="B4" s="3">
        <v>45657</v>
      </c>
      <c r="C4" s="1">
        <v>13</v>
      </c>
      <c r="D4" s="1" t="str">
        <f>"1001"</f>
        <v>1001</v>
      </c>
      <c r="E4" s="1" t="str">
        <f>"Наличность в кассе"</f>
        <v>Наличность в кассе</v>
      </c>
      <c r="F4" s="1" t="str">
        <f>"2"</f>
        <v>2</v>
      </c>
      <c r="G4" s="1" t="str">
        <f>"3"</f>
        <v>3</v>
      </c>
      <c r="H4" s="1" t="str">
        <f>"2"</f>
        <v>2</v>
      </c>
      <c r="I4" s="2">
        <v>644691729.86000001</v>
      </c>
    </row>
    <row r="5" spans="1:9" x14ac:dyDescent="0.2">
      <c r="A5" s="1">
        <v>42</v>
      </c>
      <c r="B5" s="3">
        <v>45657</v>
      </c>
      <c r="C5" s="1">
        <v>13</v>
      </c>
      <c r="D5" s="1" t="str">
        <f>"1001"</f>
        <v>1001</v>
      </c>
      <c r="E5" s="1" t="str">
        <f>"Наличность в кассе"</f>
        <v>Наличность в кассе</v>
      </c>
      <c r="F5" s="1" t="str">
        <f>"1"</f>
        <v>1</v>
      </c>
      <c r="G5" s="1" t="str">
        <f>"3"</f>
        <v>3</v>
      </c>
      <c r="H5" s="1" t="str">
        <f>"1"</f>
        <v>1</v>
      </c>
      <c r="I5" s="2">
        <v>169210629</v>
      </c>
    </row>
    <row r="6" spans="1:9" x14ac:dyDescent="0.2">
      <c r="A6" s="1">
        <v>78</v>
      </c>
      <c r="B6" s="3">
        <v>45657</v>
      </c>
      <c r="C6" s="1">
        <v>13</v>
      </c>
      <c r="D6" s="1" t="str">
        <f>"1051"</f>
        <v>1051</v>
      </c>
      <c r="E6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6" s="1" t="str">
        <f>"1"</f>
        <v>1</v>
      </c>
      <c r="G6" s="1" t="str">
        <f>"3"</f>
        <v>3</v>
      </c>
      <c r="H6" s="1" t="str">
        <f>"2"</f>
        <v>2</v>
      </c>
      <c r="I6" s="2">
        <v>86562283.060000002</v>
      </c>
    </row>
    <row r="7" spans="1:9" x14ac:dyDescent="0.2">
      <c r="A7" s="1">
        <v>93</v>
      </c>
      <c r="B7" s="3">
        <v>45657</v>
      </c>
      <c r="C7" s="1">
        <v>13</v>
      </c>
      <c r="D7" s="1" t="str">
        <f>"1051"</f>
        <v>1051</v>
      </c>
      <c r="E7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s="1" t="str">
        <f>"1"</f>
        <v>1</v>
      </c>
      <c r="G7" s="1" t="str">
        <f>"3"</f>
        <v>3</v>
      </c>
      <c r="H7" s="1" t="str">
        <f>"1"</f>
        <v>1</v>
      </c>
      <c r="I7" s="2">
        <v>6698653094.5299997</v>
      </c>
    </row>
    <row r="8" spans="1:9" x14ac:dyDescent="0.2">
      <c r="A8" s="1">
        <v>20</v>
      </c>
      <c r="B8" s="3">
        <v>45657</v>
      </c>
      <c r="C8" s="1">
        <v>13</v>
      </c>
      <c r="D8" s="1" t="str">
        <f>"1052"</f>
        <v>1052</v>
      </c>
      <c r="E8" s="1" t="str">
        <f>"Корреспондентские счета в других банках"</f>
        <v>Корреспондентские счета в других банках</v>
      </c>
      <c r="F8" s="1" t="str">
        <f>"1"</f>
        <v>1</v>
      </c>
      <c r="G8" s="1" t="str">
        <f t="shared" ref="G8:G15" si="0">"4"</f>
        <v>4</v>
      </c>
      <c r="H8" s="1" t="str">
        <f>"2"</f>
        <v>2</v>
      </c>
      <c r="I8" s="2">
        <v>2094839.71</v>
      </c>
    </row>
    <row r="9" spans="1:9" x14ac:dyDescent="0.2">
      <c r="A9" s="1">
        <v>21</v>
      </c>
      <c r="B9" s="3">
        <v>45657</v>
      </c>
      <c r="C9" s="1">
        <v>13</v>
      </c>
      <c r="D9" s="1" t="str">
        <f>"1052"</f>
        <v>1052</v>
      </c>
      <c r="E9" s="1" t="str">
        <f>"Корреспондентские счета в других банках"</f>
        <v>Корреспондентские счета в других банках</v>
      </c>
      <c r="F9" s="1" t="str">
        <f>"2"</f>
        <v>2</v>
      </c>
      <c r="G9" s="1" t="str">
        <f t="shared" si="0"/>
        <v>4</v>
      </c>
      <c r="H9" s="1" t="str">
        <f>"3"</f>
        <v>3</v>
      </c>
      <c r="I9" s="2">
        <v>286987407.44999999</v>
      </c>
    </row>
    <row r="10" spans="1:9" x14ac:dyDescent="0.2">
      <c r="A10" s="1">
        <v>31</v>
      </c>
      <c r="B10" s="3">
        <v>45657</v>
      </c>
      <c r="C10" s="1">
        <v>13</v>
      </c>
      <c r="D10" s="1" t="str">
        <f>"1052"</f>
        <v>1052</v>
      </c>
      <c r="E10" s="1" t="str">
        <f>"Корреспондентские счета в других банках"</f>
        <v>Корреспондентские счета в других банках</v>
      </c>
      <c r="F10" s="1" t="str">
        <f>"2"</f>
        <v>2</v>
      </c>
      <c r="G10" s="1" t="str">
        <f t="shared" si="0"/>
        <v>4</v>
      </c>
      <c r="H10" s="1" t="str">
        <f>"2"</f>
        <v>2</v>
      </c>
      <c r="I10" s="2">
        <v>5750714607.2299995</v>
      </c>
    </row>
    <row r="11" spans="1:9" x14ac:dyDescent="0.2">
      <c r="A11" s="1">
        <v>70</v>
      </c>
      <c r="B11" s="3">
        <v>45657</v>
      </c>
      <c r="C11" s="1">
        <v>13</v>
      </c>
      <c r="D11" s="1" t="str">
        <f>"1052"</f>
        <v>1052</v>
      </c>
      <c r="E11" s="1" t="str">
        <f>"Корреспондентские счета в других банках"</f>
        <v>Корреспондентские счета в других банках</v>
      </c>
      <c r="F11" s="1" t="str">
        <f>"1"</f>
        <v>1</v>
      </c>
      <c r="G11" s="1" t="str">
        <f t="shared" si="0"/>
        <v>4</v>
      </c>
      <c r="H11" s="1" t="str">
        <f>"1"</f>
        <v>1</v>
      </c>
      <c r="I11" s="2">
        <v>11647750.66</v>
      </c>
    </row>
    <row r="12" spans="1:9" x14ac:dyDescent="0.2">
      <c r="A12" s="1">
        <v>62</v>
      </c>
      <c r="B12" s="3">
        <v>45657</v>
      </c>
      <c r="C12" s="1">
        <v>13</v>
      </c>
      <c r="D12" s="1" t="str">
        <f>"1054"</f>
        <v>1054</v>
      </c>
      <c r="E12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2" s="1" t="str">
        <f>"1"</f>
        <v>1</v>
      </c>
      <c r="G12" s="1" t="str">
        <f t="shared" si="0"/>
        <v>4</v>
      </c>
      <c r="H12" s="1" t="str">
        <f>"2"</f>
        <v>2</v>
      </c>
      <c r="I12" s="2">
        <v>-4134.8599999999997</v>
      </c>
    </row>
    <row r="13" spans="1:9" x14ac:dyDescent="0.2">
      <c r="A13" s="1">
        <v>63</v>
      </c>
      <c r="B13" s="3">
        <v>45657</v>
      </c>
      <c r="C13" s="1">
        <v>13</v>
      </c>
      <c r="D13" s="1" t="str">
        <f>"1054"</f>
        <v>1054</v>
      </c>
      <c r="E13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3" s="1" t="str">
        <f>"1"</f>
        <v>1</v>
      </c>
      <c r="G13" s="1" t="str">
        <f t="shared" si="0"/>
        <v>4</v>
      </c>
      <c r="H13" s="1" t="str">
        <f>"1"</f>
        <v>1</v>
      </c>
      <c r="I13" s="2">
        <v>-13661.1</v>
      </c>
    </row>
    <row r="14" spans="1:9" x14ac:dyDescent="0.2">
      <c r="A14" s="1">
        <v>67</v>
      </c>
      <c r="B14" s="3">
        <v>45657</v>
      </c>
      <c r="C14" s="1">
        <v>13</v>
      </c>
      <c r="D14" s="1" t="str">
        <f>"1054"</f>
        <v>1054</v>
      </c>
      <c r="E14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s="1" t="str">
        <f>"2"</f>
        <v>2</v>
      </c>
      <c r="G14" s="1" t="str">
        <f t="shared" si="0"/>
        <v>4</v>
      </c>
      <c r="H14" s="1" t="str">
        <f>"2"</f>
        <v>2</v>
      </c>
      <c r="I14" s="2">
        <v>-214449.67</v>
      </c>
    </row>
    <row r="15" spans="1:9" x14ac:dyDescent="0.2">
      <c r="A15" s="1">
        <v>77</v>
      </c>
      <c r="B15" s="3">
        <v>45657</v>
      </c>
      <c r="C15" s="1">
        <v>13</v>
      </c>
      <c r="D15" s="1" t="str">
        <f>"1054"</f>
        <v>1054</v>
      </c>
      <c r="E15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s="1" t="str">
        <f>"2"</f>
        <v>2</v>
      </c>
      <c r="G15" s="1" t="str">
        <f t="shared" si="0"/>
        <v>4</v>
      </c>
      <c r="H15" s="1" t="str">
        <f>"3"</f>
        <v>3</v>
      </c>
      <c r="I15" s="2">
        <v>-82126.31</v>
      </c>
    </row>
    <row r="16" spans="1:9" x14ac:dyDescent="0.2">
      <c r="A16" s="1">
        <v>25</v>
      </c>
      <c r="B16" s="3">
        <v>45657</v>
      </c>
      <c r="C16" s="1">
        <v>13</v>
      </c>
      <c r="D16" s="1" t="str">
        <f>"1103"</f>
        <v>1103</v>
      </c>
      <c r="E16" s="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6" s="1" t="str">
        <f>"1"</f>
        <v>1</v>
      </c>
      <c r="G16" s="1" t="str">
        <f>"3"</f>
        <v>3</v>
      </c>
      <c r="H16" s="1" t="str">
        <f>"1"</f>
        <v>1</v>
      </c>
      <c r="I16" s="2">
        <v>22344135416.669998</v>
      </c>
    </row>
    <row r="17" spans="1:9" x14ac:dyDescent="0.2">
      <c r="A17" s="1">
        <v>18</v>
      </c>
      <c r="B17" s="3">
        <v>45657</v>
      </c>
      <c r="C17" s="1">
        <v>13</v>
      </c>
      <c r="D17" s="1" t="str">
        <f>"1420"</f>
        <v>1420</v>
      </c>
      <c r="E17" s="1" t="str">
        <f>"Финансовый лизинг клиентам"</f>
        <v>Финансовый лизинг клиентам</v>
      </c>
      <c r="F17" s="1" t="str">
        <f>"1"</f>
        <v>1</v>
      </c>
      <c r="G17" s="1" t="str">
        <f>"7"</f>
        <v>7</v>
      </c>
      <c r="H17" s="1" t="str">
        <f>"1"</f>
        <v>1</v>
      </c>
      <c r="I17" s="2">
        <v>810325187</v>
      </c>
    </row>
    <row r="18" spans="1:9" x14ac:dyDescent="0.2">
      <c r="A18" s="1">
        <v>36</v>
      </c>
      <c r="B18" s="3">
        <v>45657</v>
      </c>
      <c r="C18" s="1">
        <v>13</v>
      </c>
      <c r="D18" s="1" t="str">
        <f>"1426"</f>
        <v>1426</v>
      </c>
      <c r="E18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18" s="1" t="str">
        <f>"2"</f>
        <v>2</v>
      </c>
      <c r="G18" s="1" t="str">
        <f>"7"</f>
        <v>7</v>
      </c>
      <c r="H18" s="1" t="str">
        <f>"2"</f>
        <v>2</v>
      </c>
      <c r="I18" s="2">
        <v>4314197157.4200001</v>
      </c>
    </row>
    <row r="19" spans="1:9" x14ac:dyDescent="0.2">
      <c r="A19" s="1">
        <v>46</v>
      </c>
      <c r="B19" s="3">
        <v>45657</v>
      </c>
      <c r="C19" s="1">
        <v>13</v>
      </c>
      <c r="D19" s="1" t="str">
        <f>"1426"</f>
        <v>1426</v>
      </c>
      <c r="E19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19" s="1" t="str">
        <f t="shared" ref="F19:F25" si="1">"1"</f>
        <v>1</v>
      </c>
      <c r="G19" s="1" t="str">
        <f>"7"</f>
        <v>7</v>
      </c>
      <c r="H19" s="1" t="str">
        <f>"1"</f>
        <v>1</v>
      </c>
      <c r="I19" s="2">
        <v>35194415174.089996</v>
      </c>
    </row>
    <row r="20" spans="1:9" x14ac:dyDescent="0.2">
      <c r="A20" s="1">
        <v>59</v>
      </c>
      <c r="B20" s="3">
        <v>45657</v>
      </c>
      <c r="C20" s="1">
        <v>13</v>
      </c>
      <c r="D20" s="1" t="str">
        <f>"1426"</f>
        <v>1426</v>
      </c>
      <c r="E20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20" s="1" t="str">
        <f t="shared" si="1"/>
        <v>1</v>
      </c>
      <c r="G20" s="1" t="str">
        <f>"7"</f>
        <v>7</v>
      </c>
      <c r="H20" s="1" t="str">
        <f>"2"</f>
        <v>2</v>
      </c>
      <c r="I20" s="2">
        <v>139343232018.38</v>
      </c>
    </row>
    <row r="21" spans="1:9" x14ac:dyDescent="0.2">
      <c r="A21" s="1">
        <v>64</v>
      </c>
      <c r="B21" s="3">
        <v>45657</v>
      </c>
      <c r="C21" s="1">
        <v>13</v>
      </c>
      <c r="D21" s="1" t="str">
        <f>"1426"</f>
        <v>1426</v>
      </c>
      <c r="E21" s="1" t="str">
        <f>"Требования к клиенту по операциям финансирования торговой деятельности"</f>
        <v>Требования к клиенту по операциям финансирования торговой деятельности</v>
      </c>
      <c r="F21" s="1" t="str">
        <f t="shared" si="1"/>
        <v>1</v>
      </c>
      <c r="G21" s="1" t="str">
        <f>"9"</f>
        <v>9</v>
      </c>
      <c r="H21" s="1" t="str">
        <f>"1"</f>
        <v>1</v>
      </c>
      <c r="I21" s="2">
        <v>6989104165.3500004</v>
      </c>
    </row>
    <row r="22" spans="1:9" x14ac:dyDescent="0.2">
      <c r="A22" s="1">
        <v>27</v>
      </c>
      <c r="B22" s="3">
        <v>45657</v>
      </c>
      <c r="C22" s="1">
        <v>13</v>
      </c>
      <c r="D22" s="1" t="str">
        <f>"1427"</f>
        <v>1427</v>
      </c>
      <c r="E22" s="1" t="str">
        <f>"Просроченная задолженность по операциям финансирования торговой деятельности"</f>
        <v>Просроченная задолженность по операциям финансирования торговой деятельности</v>
      </c>
      <c r="F22" s="1" t="str">
        <f t="shared" si="1"/>
        <v>1</v>
      </c>
      <c r="G22" s="1" t="str">
        <f>"9"</f>
        <v>9</v>
      </c>
      <c r="H22" s="1" t="str">
        <f>"1"</f>
        <v>1</v>
      </c>
      <c r="I22" s="2">
        <v>170699.67</v>
      </c>
    </row>
    <row r="23" spans="1:9" x14ac:dyDescent="0.2">
      <c r="A23" s="1">
        <v>38</v>
      </c>
      <c r="B23" s="3">
        <v>45657</v>
      </c>
      <c r="C23" s="1">
        <v>13</v>
      </c>
      <c r="D23" s="1" t="str">
        <f>"1427"</f>
        <v>1427</v>
      </c>
      <c r="E23" s="1" t="str">
        <f>"Просроченная задолженность по операциям финансирования торговой деятельности"</f>
        <v>Просроченная задолженность по операциям финансирования торговой деятельности</v>
      </c>
      <c r="F23" s="1" t="str">
        <f t="shared" si="1"/>
        <v>1</v>
      </c>
      <c r="G23" s="1" t="str">
        <f>"7"</f>
        <v>7</v>
      </c>
      <c r="H23" s="1" t="str">
        <f>"1"</f>
        <v>1</v>
      </c>
      <c r="I23" s="2">
        <v>25169113.260000002</v>
      </c>
    </row>
    <row r="24" spans="1:9" x14ac:dyDescent="0.2">
      <c r="A24" s="1">
        <v>40</v>
      </c>
      <c r="B24" s="3">
        <v>45657</v>
      </c>
      <c r="C24" s="1">
        <v>13</v>
      </c>
      <c r="D24" s="1" t="str">
        <f>"1427"</f>
        <v>1427</v>
      </c>
      <c r="E24" s="1" t="str">
        <f>"Просроченная задолженность по операциям финансирования торговой деятельности"</f>
        <v>Просроченная задолженность по операциям финансирования торговой деятельности</v>
      </c>
      <c r="F24" s="1" t="str">
        <f t="shared" si="1"/>
        <v>1</v>
      </c>
      <c r="G24" s="1" t="str">
        <f>"7"</f>
        <v>7</v>
      </c>
      <c r="H24" s="1" t="str">
        <f>"2"</f>
        <v>2</v>
      </c>
      <c r="I24" s="2">
        <v>10502200000</v>
      </c>
    </row>
    <row r="25" spans="1:9" x14ac:dyDescent="0.2">
      <c r="A25" s="1">
        <v>11</v>
      </c>
      <c r="B25" s="3">
        <v>45657</v>
      </c>
      <c r="C25" s="1">
        <v>13</v>
      </c>
      <c r="D25" s="1" t="str">
        <f>"1428"</f>
        <v>1428</v>
      </c>
      <c r="E25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5" s="1" t="str">
        <f t="shared" si="1"/>
        <v>1</v>
      </c>
      <c r="G25" s="1" t="str">
        <f>"9"</f>
        <v>9</v>
      </c>
      <c r="H25" s="1" t="str">
        <f>"1"</f>
        <v>1</v>
      </c>
      <c r="I25" s="2">
        <v>-745572.94</v>
      </c>
    </row>
    <row r="26" spans="1:9" x14ac:dyDescent="0.2">
      <c r="A26" s="1">
        <v>17</v>
      </c>
      <c r="B26" s="3">
        <v>45657</v>
      </c>
      <c r="C26" s="1">
        <v>13</v>
      </c>
      <c r="D26" s="1" t="str">
        <f>"1428"</f>
        <v>1428</v>
      </c>
      <c r="E26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6" s="1" t="str">
        <f>"2"</f>
        <v>2</v>
      </c>
      <c r="G26" s="1" t="str">
        <f>"7"</f>
        <v>7</v>
      </c>
      <c r="H26" s="1" t="str">
        <f>"2"</f>
        <v>2</v>
      </c>
      <c r="I26" s="2">
        <v>-2117800.14</v>
      </c>
    </row>
    <row r="27" spans="1:9" x14ac:dyDescent="0.2">
      <c r="A27" s="1">
        <v>47</v>
      </c>
      <c r="B27" s="3">
        <v>45657</v>
      </c>
      <c r="C27" s="1">
        <v>13</v>
      </c>
      <c r="D27" s="1" t="str">
        <f>"1428"</f>
        <v>1428</v>
      </c>
      <c r="E27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7" s="1" t="str">
        <f>"1"</f>
        <v>1</v>
      </c>
      <c r="G27" s="1" t="str">
        <f>"7"</f>
        <v>7</v>
      </c>
      <c r="H27" s="1" t="str">
        <f>"1"</f>
        <v>1</v>
      </c>
      <c r="I27" s="2">
        <v>-390495201.69</v>
      </c>
    </row>
    <row r="28" spans="1:9" x14ac:dyDescent="0.2">
      <c r="A28" s="1">
        <v>114</v>
      </c>
      <c r="B28" s="3">
        <v>45657</v>
      </c>
      <c r="C28" s="1">
        <v>13</v>
      </c>
      <c r="D28" s="1" t="str">
        <f>"1428"</f>
        <v>1428</v>
      </c>
      <c r="E28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28" s="1" t="str">
        <f>"1"</f>
        <v>1</v>
      </c>
      <c r="G28" s="1" t="str">
        <f>"7"</f>
        <v>7</v>
      </c>
      <c r="H28" s="1" t="str">
        <f>"2"</f>
        <v>2</v>
      </c>
      <c r="I28" s="2">
        <v>-436630093.99000001</v>
      </c>
    </row>
    <row r="29" spans="1:9" x14ac:dyDescent="0.2">
      <c r="A29" s="1">
        <v>22</v>
      </c>
      <c r="B29" s="3">
        <v>45657</v>
      </c>
      <c r="C29" s="1">
        <v>13</v>
      </c>
      <c r="D29" s="1" t="str">
        <f>"1473"</f>
        <v>1473</v>
      </c>
      <c r="E29" s="1" t="str">
        <f>"Инвестиции исламского банка в производственную и торговую деятельность"</f>
        <v>Инвестиции исламского банка в производственную и торговую деятельность</v>
      </c>
      <c r="F29" s="1" t="str">
        <f>"1"</f>
        <v>1</v>
      </c>
      <c r="G29" s="1" t="str">
        <f>"4"</f>
        <v>4</v>
      </c>
      <c r="H29" s="1" t="str">
        <f>"1"</f>
        <v>1</v>
      </c>
      <c r="I29" s="2">
        <v>992842695</v>
      </c>
    </row>
    <row r="30" spans="1:9" x14ac:dyDescent="0.2">
      <c r="A30" s="1">
        <v>14</v>
      </c>
      <c r="B30" s="3">
        <v>45657</v>
      </c>
      <c r="C30" s="1">
        <v>13</v>
      </c>
      <c r="D30" s="1" t="str">
        <f>"1491"</f>
        <v>1491</v>
      </c>
      <c r="E30" s="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30" s="1" t="str">
        <f>"1"</f>
        <v>1</v>
      </c>
      <c r="G30" s="1" t="str">
        <f>"4"</f>
        <v>4</v>
      </c>
      <c r="H30" s="1" t="str">
        <f>"1"</f>
        <v>1</v>
      </c>
      <c r="I30" s="2">
        <v>95000000</v>
      </c>
    </row>
    <row r="31" spans="1:9" x14ac:dyDescent="0.2">
      <c r="A31" s="1">
        <v>6</v>
      </c>
      <c r="B31" s="3">
        <v>45657</v>
      </c>
      <c r="C31" s="1">
        <v>13</v>
      </c>
      <c r="D31" s="1" t="str">
        <f>"1492"</f>
        <v>1492</v>
      </c>
      <c r="E31" s="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31" s="1" t="str">
        <f>"1"</f>
        <v>1</v>
      </c>
      <c r="G31" s="1" t="str">
        <f>"4"</f>
        <v>4</v>
      </c>
      <c r="H31" s="1" t="str">
        <f>"1"</f>
        <v>1</v>
      </c>
      <c r="I31" s="2">
        <v>-18305085</v>
      </c>
    </row>
    <row r="32" spans="1:9" x14ac:dyDescent="0.2">
      <c r="A32" s="1">
        <v>119</v>
      </c>
      <c r="B32" s="3">
        <v>45657</v>
      </c>
      <c r="C32" s="1">
        <v>13</v>
      </c>
      <c r="D32" s="1" t="str">
        <f>"1652"</f>
        <v>1652</v>
      </c>
      <c r="E32" s="1" t="str">
        <f>"Земля, здания и сооружения"</f>
        <v>Земля, здания и сооружения</v>
      </c>
      <c r="F32" s="1" t="str">
        <f>""</f>
        <v/>
      </c>
      <c r="G32" s="1" t="str">
        <f>""</f>
        <v/>
      </c>
      <c r="H32" s="1" t="str">
        <f>""</f>
        <v/>
      </c>
      <c r="I32" s="2">
        <v>251038985.13999999</v>
      </c>
    </row>
    <row r="33" spans="1:9" x14ac:dyDescent="0.2">
      <c r="A33" s="1">
        <v>122</v>
      </c>
      <c r="B33" s="3">
        <v>45657</v>
      </c>
      <c r="C33" s="1">
        <v>13</v>
      </c>
      <c r="D33" s="1" t="str">
        <f>"1653"</f>
        <v>1653</v>
      </c>
      <c r="E33" s="1" t="str">
        <f>"Компьютерное оборудование"</f>
        <v>Компьютерное оборудование</v>
      </c>
      <c r="F33" s="1" t="str">
        <f>""</f>
        <v/>
      </c>
      <c r="G33" s="1" t="str">
        <f>""</f>
        <v/>
      </c>
      <c r="H33" s="1" t="str">
        <f>""</f>
        <v/>
      </c>
      <c r="I33" s="2">
        <v>747091709.99000001</v>
      </c>
    </row>
    <row r="34" spans="1:9" x14ac:dyDescent="0.2">
      <c r="A34" s="1">
        <v>135</v>
      </c>
      <c r="B34" s="3">
        <v>45657</v>
      </c>
      <c r="C34" s="1">
        <v>13</v>
      </c>
      <c r="D34" s="1" t="str">
        <f>"1654"</f>
        <v>1654</v>
      </c>
      <c r="E34" s="1" t="str">
        <f>"Прочие основные средства"</f>
        <v>Прочие основные средства</v>
      </c>
      <c r="F34" s="1" t="str">
        <f>""</f>
        <v/>
      </c>
      <c r="G34" s="1" t="str">
        <f>""</f>
        <v/>
      </c>
      <c r="H34" s="1" t="str">
        <f>""</f>
        <v/>
      </c>
      <c r="I34" s="2">
        <v>273029823.93000001</v>
      </c>
    </row>
    <row r="35" spans="1:9" x14ac:dyDescent="0.2">
      <c r="A35" s="1">
        <v>125</v>
      </c>
      <c r="B35" s="3">
        <v>45657</v>
      </c>
      <c r="C35" s="1">
        <v>13</v>
      </c>
      <c r="D35" s="1" t="str">
        <f>"1655"</f>
        <v>1655</v>
      </c>
      <c r="E35" s="1" t="str">
        <f>"Активы в форме права пользования"</f>
        <v>Активы в форме права пользования</v>
      </c>
      <c r="F35" s="1" t="str">
        <f>""</f>
        <v/>
      </c>
      <c r="G35" s="1" t="str">
        <f>""</f>
        <v/>
      </c>
      <c r="H35" s="1" t="str">
        <f>""</f>
        <v/>
      </c>
      <c r="I35" s="2">
        <v>2933126311</v>
      </c>
    </row>
    <row r="36" spans="1:9" x14ac:dyDescent="0.2">
      <c r="A36" s="1">
        <v>131</v>
      </c>
      <c r="B36" s="3">
        <v>45657</v>
      </c>
      <c r="C36" s="1">
        <v>13</v>
      </c>
      <c r="D36" s="1" t="str">
        <f>"1657"</f>
        <v>1657</v>
      </c>
      <c r="E36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36" s="1" t="str">
        <f>""</f>
        <v/>
      </c>
      <c r="G36" s="1" t="str">
        <f>""</f>
        <v/>
      </c>
      <c r="H36" s="1" t="str">
        <f>""</f>
        <v/>
      </c>
      <c r="I36" s="2">
        <v>500323847.57999998</v>
      </c>
    </row>
    <row r="37" spans="1:9" x14ac:dyDescent="0.2">
      <c r="A37" s="1">
        <v>129</v>
      </c>
      <c r="B37" s="3">
        <v>45657</v>
      </c>
      <c r="C37" s="1">
        <v>13</v>
      </c>
      <c r="D37" s="1" t="str">
        <f>"1658"</f>
        <v>1658</v>
      </c>
      <c r="E37" s="1" t="str">
        <f>"Транспортные средства"</f>
        <v>Транспортные средства</v>
      </c>
      <c r="F37" s="1" t="str">
        <f>""</f>
        <v/>
      </c>
      <c r="G37" s="1" t="str">
        <f>""</f>
        <v/>
      </c>
      <c r="H37" s="1" t="str">
        <f>""</f>
        <v/>
      </c>
      <c r="I37" s="2">
        <v>47960000</v>
      </c>
    </row>
    <row r="38" spans="1:9" x14ac:dyDescent="0.2">
      <c r="A38" s="1">
        <v>130</v>
      </c>
      <c r="B38" s="3">
        <v>45657</v>
      </c>
      <c r="C38" s="1">
        <v>13</v>
      </c>
      <c r="D38" s="1" t="str">
        <f>"1659"</f>
        <v>1659</v>
      </c>
      <c r="E38" s="1" t="str">
        <f>"Нематериальные активы"</f>
        <v>Нематериальные активы</v>
      </c>
      <c r="F38" s="1" t="str">
        <f>""</f>
        <v/>
      </c>
      <c r="G38" s="1" t="str">
        <f>""</f>
        <v/>
      </c>
      <c r="H38" s="1" t="str">
        <f>""</f>
        <v/>
      </c>
      <c r="I38" s="2">
        <v>479252108.93000001</v>
      </c>
    </row>
    <row r="39" spans="1:9" x14ac:dyDescent="0.2">
      <c r="A39" s="1">
        <v>161</v>
      </c>
      <c r="B39" s="3">
        <v>45657</v>
      </c>
      <c r="C39" s="1">
        <v>13</v>
      </c>
      <c r="D39" s="1" t="str">
        <f>"1692"</f>
        <v>1692</v>
      </c>
      <c r="E39" s="1" t="str">
        <f>"Начисленная амортизация по зданиям и сооружениям"</f>
        <v>Начисленная амортизация по зданиям и сооружениям</v>
      </c>
      <c r="F39" s="1" t="str">
        <f>""</f>
        <v/>
      </c>
      <c r="G39" s="1" t="str">
        <f>""</f>
        <v/>
      </c>
      <c r="H39" s="1" t="str">
        <f>""</f>
        <v/>
      </c>
      <c r="I39" s="2">
        <v>-150215661.27000001</v>
      </c>
    </row>
    <row r="40" spans="1:9" x14ac:dyDescent="0.2">
      <c r="A40" s="1">
        <v>124</v>
      </c>
      <c r="B40" s="3">
        <v>45657</v>
      </c>
      <c r="C40" s="1">
        <v>13</v>
      </c>
      <c r="D40" s="1" t="str">
        <f>"1693"</f>
        <v>1693</v>
      </c>
      <c r="E40" s="1" t="str">
        <f>"Начисленная амортизация по компьютерному оборудованию"</f>
        <v>Начисленная амортизация по компьютерному оборудованию</v>
      </c>
      <c r="F40" s="1" t="str">
        <f>""</f>
        <v/>
      </c>
      <c r="G40" s="1" t="str">
        <f>""</f>
        <v/>
      </c>
      <c r="H40" s="1" t="str">
        <f>""</f>
        <v/>
      </c>
      <c r="I40" s="2">
        <v>-426691987.88</v>
      </c>
    </row>
    <row r="41" spans="1:9" x14ac:dyDescent="0.2">
      <c r="A41" s="1">
        <v>155</v>
      </c>
      <c r="B41" s="3">
        <v>45657</v>
      </c>
      <c r="C41" s="1">
        <v>13</v>
      </c>
      <c r="D41" s="1" t="str">
        <f>"1694"</f>
        <v>1694</v>
      </c>
      <c r="E41" s="1" t="str">
        <f>"Начисленная амортизация по прочим основным средствам"</f>
        <v>Начисленная амортизация по прочим основным средствам</v>
      </c>
      <c r="F41" s="1" t="str">
        <f>""</f>
        <v/>
      </c>
      <c r="G41" s="1" t="str">
        <f>""</f>
        <v/>
      </c>
      <c r="H41" s="1" t="str">
        <f>""</f>
        <v/>
      </c>
      <c r="I41" s="2">
        <v>-190215346.78999999</v>
      </c>
    </row>
    <row r="42" spans="1:9" x14ac:dyDescent="0.2">
      <c r="A42" s="1">
        <v>132</v>
      </c>
      <c r="B42" s="3">
        <v>45657</v>
      </c>
      <c r="C42" s="1">
        <v>13</v>
      </c>
      <c r="D42" s="1" t="str">
        <f>"1695"</f>
        <v>1695</v>
      </c>
      <c r="E42" s="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42" s="1" t="str">
        <f>""</f>
        <v/>
      </c>
      <c r="G42" s="1" t="str">
        <f>""</f>
        <v/>
      </c>
      <c r="H42" s="1" t="str">
        <f>""</f>
        <v/>
      </c>
      <c r="I42" s="2">
        <v>-2055864508</v>
      </c>
    </row>
    <row r="43" spans="1:9" x14ac:dyDescent="0.2">
      <c r="A43" s="1">
        <v>133</v>
      </c>
      <c r="B43" s="3">
        <v>45657</v>
      </c>
      <c r="C43" s="1">
        <v>13</v>
      </c>
      <c r="D43" s="1" t="str">
        <f>"1697"</f>
        <v>1697</v>
      </c>
      <c r="E43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43" s="1" t="str">
        <f>""</f>
        <v/>
      </c>
      <c r="G43" s="1" t="str">
        <f>""</f>
        <v/>
      </c>
      <c r="H43" s="1" t="str">
        <f>""</f>
        <v/>
      </c>
      <c r="I43" s="2">
        <v>-500323847.57999998</v>
      </c>
    </row>
    <row r="44" spans="1:9" x14ac:dyDescent="0.2">
      <c r="A44" s="1">
        <v>195</v>
      </c>
      <c r="B44" s="3">
        <v>45657</v>
      </c>
      <c r="C44" s="1">
        <v>13</v>
      </c>
      <c r="D44" s="1" t="str">
        <f>"1698"</f>
        <v>1698</v>
      </c>
      <c r="E44" s="1" t="str">
        <f>"Начисленная амортизация по транспортным средствам"</f>
        <v>Начисленная амортизация по транспортным средствам</v>
      </c>
      <c r="F44" s="1" t="str">
        <f>""</f>
        <v/>
      </c>
      <c r="G44" s="1" t="str">
        <f>""</f>
        <v/>
      </c>
      <c r="H44" s="1" t="str">
        <f>""</f>
        <v/>
      </c>
      <c r="I44" s="2">
        <v>-34970833.450000003</v>
      </c>
    </row>
    <row r="45" spans="1:9" x14ac:dyDescent="0.2">
      <c r="A45" s="1">
        <v>159</v>
      </c>
      <c r="B45" s="3">
        <v>45657</v>
      </c>
      <c r="C45" s="1">
        <v>13</v>
      </c>
      <c r="D45" s="1" t="str">
        <f>"1699"</f>
        <v>1699</v>
      </c>
      <c r="E45" s="1" t="str">
        <f>"Начисленная амортизация по нематериальным активам"</f>
        <v>Начисленная амортизация по нематериальным активам</v>
      </c>
      <c r="F45" s="1" t="str">
        <f>""</f>
        <v/>
      </c>
      <c r="G45" s="1" t="str">
        <f>""</f>
        <v/>
      </c>
      <c r="H45" s="1" t="str">
        <f>""</f>
        <v/>
      </c>
      <c r="I45" s="2">
        <v>-387348729.23000002</v>
      </c>
    </row>
    <row r="46" spans="1:9" x14ac:dyDescent="0.2">
      <c r="A46" s="1">
        <v>98</v>
      </c>
      <c r="B46" s="3">
        <v>45657</v>
      </c>
      <c r="C46" s="1">
        <v>13</v>
      </c>
      <c r="D46" s="1" t="str">
        <f>"1740"</f>
        <v>1740</v>
      </c>
      <c r="E46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46" s="1" t="str">
        <f>"1"</f>
        <v>1</v>
      </c>
      <c r="G46" s="1" t="str">
        <f>"7"</f>
        <v>7</v>
      </c>
      <c r="H46" s="1" t="str">
        <f>"1"</f>
        <v>1</v>
      </c>
      <c r="I46" s="2">
        <v>2000000</v>
      </c>
    </row>
    <row r="47" spans="1:9" x14ac:dyDescent="0.2">
      <c r="A47" s="1">
        <v>28</v>
      </c>
      <c r="B47" s="3">
        <v>45657</v>
      </c>
      <c r="C47" s="1">
        <v>13</v>
      </c>
      <c r="D47" s="1" t="str">
        <f>"1799"</f>
        <v>1799</v>
      </c>
      <c r="E47" s="1" t="str">
        <f>"Прочие предоплаты"</f>
        <v>Прочие предоплаты</v>
      </c>
      <c r="F47" s="1" t="str">
        <f>"2"</f>
        <v>2</v>
      </c>
      <c r="G47" s="1" t="str">
        <f>"7"</f>
        <v>7</v>
      </c>
      <c r="H47" s="1" t="str">
        <f>"2"</f>
        <v>2</v>
      </c>
      <c r="I47" s="2">
        <v>62206998.619999997</v>
      </c>
    </row>
    <row r="48" spans="1:9" x14ac:dyDescent="0.2">
      <c r="A48" s="1">
        <v>29</v>
      </c>
      <c r="B48" s="3">
        <v>45657</v>
      </c>
      <c r="C48" s="1">
        <v>13</v>
      </c>
      <c r="D48" s="1" t="str">
        <f>"1799"</f>
        <v>1799</v>
      </c>
      <c r="E48" s="1" t="str">
        <f>"Прочие предоплаты"</f>
        <v>Прочие предоплаты</v>
      </c>
      <c r="F48" s="1" t="str">
        <f>"1"</f>
        <v>1</v>
      </c>
      <c r="G48" s="1" t="str">
        <f>"7"</f>
        <v>7</v>
      </c>
      <c r="H48" s="1" t="str">
        <f>"1"</f>
        <v>1</v>
      </c>
      <c r="I48" s="2">
        <v>78400177.459999993</v>
      </c>
    </row>
    <row r="49" spans="1:9" x14ac:dyDescent="0.2">
      <c r="A49" s="1">
        <v>37</v>
      </c>
      <c r="B49" s="3">
        <v>45657</v>
      </c>
      <c r="C49" s="1">
        <v>13</v>
      </c>
      <c r="D49" s="1" t="str">
        <f>"1799"</f>
        <v>1799</v>
      </c>
      <c r="E49" s="1" t="str">
        <f>"Прочие предоплаты"</f>
        <v>Прочие предоплаты</v>
      </c>
      <c r="F49" s="1" t="str">
        <f>"1"</f>
        <v>1</v>
      </c>
      <c r="G49" s="1" t="str">
        <f>"6"</f>
        <v>6</v>
      </c>
      <c r="H49" s="1" t="str">
        <f>"1"</f>
        <v>1</v>
      </c>
      <c r="I49" s="2">
        <v>3628.96</v>
      </c>
    </row>
    <row r="50" spans="1:9" x14ac:dyDescent="0.2">
      <c r="A50" s="1">
        <v>12</v>
      </c>
      <c r="B50" s="3">
        <v>45657</v>
      </c>
      <c r="C50" s="1">
        <v>13</v>
      </c>
      <c r="D50" s="1" t="str">
        <f>"1851"</f>
        <v>1851</v>
      </c>
      <c r="E50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0" s="1" t="str">
        <f>"1"</f>
        <v>1</v>
      </c>
      <c r="G50" s="1" t="str">
        <f>"1"</f>
        <v>1</v>
      </c>
      <c r="H50" s="1" t="str">
        <f>"1"</f>
        <v>1</v>
      </c>
      <c r="I50" s="2">
        <v>162283045.24000001</v>
      </c>
    </row>
    <row r="51" spans="1:9" x14ac:dyDescent="0.2">
      <c r="A51" s="1">
        <v>151</v>
      </c>
      <c r="B51" s="3">
        <v>45657</v>
      </c>
      <c r="C51" s="1">
        <v>13</v>
      </c>
      <c r="D51" s="1" t="str">
        <f>"1854"</f>
        <v>1854</v>
      </c>
      <c r="E51" s="1" t="str">
        <f>"Расчеты с работниками"</f>
        <v>Расчеты с работниками</v>
      </c>
      <c r="F51" s="1" t="str">
        <f>""</f>
        <v/>
      </c>
      <c r="G51" s="1" t="str">
        <f>""</f>
        <v/>
      </c>
      <c r="H51" s="1" t="str">
        <f>""</f>
        <v/>
      </c>
      <c r="I51" s="2">
        <v>6024455.5</v>
      </c>
    </row>
    <row r="52" spans="1:9" x14ac:dyDescent="0.2">
      <c r="A52" s="1">
        <v>48</v>
      </c>
      <c r="B52" s="3">
        <v>45657</v>
      </c>
      <c r="C52" s="1">
        <v>13</v>
      </c>
      <c r="D52" s="1" t="str">
        <f>"1856"</f>
        <v>1856</v>
      </c>
      <c r="E52" s="1" t="str">
        <f>"Дебиторы по капитальным вложениям"</f>
        <v>Дебиторы по капитальным вложениям</v>
      </c>
      <c r="F52" s="1" t="str">
        <f>"1"</f>
        <v>1</v>
      </c>
      <c r="G52" s="1" t="str">
        <f>"7"</f>
        <v>7</v>
      </c>
      <c r="H52" s="1" t="str">
        <f>"1"</f>
        <v>1</v>
      </c>
      <c r="I52" s="2">
        <v>11845582.560000001</v>
      </c>
    </row>
    <row r="53" spans="1:9" x14ac:dyDescent="0.2">
      <c r="A53" s="1">
        <v>154</v>
      </c>
      <c r="B53" s="3">
        <v>45657</v>
      </c>
      <c r="C53" s="1">
        <v>13</v>
      </c>
      <c r="D53" s="1" t="str">
        <f>"1857"</f>
        <v>1857</v>
      </c>
      <c r="E53" s="1" t="str">
        <f>"Отложенные налоговые активы"</f>
        <v>Отложенные налоговые активы</v>
      </c>
      <c r="F53" s="1" t="str">
        <f>""</f>
        <v/>
      </c>
      <c r="G53" s="1" t="str">
        <f>""</f>
        <v/>
      </c>
      <c r="H53" s="1" t="str">
        <f>""</f>
        <v/>
      </c>
      <c r="I53" s="2">
        <v>319975300.75</v>
      </c>
    </row>
    <row r="54" spans="1:9" x14ac:dyDescent="0.2">
      <c r="A54" s="1">
        <v>39</v>
      </c>
      <c r="B54" s="3">
        <v>45657</v>
      </c>
      <c r="C54" s="1">
        <v>13</v>
      </c>
      <c r="D54" s="1" t="str">
        <f>"1860"</f>
        <v>1860</v>
      </c>
      <c r="E54" s="1" t="str">
        <f>"Прочие дебиторы по банковской деятельности"</f>
        <v>Прочие дебиторы по банковской деятельности</v>
      </c>
      <c r="F54" s="1" t="str">
        <f t="shared" ref="F54:F62" si="2">"1"</f>
        <v>1</v>
      </c>
      <c r="G54" s="1" t="str">
        <f>"7"</f>
        <v>7</v>
      </c>
      <c r="H54" s="1" t="str">
        <f t="shared" ref="H54:H60" si="3">"1"</f>
        <v>1</v>
      </c>
      <c r="I54" s="2">
        <v>22000000</v>
      </c>
    </row>
    <row r="55" spans="1:9" x14ac:dyDescent="0.2">
      <c r="A55" s="1">
        <v>3</v>
      </c>
      <c r="B55" s="3">
        <v>45657</v>
      </c>
      <c r="C55" s="1">
        <v>13</v>
      </c>
      <c r="D55" s="1" t="str">
        <f t="shared" ref="D55:D60" si="4">"1867"</f>
        <v>1867</v>
      </c>
      <c r="E55" s="1" t="str">
        <f t="shared" ref="E55:E60" si="5">"Прочие дебиторы по неосновной деятельности"</f>
        <v>Прочие дебиторы по неосновной деятельности</v>
      </c>
      <c r="F55" s="1" t="str">
        <f t="shared" si="2"/>
        <v>1</v>
      </c>
      <c r="G55" s="1" t="str">
        <f>"9"</f>
        <v>9</v>
      </c>
      <c r="H55" s="1" t="str">
        <f t="shared" si="3"/>
        <v>1</v>
      </c>
      <c r="I55" s="2">
        <v>26287160.109999999</v>
      </c>
    </row>
    <row r="56" spans="1:9" x14ac:dyDescent="0.2">
      <c r="A56" s="1">
        <v>33</v>
      </c>
      <c r="B56" s="3">
        <v>45657</v>
      </c>
      <c r="C56" s="1">
        <v>13</v>
      </c>
      <c r="D56" s="1" t="str">
        <f t="shared" si="4"/>
        <v>1867</v>
      </c>
      <c r="E56" s="1" t="str">
        <f t="shared" si="5"/>
        <v>Прочие дебиторы по неосновной деятельности</v>
      </c>
      <c r="F56" s="1" t="str">
        <f t="shared" si="2"/>
        <v>1</v>
      </c>
      <c r="G56" s="1" t="str">
        <f>"7"</f>
        <v>7</v>
      </c>
      <c r="H56" s="1" t="str">
        <f t="shared" si="3"/>
        <v>1</v>
      </c>
      <c r="I56" s="2">
        <v>541084297.36000001</v>
      </c>
    </row>
    <row r="57" spans="1:9" x14ac:dyDescent="0.2">
      <c r="A57" s="1">
        <v>43</v>
      </c>
      <c r="B57" s="3">
        <v>45657</v>
      </c>
      <c r="C57" s="1">
        <v>13</v>
      </c>
      <c r="D57" s="1" t="str">
        <f t="shared" si="4"/>
        <v>1867</v>
      </c>
      <c r="E57" s="1" t="str">
        <f t="shared" si="5"/>
        <v>Прочие дебиторы по неосновной деятельности</v>
      </c>
      <c r="F57" s="1" t="str">
        <f t="shared" si="2"/>
        <v>1</v>
      </c>
      <c r="G57" s="1" t="str">
        <f>"8"</f>
        <v>8</v>
      </c>
      <c r="H57" s="1" t="str">
        <f t="shared" si="3"/>
        <v>1</v>
      </c>
      <c r="I57" s="2">
        <v>1745774.2</v>
      </c>
    </row>
    <row r="58" spans="1:9" x14ac:dyDescent="0.2">
      <c r="A58" s="1">
        <v>44</v>
      </c>
      <c r="B58" s="3">
        <v>45657</v>
      </c>
      <c r="C58" s="1">
        <v>13</v>
      </c>
      <c r="D58" s="1" t="str">
        <f t="shared" si="4"/>
        <v>1867</v>
      </c>
      <c r="E58" s="1" t="str">
        <f t="shared" si="5"/>
        <v>Прочие дебиторы по неосновной деятельности</v>
      </c>
      <c r="F58" s="1" t="str">
        <f t="shared" si="2"/>
        <v>1</v>
      </c>
      <c r="G58" s="1" t="str">
        <f>"5"</f>
        <v>5</v>
      </c>
      <c r="H58" s="1" t="str">
        <f t="shared" si="3"/>
        <v>1</v>
      </c>
      <c r="I58" s="2">
        <v>1789530689.8099999</v>
      </c>
    </row>
    <row r="59" spans="1:9" x14ac:dyDescent="0.2">
      <c r="A59" s="1">
        <v>56</v>
      </c>
      <c r="B59" s="3">
        <v>45657</v>
      </c>
      <c r="C59" s="1">
        <v>13</v>
      </c>
      <c r="D59" s="1" t="str">
        <f t="shared" si="4"/>
        <v>1867</v>
      </c>
      <c r="E59" s="1" t="str">
        <f t="shared" si="5"/>
        <v>Прочие дебиторы по неосновной деятельности</v>
      </c>
      <c r="F59" s="1" t="str">
        <f t="shared" si="2"/>
        <v>1</v>
      </c>
      <c r="G59" s="1" t="str">
        <f>"6"</f>
        <v>6</v>
      </c>
      <c r="H59" s="1" t="str">
        <f t="shared" si="3"/>
        <v>1</v>
      </c>
      <c r="I59" s="2">
        <v>47844.63</v>
      </c>
    </row>
    <row r="60" spans="1:9" x14ac:dyDescent="0.2">
      <c r="A60" s="1">
        <v>121</v>
      </c>
      <c r="B60" s="3">
        <v>45657</v>
      </c>
      <c r="C60" s="1">
        <v>13</v>
      </c>
      <c r="D60" s="1" t="str">
        <f t="shared" si="4"/>
        <v>1867</v>
      </c>
      <c r="E60" s="1" t="str">
        <f t="shared" si="5"/>
        <v>Прочие дебиторы по неосновной деятельности</v>
      </c>
      <c r="F60" s="1" t="str">
        <f t="shared" si="2"/>
        <v>1</v>
      </c>
      <c r="G60" s="1" t="str">
        <f>"1"</f>
        <v>1</v>
      </c>
      <c r="H60" s="1" t="str">
        <f t="shared" si="3"/>
        <v>1</v>
      </c>
      <c r="I60" s="2">
        <v>2281</v>
      </c>
    </row>
    <row r="61" spans="1:9" x14ac:dyDescent="0.2">
      <c r="A61" s="1">
        <v>26</v>
      </c>
      <c r="B61" s="3">
        <v>45657</v>
      </c>
      <c r="C61" s="1">
        <v>13</v>
      </c>
      <c r="D61" s="1" t="str">
        <f>"1870"</f>
        <v>1870</v>
      </c>
      <c r="E61" s="1" t="str">
        <f>"Прочие транзитные счета"</f>
        <v>Прочие транзитные счета</v>
      </c>
      <c r="F61" s="1" t="str">
        <f t="shared" si="2"/>
        <v>1</v>
      </c>
      <c r="G61" s="1" t="str">
        <f>"5"</f>
        <v>5</v>
      </c>
      <c r="H61" s="1" t="str">
        <f>"2"</f>
        <v>2</v>
      </c>
      <c r="I61" s="2">
        <v>1746651338.3800001</v>
      </c>
    </row>
    <row r="62" spans="1:9" x14ac:dyDescent="0.2">
      <c r="A62" s="1">
        <v>52</v>
      </c>
      <c r="B62" s="3">
        <v>45657</v>
      </c>
      <c r="C62" s="1">
        <v>13</v>
      </c>
      <c r="D62" s="1" t="str">
        <f>"1870"</f>
        <v>1870</v>
      </c>
      <c r="E62" s="1" t="str">
        <f>"Прочие транзитные счета"</f>
        <v>Прочие транзитные счета</v>
      </c>
      <c r="F62" s="1" t="str">
        <f t="shared" si="2"/>
        <v>1</v>
      </c>
      <c r="G62" s="1" t="str">
        <f>"5"</f>
        <v>5</v>
      </c>
      <c r="H62" s="1" t="str">
        <f>"1"</f>
        <v>1</v>
      </c>
      <c r="I62" s="2">
        <v>70820.61</v>
      </c>
    </row>
    <row r="63" spans="1:9" x14ac:dyDescent="0.2">
      <c r="A63" s="1">
        <v>15</v>
      </c>
      <c r="B63" s="3">
        <v>45657</v>
      </c>
      <c r="C63" s="1">
        <v>13</v>
      </c>
      <c r="D63" s="1" t="str">
        <f>"2012"</f>
        <v>2012</v>
      </c>
      <c r="E63" s="1" t="str">
        <f>"Корреспондентские счета иностранных центральных банков"</f>
        <v>Корреспондентские счета иностранных центральных банков</v>
      </c>
      <c r="F63" s="1" t="str">
        <f>"2"</f>
        <v>2</v>
      </c>
      <c r="G63" s="1" t="str">
        <f>"3"</f>
        <v>3</v>
      </c>
      <c r="H63" s="1" t="str">
        <f>"2"</f>
        <v>2</v>
      </c>
      <c r="I63" s="2">
        <v>100765185.28</v>
      </c>
    </row>
    <row r="64" spans="1:9" x14ac:dyDescent="0.2">
      <c r="A64" s="1">
        <v>32</v>
      </c>
      <c r="B64" s="3">
        <v>45657</v>
      </c>
      <c r="C64" s="1">
        <v>13</v>
      </c>
      <c r="D64" s="1" t="str">
        <f>"2012"</f>
        <v>2012</v>
      </c>
      <c r="E64" s="1" t="str">
        <f>"Корреспондентские счета иностранных центральных банков"</f>
        <v>Корреспондентские счета иностранных центральных банков</v>
      </c>
      <c r="F64" s="1" t="str">
        <f>"2"</f>
        <v>2</v>
      </c>
      <c r="G64" s="1" t="str">
        <f>"3"</f>
        <v>3</v>
      </c>
      <c r="H64" s="1" t="str">
        <f>"1"</f>
        <v>1</v>
      </c>
      <c r="I64" s="2">
        <v>1236737.57</v>
      </c>
    </row>
    <row r="65" spans="1:9" x14ac:dyDescent="0.2">
      <c r="A65" s="1">
        <v>76</v>
      </c>
      <c r="B65" s="3">
        <v>45657</v>
      </c>
      <c r="C65" s="1">
        <v>13</v>
      </c>
      <c r="D65" s="1" t="str">
        <f>"2013"</f>
        <v>2013</v>
      </c>
      <c r="E65" s="1" t="str">
        <f>"Корреспондентские счета других банков"</f>
        <v>Корреспондентские счета других банков</v>
      </c>
      <c r="F65" s="1" t="str">
        <f>"1"</f>
        <v>1</v>
      </c>
      <c r="G65" s="1" t="str">
        <f>"4"</f>
        <v>4</v>
      </c>
      <c r="H65" s="1" t="str">
        <f>"1"</f>
        <v>1</v>
      </c>
      <c r="I65" s="2">
        <v>900000</v>
      </c>
    </row>
    <row r="66" spans="1:9" x14ac:dyDescent="0.2">
      <c r="A66" s="1">
        <v>92</v>
      </c>
      <c r="B66" s="3">
        <v>45657</v>
      </c>
      <c r="C66" s="1">
        <v>13</v>
      </c>
      <c r="D66" s="1" t="str">
        <f>"2013"</f>
        <v>2013</v>
      </c>
      <c r="E66" s="1" t="str">
        <f>"Корреспондентские счета других банков"</f>
        <v>Корреспондентские счета других банков</v>
      </c>
      <c r="F66" s="1" t="str">
        <f>"1"</f>
        <v>1</v>
      </c>
      <c r="G66" s="1" t="str">
        <f>"4"</f>
        <v>4</v>
      </c>
      <c r="H66" s="1" t="str">
        <f>"3"</f>
        <v>3</v>
      </c>
      <c r="I66" s="2">
        <v>776757.43</v>
      </c>
    </row>
    <row r="67" spans="1:9" x14ac:dyDescent="0.2">
      <c r="A67" s="1">
        <v>2</v>
      </c>
      <c r="B67" s="3">
        <v>45657</v>
      </c>
      <c r="C67" s="1">
        <v>13</v>
      </c>
      <c r="D67" s="1" t="str">
        <f>"2014"</f>
        <v>2014</v>
      </c>
      <c r="E67" s="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67" s="1" t="str">
        <f>"1"</f>
        <v>1</v>
      </c>
      <c r="G67" s="1" t="str">
        <f>"5"</f>
        <v>5</v>
      </c>
      <c r="H67" s="1" t="str">
        <f>"2"</f>
        <v>2</v>
      </c>
      <c r="I67" s="2">
        <v>1339030.5</v>
      </c>
    </row>
    <row r="68" spans="1:9" x14ac:dyDescent="0.2">
      <c r="A68" s="1">
        <v>4</v>
      </c>
      <c r="B68" s="3">
        <v>45657</v>
      </c>
      <c r="C68" s="1">
        <v>13</v>
      </c>
      <c r="D68" s="1" t="str">
        <f>"2014"</f>
        <v>2014</v>
      </c>
      <c r="E68" s="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68" s="1" t="str">
        <f>"1"</f>
        <v>1</v>
      </c>
      <c r="G68" s="1" t="str">
        <f>"5"</f>
        <v>5</v>
      </c>
      <c r="H68" s="1" t="str">
        <f>"1"</f>
        <v>1</v>
      </c>
      <c r="I68" s="2">
        <v>50000</v>
      </c>
    </row>
    <row r="69" spans="1:9" x14ac:dyDescent="0.2">
      <c r="A69" s="1">
        <v>1</v>
      </c>
      <c r="B69" s="3">
        <v>45657</v>
      </c>
      <c r="C69" s="1">
        <v>13</v>
      </c>
      <c r="D69" s="1" t="str">
        <f t="shared" ref="D69:D83" si="6">"2203"</f>
        <v>2203</v>
      </c>
      <c r="E69" s="1" t="str">
        <f t="shared" ref="E69:E83" si="7">"Текущие счета юридических лиц"</f>
        <v>Текущие счета юридических лиц</v>
      </c>
      <c r="F69" s="1" t="str">
        <f>"2"</f>
        <v>2</v>
      </c>
      <c r="G69" s="1" t="str">
        <f>"5"</f>
        <v>5</v>
      </c>
      <c r="H69" s="1" t="str">
        <f>"2"</f>
        <v>2</v>
      </c>
      <c r="I69" s="2">
        <v>1365.29</v>
      </c>
    </row>
    <row r="70" spans="1:9" x14ac:dyDescent="0.2">
      <c r="A70" s="1">
        <v>5</v>
      </c>
      <c r="B70" s="3">
        <v>45657</v>
      </c>
      <c r="C70" s="1">
        <v>13</v>
      </c>
      <c r="D70" s="1" t="str">
        <f t="shared" si="6"/>
        <v>2203</v>
      </c>
      <c r="E70" s="1" t="str">
        <f t="shared" si="7"/>
        <v>Текущие счета юридических лиц</v>
      </c>
      <c r="F70" s="1" t="str">
        <f>"2"</f>
        <v>2</v>
      </c>
      <c r="G70" s="1" t="str">
        <f>"7"</f>
        <v>7</v>
      </c>
      <c r="H70" s="1" t="str">
        <f>"1"</f>
        <v>1</v>
      </c>
      <c r="I70" s="2">
        <v>6466142.7699999996</v>
      </c>
    </row>
    <row r="71" spans="1:9" x14ac:dyDescent="0.2">
      <c r="A71" s="1">
        <v>7</v>
      </c>
      <c r="B71" s="3">
        <v>45657</v>
      </c>
      <c r="C71" s="1">
        <v>13</v>
      </c>
      <c r="D71" s="1" t="str">
        <f t="shared" si="6"/>
        <v>2203</v>
      </c>
      <c r="E71" s="1" t="str">
        <f t="shared" si="7"/>
        <v>Текущие счета юридических лиц</v>
      </c>
      <c r="F71" s="1" t="str">
        <f>"1"</f>
        <v>1</v>
      </c>
      <c r="G71" s="1" t="str">
        <f>"5"</f>
        <v>5</v>
      </c>
      <c r="H71" s="1" t="str">
        <f>"3"</f>
        <v>3</v>
      </c>
      <c r="I71" s="2">
        <v>208194119.19999999</v>
      </c>
    </row>
    <row r="72" spans="1:9" x14ac:dyDescent="0.2">
      <c r="A72" s="1">
        <v>9</v>
      </c>
      <c r="B72" s="3">
        <v>45657</v>
      </c>
      <c r="C72" s="1">
        <v>13</v>
      </c>
      <c r="D72" s="1" t="str">
        <f t="shared" si="6"/>
        <v>2203</v>
      </c>
      <c r="E72" s="1" t="str">
        <f t="shared" si="7"/>
        <v>Текущие счета юридических лиц</v>
      </c>
      <c r="F72" s="1" t="str">
        <f>"2"</f>
        <v>2</v>
      </c>
      <c r="G72" s="1" t="str">
        <f>"1"</f>
        <v>1</v>
      </c>
      <c r="H72" s="1" t="str">
        <f>"2"</f>
        <v>2</v>
      </c>
      <c r="I72" s="2">
        <v>1733733669.1400001</v>
      </c>
    </row>
    <row r="73" spans="1:9" x14ac:dyDescent="0.2">
      <c r="A73" s="1">
        <v>10</v>
      </c>
      <c r="B73" s="3">
        <v>45657</v>
      </c>
      <c r="C73" s="1">
        <v>13</v>
      </c>
      <c r="D73" s="1" t="str">
        <f t="shared" si="6"/>
        <v>2203</v>
      </c>
      <c r="E73" s="1" t="str">
        <f t="shared" si="7"/>
        <v>Текущие счета юридических лиц</v>
      </c>
      <c r="F73" s="1" t="str">
        <f>"1"</f>
        <v>1</v>
      </c>
      <c r="G73" s="1" t="str">
        <f>"8"</f>
        <v>8</v>
      </c>
      <c r="H73" s="1" t="str">
        <f>"1"</f>
        <v>1</v>
      </c>
      <c r="I73" s="2">
        <v>6645593.7199999997</v>
      </c>
    </row>
    <row r="74" spans="1:9" x14ac:dyDescent="0.2">
      <c r="A74" s="1">
        <v>16</v>
      </c>
      <c r="B74" s="3">
        <v>45657</v>
      </c>
      <c r="C74" s="1">
        <v>13</v>
      </c>
      <c r="D74" s="1" t="str">
        <f t="shared" si="6"/>
        <v>2203</v>
      </c>
      <c r="E74" s="1" t="str">
        <f t="shared" si="7"/>
        <v>Текущие счета юридических лиц</v>
      </c>
      <c r="F74" s="1" t="str">
        <f>"1"</f>
        <v>1</v>
      </c>
      <c r="G74" s="1" t="str">
        <f>"8"</f>
        <v>8</v>
      </c>
      <c r="H74" s="1" t="str">
        <f>"3"</f>
        <v>3</v>
      </c>
      <c r="I74" s="2">
        <v>39997157.079999998</v>
      </c>
    </row>
    <row r="75" spans="1:9" x14ac:dyDescent="0.2">
      <c r="A75" s="1">
        <v>23</v>
      </c>
      <c r="B75" s="3">
        <v>45657</v>
      </c>
      <c r="C75" s="1">
        <v>13</v>
      </c>
      <c r="D75" s="1" t="str">
        <f t="shared" si="6"/>
        <v>2203</v>
      </c>
      <c r="E75" s="1" t="str">
        <f t="shared" si="7"/>
        <v>Текущие счета юридических лиц</v>
      </c>
      <c r="F75" s="1" t="str">
        <f>"1"</f>
        <v>1</v>
      </c>
      <c r="G75" s="1" t="str">
        <f>"8"</f>
        <v>8</v>
      </c>
      <c r="H75" s="1" t="str">
        <f>"2"</f>
        <v>2</v>
      </c>
      <c r="I75" s="2">
        <v>61053242.68</v>
      </c>
    </row>
    <row r="76" spans="1:9" x14ac:dyDescent="0.2">
      <c r="A76" s="1">
        <v>24</v>
      </c>
      <c r="B76" s="3">
        <v>45657</v>
      </c>
      <c r="C76" s="1">
        <v>13</v>
      </c>
      <c r="D76" s="1" t="str">
        <f t="shared" si="6"/>
        <v>2203</v>
      </c>
      <c r="E76" s="1" t="str">
        <f t="shared" si="7"/>
        <v>Текущие счета юридических лиц</v>
      </c>
      <c r="F76" s="1" t="str">
        <f>"1"</f>
        <v>1</v>
      </c>
      <c r="G76" s="1" t="str">
        <f>"5"</f>
        <v>5</v>
      </c>
      <c r="H76" s="1" t="str">
        <f>"1"</f>
        <v>1</v>
      </c>
      <c r="I76" s="2">
        <v>4112008.49</v>
      </c>
    </row>
    <row r="77" spans="1:9" x14ac:dyDescent="0.2">
      <c r="A77" s="1">
        <v>30</v>
      </c>
      <c r="B77" s="3">
        <v>45657</v>
      </c>
      <c r="C77" s="1">
        <v>13</v>
      </c>
      <c r="D77" s="1" t="str">
        <f t="shared" si="6"/>
        <v>2203</v>
      </c>
      <c r="E77" s="1" t="str">
        <f t="shared" si="7"/>
        <v>Текущие счета юридических лиц</v>
      </c>
      <c r="F77" s="1" t="str">
        <f>"2"</f>
        <v>2</v>
      </c>
      <c r="G77" s="1" t="str">
        <f>"1"</f>
        <v>1</v>
      </c>
      <c r="H77" s="1" t="str">
        <f>"1"</f>
        <v>1</v>
      </c>
      <c r="I77" s="2">
        <v>79041767.409999996</v>
      </c>
    </row>
    <row r="78" spans="1:9" x14ac:dyDescent="0.2">
      <c r="A78" s="1">
        <v>34</v>
      </c>
      <c r="B78" s="3">
        <v>45657</v>
      </c>
      <c r="C78" s="1">
        <v>13</v>
      </c>
      <c r="D78" s="1" t="str">
        <f t="shared" si="6"/>
        <v>2203</v>
      </c>
      <c r="E78" s="1" t="str">
        <f t="shared" si="7"/>
        <v>Текущие счета юридических лиц</v>
      </c>
      <c r="F78" s="1" t="str">
        <f>"1"</f>
        <v>1</v>
      </c>
      <c r="G78" s="1" t="str">
        <f>"7"</f>
        <v>7</v>
      </c>
      <c r="H78" s="1" t="str">
        <f>"1"</f>
        <v>1</v>
      </c>
      <c r="I78" s="2">
        <v>6253587154.9899998</v>
      </c>
    </row>
    <row r="79" spans="1:9" x14ac:dyDescent="0.2">
      <c r="A79" s="1">
        <v>35</v>
      </c>
      <c r="B79" s="3">
        <v>45657</v>
      </c>
      <c r="C79" s="1">
        <v>13</v>
      </c>
      <c r="D79" s="1" t="str">
        <f t="shared" si="6"/>
        <v>2203</v>
      </c>
      <c r="E79" s="1" t="str">
        <f t="shared" si="7"/>
        <v>Текущие счета юридических лиц</v>
      </c>
      <c r="F79" s="1" t="str">
        <f>"1"</f>
        <v>1</v>
      </c>
      <c r="G79" s="1" t="str">
        <f>"5"</f>
        <v>5</v>
      </c>
      <c r="H79" s="1" t="str">
        <f>"2"</f>
        <v>2</v>
      </c>
      <c r="I79" s="2">
        <v>1255222214.0999999</v>
      </c>
    </row>
    <row r="80" spans="1:9" x14ac:dyDescent="0.2">
      <c r="A80" s="1">
        <v>45</v>
      </c>
      <c r="B80" s="3">
        <v>45657</v>
      </c>
      <c r="C80" s="1">
        <v>13</v>
      </c>
      <c r="D80" s="1" t="str">
        <f t="shared" si="6"/>
        <v>2203</v>
      </c>
      <c r="E80" s="1" t="str">
        <f t="shared" si="7"/>
        <v>Текущие счета юридических лиц</v>
      </c>
      <c r="F80" s="1" t="str">
        <f>"2"</f>
        <v>2</v>
      </c>
      <c r="G80" s="1" t="str">
        <f>"7"</f>
        <v>7</v>
      </c>
      <c r="H80" s="1" t="str">
        <f>"2"</f>
        <v>2</v>
      </c>
      <c r="I80" s="2">
        <v>1084015848.54</v>
      </c>
    </row>
    <row r="81" spans="1:9" x14ac:dyDescent="0.2">
      <c r="A81" s="1">
        <v>49</v>
      </c>
      <c r="B81" s="3">
        <v>45657</v>
      </c>
      <c r="C81" s="1">
        <v>13</v>
      </c>
      <c r="D81" s="1" t="str">
        <f t="shared" si="6"/>
        <v>2203</v>
      </c>
      <c r="E81" s="1" t="str">
        <f t="shared" si="7"/>
        <v>Текущие счета юридических лиц</v>
      </c>
      <c r="F81" s="1" t="str">
        <f>"2"</f>
        <v>2</v>
      </c>
      <c r="G81" s="1" t="str">
        <f>"7"</f>
        <v>7</v>
      </c>
      <c r="H81" s="1" t="str">
        <f>"3"</f>
        <v>3</v>
      </c>
      <c r="I81" s="2">
        <v>477989.83</v>
      </c>
    </row>
    <row r="82" spans="1:9" x14ac:dyDescent="0.2">
      <c r="A82" s="1">
        <v>51</v>
      </c>
      <c r="B82" s="3">
        <v>45657</v>
      </c>
      <c r="C82" s="1">
        <v>13</v>
      </c>
      <c r="D82" s="1" t="str">
        <f t="shared" si="6"/>
        <v>2203</v>
      </c>
      <c r="E82" s="1" t="str">
        <f t="shared" si="7"/>
        <v>Текущие счета юридических лиц</v>
      </c>
      <c r="F82" s="1" t="str">
        <f>"1"</f>
        <v>1</v>
      </c>
      <c r="G82" s="1" t="str">
        <f>"7"</f>
        <v>7</v>
      </c>
      <c r="H82" s="1" t="str">
        <f>"2"</f>
        <v>2</v>
      </c>
      <c r="I82" s="2">
        <v>8618961044.4500008</v>
      </c>
    </row>
    <row r="83" spans="1:9" x14ac:dyDescent="0.2">
      <c r="A83" s="1">
        <v>54</v>
      </c>
      <c r="B83" s="3">
        <v>45657</v>
      </c>
      <c r="C83" s="1">
        <v>13</v>
      </c>
      <c r="D83" s="1" t="str">
        <f t="shared" si="6"/>
        <v>2203</v>
      </c>
      <c r="E83" s="1" t="str">
        <f t="shared" si="7"/>
        <v>Текущие счета юридических лиц</v>
      </c>
      <c r="F83" s="1" t="str">
        <f>"1"</f>
        <v>1</v>
      </c>
      <c r="G83" s="1" t="str">
        <f>"7"</f>
        <v>7</v>
      </c>
      <c r="H83" s="1" t="str">
        <f>"3"</f>
        <v>3</v>
      </c>
      <c r="I83" s="2">
        <v>62711905.030000001</v>
      </c>
    </row>
    <row r="84" spans="1:9" x14ac:dyDescent="0.2">
      <c r="A84" s="1">
        <v>13</v>
      </c>
      <c r="B84" s="3">
        <v>45657</v>
      </c>
      <c r="C84" s="1">
        <v>13</v>
      </c>
      <c r="D84" s="1" t="str">
        <f t="shared" ref="D84:D89" si="8">"2204"</f>
        <v>2204</v>
      </c>
      <c r="E84" s="1" t="str">
        <f t="shared" ref="E84:E89" si="9">"Текущие счета физических лиц"</f>
        <v>Текущие счета физических лиц</v>
      </c>
      <c r="F84" s="1" t="str">
        <f>"1"</f>
        <v>1</v>
      </c>
      <c r="G84" s="1" t="str">
        <f t="shared" ref="G84:G89" si="10">"9"</f>
        <v>9</v>
      </c>
      <c r="H84" s="1" t="str">
        <f>"2"</f>
        <v>2</v>
      </c>
      <c r="I84" s="2">
        <v>812662176.20000005</v>
      </c>
    </row>
    <row r="85" spans="1:9" x14ac:dyDescent="0.2">
      <c r="A85" s="1">
        <v>41</v>
      </c>
      <c r="B85" s="3">
        <v>45657</v>
      </c>
      <c r="C85" s="1">
        <v>13</v>
      </c>
      <c r="D85" s="1" t="str">
        <f t="shared" si="8"/>
        <v>2204</v>
      </c>
      <c r="E85" s="1" t="str">
        <f t="shared" si="9"/>
        <v>Текущие счета физических лиц</v>
      </c>
      <c r="F85" s="1" t="str">
        <f>"2"</f>
        <v>2</v>
      </c>
      <c r="G85" s="1" t="str">
        <f t="shared" si="10"/>
        <v>9</v>
      </c>
      <c r="H85" s="1" t="str">
        <f>"1"</f>
        <v>1</v>
      </c>
      <c r="I85" s="2">
        <v>4634450.7</v>
      </c>
    </row>
    <row r="86" spans="1:9" x14ac:dyDescent="0.2">
      <c r="A86" s="1">
        <v>53</v>
      </c>
      <c r="B86" s="3">
        <v>45657</v>
      </c>
      <c r="C86" s="1">
        <v>13</v>
      </c>
      <c r="D86" s="1" t="str">
        <f t="shared" si="8"/>
        <v>2204</v>
      </c>
      <c r="E86" s="1" t="str">
        <f t="shared" si="9"/>
        <v>Текущие счета физических лиц</v>
      </c>
      <c r="F86" s="1" t="str">
        <f>"1"</f>
        <v>1</v>
      </c>
      <c r="G86" s="1" t="str">
        <f t="shared" si="10"/>
        <v>9</v>
      </c>
      <c r="H86" s="1" t="str">
        <f>"3"</f>
        <v>3</v>
      </c>
      <c r="I86" s="2">
        <v>13283260.539999999</v>
      </c>
    </row>
    <row r="87" spans="1:9" x14ac:dyDescent="0.2">
      <c r="A87" s="1">
        <v>55</v>
      </c>
      <c r="B87" s="3">
        <v>45657</v>
      </c>
      <c r="C87" s="1">
        <v>13</v>
      </c>
      <c r="D87" s="1" t="str">
        <f t="shared" si="8"/>
        <v>2204</v>
      </c>
      <c r="E87" s="1" t="str">
        <f t="shared" si="9"/>
        <v>Текущие счета физических лиц</v>
      </c>
      <c r="F87" s="1" t="str">
        <f>"2"</f>
        <v>2</v>
      </c>
      <c r="G87" s="1" t="str">
        <f t="shared" si="10"/>
        <v>9</v>
      </c>
      <c r="H87" s="1" t="str">
        <f>"2"</f>
        <v>2</v>
      </c>
      <c r="I87" s="2">
        <v>5403224.3600000003</v>
      </c>
    </row>
    <row r="88" spans="1:9" x14ac:dyDescent="0.2">
      <c r="A88" s="1">
        <v>60</v>
      </c>
      <c r="B88" s="3">
        <v>45657</v>
      </c>
      <c r="C88" s="1">
        <v>13</v>
      </c>
      <c r="D88" s="1" t="str">
        <f t="shared" si="8"/>
        <v>2204</v>
      </c>
      <c r="E88" s="1" t="str">
        <f t="shared" si="9"/>
        <v>Текущие счета физических лиц</v>
      </c>
      <c r="F88" s="1" t="str">
        <f>"2"</f>
        <v>2</v>
      </c>
      <c r="G88" s="1" t="str">
        <f t="shared" si="10"/>
        <v>9</v>
      </c>
      <c r="H88" s="1" t="str">
        <f>"3"</f>
        <v>3</v>
      </c>
      <c r="I88" s="2">
        <v>35.75</v>
      </c>
    </row>
    <row r="89" spans="1:9" x14ac:dyDescent="0.2">
      <c r="A89" s="1">
        <v>86</v>
      </c>
      <c r="B89" s="3">
        <v>45657</v>
      </c>
      <c r="C89" s="1">
        <v>13</v>
      </c>
      <c r="D89" s="1" t="str">
        <f t="shared" si="8"/>
        <v>2204</v>
      </c>
      <c r="E89" s="1" t="str">
        <f t="shared" si="9"/>
        <v>Текущие счета физических лиц</v>
      </c>
      <c r="F89" s="1" t="str">
        <f t="shared" ref="F89:F96" si="11">"1"</f>
        <v>1</v>
      </c>
      <c r="G89" s="1" t="str">
        <f t="shared" si="10"/>
        <v>9</v>
      </c>
      <c r="H89" s="1" t="str">
        <f>"1"</f>
        <v>1</v>
      </c>
      <c r="I89" s="2">
        <v>659923635.69000006</v>
      </c>
    </row>
    <row r="90" spans="1:9" x14ac:dyDescent="0.2">
      <c r="A90" s="1">
        <v>58</v>
      </c>
      <c r="B90" s="3">
        <v>45657</v>
      </c>
      <c r="C90" s="1">
        <v>13</v>
      </c>
      <c r="D90" s="1" t="str">
        <f>"2227"</f>
        <v>2227</v>
      </c>
      <c r="E90" s="1" t="str">
        <f>"Обязательства по аренде"</f>
        <v>Обязательства по аренде</v>
      </c>
      <c r="F90" s="1" t="str">
        <f t="shared" si="11"/>
        <v>1</v>
      </c>
      <c r="G90" s="1" t="str">
        <f>"7"</f>
        <v>7</v>
      </c>
      <c r="H90" s="1" t="str">
        <f>"2"</f>
        <v>2</v>
      </c>
      <c r="I90" s="2">
        <v>739991449.85000002</v>
      </c>
    </row>
    <row r="91" spans="1:9" x14ac:dyDescent="0.2">
      <c r="A91" s="1">
        <v>61</v>
      </c>
      <c r="B91" s="3">
        <v>45657</v>
      </c>
      <c r="C91" s="1">
        <v>13</v>
      </c>
      <c r="D91" s="1" t="str">
        <f>"2240"</f>
        <v>2240</v>
      </c>
      <c r="E91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91" s="1" t="str">
        <f t="shared" si="11"/>
        <v>1</v>
      </c>
      <c r="G91" s="1" t="str">
        <f>"7"</f>
        <v>7</v>
      </c>
      <c r="H91" s="1" t="str">
        <f>"1"</f>
        <v>1</v>
      </c>
      <c r="I91" s="2">
        <v>5024423412</v>
      </c>
    </row>
    <row r="92" spans="1:9" x14ac:dyDescent="0.2">
      <c r="A92" s="1">
        <v>57</v>
      </c>
      <c r="B92" s="3">
        <v>45657</v>
      </c>
      <c r="C92" s="1">
        <v>13</v>
      </c>
      <c r="D92" s="1" t="str">
        <f t="shared" ref="D92:D98" si="12">"2245"</f>
        <v>2245</v>
      </c>
      <c r="E92" s="1" t="str">
        <f t="shared" ref="E92:E98" si="13">"Инвестиционные депозиты"</f>
        <v>Инвестиционные депозиты</v>
      </c>
      <c r="F92" s="1" t="str">
        <f t="shared" si="11"/>
        <v>1</v>
      </c>
      <c r="G92" s="1" t="str">
        <f>"9"</f>
        <v>9</v>
      </c>
      <c r="H92" s="1" t="str">
        <f>"1"</f>
        <v>1</v>
      </c>
      <c r="I92" s="2">
        <v>8640728350.8999996</v>
      </c>
    </row>
    <row r="93" spans="1:9" x14ac:dyDescent="0.2">
      <c r="A93" s="1">
        <v>71</v>
      </c>
      <c r="B93" s="3">
        <v>45657</v>
      </c>
      <c r="C93" s="1">
        <v>13</v>
      </c>
      <c r="D93" s="1" t="str">
        <f t="shared" si="12"/>
        <v>2245</v>
      </c>
      <c r="E93" s="1" t="str">
        <f t="shared" si="13"/>
        <v>Инвестиционные депозиты</v>
      </c>
      <c r="F93" s="1" t="str">
        <f t="shared" si="11"/>
        <v>1</v>
      </c>
      <c r="G93" s="1" t="str">
        <f>"9"</f>
        <v>9</v>
      </c>
      <c r="H93" s="1" t="str">
        <f>"2"</f>
        <v>2</v>
      </c>
      <c r="I93" s="2">
        <v>36978482163.489998</v>
      </c>
    </row>
    <row r="94" spans="1:9" x14ac:dyDescent="0.2">
      <c r="A94" s="1">
        <v>73</v>
      </c>
      <c r="B94" s="3">
        <v>45657</v>
      </c>
      <c r="C94" s="1">
        <v>13</v>
      </c>
      <c r="D94" s="1" t="str">
        <f t="shared" si="12"/>
        <v>2245</v>
      </c>
      <c r="E94" s="1" t="str">
        <f t="shared" si="13"/>
        <v>Инвестиционные депозиты</v>
      </c>
      <c r="F94" s="1" t="str">
        <f t="shared" si="11"/>
        <v>1</v>
      </c>
      <c r="G94" s="1" t="str">
        <f>"5"</f>
        <v>5</v>
      </c>
      <c r="H94" s="1" t="str">
        <f>"2"</f>
        <v>2</v>
      </c>
      <c r="I94" s="2">
        <v>18231819200</v>
      </c>
    </row>
    <row r="95" spans="1:9" x14ac:dyDescent="0.2">
      <c r="A95" s="1">
        <v>74</v>
      </c>
      <c r="B95" s="3">
        <v>45657</v>
      </c>
      <c r="C95" s="1">
        <v>13</v>
      </c>
      <c r="D95" s="1" t="str">
        <f t="shared" si="12"/>
        <v>2245</v>
      </c>
      <c r="E95" s="1" t="str">
        <f t="shared" si="13"/>
        <v>Инвестиционные депозиты</v>
      </c>
      <c r="F95" s="1" t="str">
        <f t="shared" si="11"/>
        <v>1</v>
      </c>
      <c r="G95" s="1" t="str">
        <f>"5"</f>
        <v>5</v>
      </c>
      <c r="H95" s="1" t="str">
        <f>"1"</f>
        <v>1</v>
      </c>
      <c r="I95" s="2">
        <v>1695000000</v>
      </c>
    </row>
    <row r="96" spans="1:9" x14ac:dyDescent="0.2">
      <c r="A96" s="1">
        <v>75</v>
      </c>
      <c r="B96" s="3">
        <v>45657</v>
      </c>
      <c r="C96" s="1">
        <v>13</v>
      </c>
      <c r="D96" s="1" t="str">
        <f t="shared" si="12"/>
        <v>2245</v>
      </c>
      <c r="E96" s="1" t="str">
        <f t="shared" si="13"/>
        <v>Инвестиционные депозиты</v>
      </c>
      <c r="F96" s="1" t="str">
        <f t="shared" si="11"/>
        <v>1</v>
      </c>
      <c r="G96" s="1" t="str">
        <f>"7"</f>
        <v>7</v>
      </c>
      <c r="H96" s="1" t="str">
        <f>"1"</f>
        <v>1</v>
      </c>
      <c r="I96" s="2">
        <v>5437736000</v>
      </c>
    </row>
    <row r="97" spans="1:9" x14ac:dyDescent="0.2">
      <c r="A97" s="1">
        <v>79</v>
      </c>
      <c r="B97" s="3">
        <v>45657</v>
      </c>
      <c r="C97" s="1">
        <v>13</v>
      </c>
      <c r="D97" s="1" t="str">
        <f t="shared" si="12"/>
        <v>2245</v>
      </c>
      <c r="E97" s="1" t="str">
        <f t="shared" si="13"/>
        <v>Инвестиционные депозиты</v>
      </c>
      <c r="F97" s="1" t="str">
        <f>"2"</f>
        <v>2</v>
      </c>
      <c r="G97" s="1" t="str">
        <f>"4"</f>
        <v>4</v>
      </c>
      <c r="H97" s="1" t="str">
        <f>"2"</f>
        <v>2</v>
      </c>
      <c r="I97" s="2">
        <v>5251100000</v>
      </c>
    </row>
    <row r="98" spans="1:9" x14ac:dyDescent="0.2">
      <c r="A98" s="1">
        <v>83</v>
      </c>
      <c r="B98" s="3">
        <v>45657</v>
      </c>
      <c r="C98" s="1">
        <v>13</v>
      </c>
      <c r="D98" s="1" t="str">
        <f t="shared" si="12"/>
        <v>2245</v>
      </c>
      <c r="E98" s="1" t="str">
        <f t="shared" si="13"/>
        <v>Инвестиционные депозиты</v>
      </c>
      <c r="F98" s="1" t="str">
        <f>"1"</f>
        <v>1</v>
      </c>
      <c r="G98" s="1" t="str">
        <f>"7"</f>
        <v>7</v>
      </c>
      <c r="H98" s="1" t="str">
        <f>"2"</f>
        <v>2</v>
      </c>
      <c r="I98" s="2">
        <v>60616723167.220001</v>
      </c>
    </row>
    <row r="99" spans="1:9" x14ac:dyDescent="0.2">
      <c r="A99" s="1">
        <v>65</v>
      </c>
      <c r="B99" s="3">
        <v>45657</v>
      </c>
      <c r="C99" s="1">
        <v>13</v>
      </c>
      <c r="D99" s="1" t="str">
        <f t="shared" ref="D99:D105" si="14">"2729"</f>
        <v>2729</v>
      </c>
      <c r="E99" s="1" t="str">
        <f t="shared" ref="E99:E105" si="15">"Обязательства по выплате части дохода по инвестиционным депозитам"</f>
        <v>Обязательства по выплате части дохода по инвестиционным депозитам</v>
      </c>
      <c r="F99" s="1" t="str">
        <f>"1"</f>
        <v>1</v>
      </c>
      <c r="G99" s="1" t="str">
        <f>"5"</f>
        <v>5</v>
      </c>
      <c r="H99" s="1" t="str">
        <f>"1"</f>
        <v>1</v>
      </c>
      <c r="I99" s="2">
        <v>61535208.329999998</v>
      </c>
    </row>
    <row r="100" spans="1:9" x14ac:dyDescent="0.2">
      <c r="A100" s="1">
        <v>66</v>
      </c>
      <c r="B100" s="3">
        <v>45657</v>
      </c>
      <c r="C100" s="1">
        <v>13</v>
      </c>
      <c r="D100" s="1" t="str">
        <f t="shared" si="14"/>
        <v>2729</v>
      </c>
      <c r="E100" s="1" t="str">
        <f t="shared" si="15"/>
        <v>Обязательства по выплате части дохода по инвестиционным депозитам</v>
      </c>
      <c r="F100" s="1" t="str">
        <f>"1"</f>
        <v>1</v>
      </c>
      <c r="G100" s="1" t="str">
        <f>"7"</f>
        <v>7</v>
      </c>
      <c r="H100" s="1" t="str">
        <f>"1"</f>
        <v>1</v>
      </c>
      <c r="I100" s="2">
        <v>566317961.13</v>
      </c>
    </row>
    <row r="101" spans="1:9" x14ac:dyDescent="0.2">
      <c r="A101" s="1">
        <v>68</v>
      </c>
      <c r="B101" s="3">
        <v>45657</v>
      </c>
      <c r="C101" s="1">
        <v>13</v>
      </c>
      <c r="D101" s="1" t="str">
        <f t="shared" si="14"/>
        <v>2729</v>
      </c>
      <c r="E101" s="1" t="str">
        <f t="shared" si="15"/>
        <v>Обязательства по выплате части дохода по инвестиционным депозитам</v>
      </c>
      <c r="F101" s="1" t="str">
        <f>"1"</f>
        <v>1</v>
      </c>
      <c r="G101" s="1" t="str">
        <f>"5"</f>
        <v>5</v>
      </c>
      <c r="H101" s="1" t="str">
        <f>"2"</f>
        <v>2</v>
      </c>
      <c r="I101" s="2">
        <v>47926632.170000002</v>
      </c>
    </row>
    <row r="102" spans="1:9" x14ac:dyDescent="0.2">
      <c r="A102" s="1">
        <v>69</v>
      </c>
      <c r="B102" s="3">
        <v>45657</v>
      </c>
      <c r="C102" s="1">
        <v>13</v>
      </c>
      <c r="D102" s="1" t="str">
        <f t="shared" si="14"/>
        <v>2729</v>
      </c>
      <c r="E102" s="1" t="str">
        <f t="shared" si="15"/>
        <v>Обязательства по выплате части дохода по инвестиционным депозитам</v>
      </c>
      <c r="F102" s="1" t="str">
        <f>"2"</f>
        <v>2</v>
      </c>
      <c r="G102" s="1" t="str">
        <f>"4"</f>
        <v>4</v>
      </c>
      <c r="H102" s="1" t="str">
        <f>"2"</f>
        <v>2</v>
      </c>
      <c r="I102" s="2">
        <v>969573.61</v>
      </c>
    </row>
    <row r="103" spans="1:9" x14ac:dyDescent="0.2">
      <c r="A103" s="1">
        <v>72</v>
      </c>
      <c r="B103" s="3">
        <v>45657</v>
      </c>
      <c r="C103" s="1">
        <v>13</v>
      </c>
      <c r="D103" s="1" t="str">
        <f t="shared" si="14"/>
        <v>2729</v>
      </c>
      <c r="E103" s="1" t="str">
        <f t="shared" si="15"/>
        <v>Обязательства по выплате части дохода по инвестиционным депозитам</v>
      </c>
      <c r="F103" s="1" t="str">
        <f>"1"</f>
        <v>1</v>
      </c>
      <c r="G103" s="1" t="str">
        <f>"9"</f>
        <v>9</v>
      </c>
      <c r="H103" s="1" t="str">
        <f>"1"</f>
        <v>1</v>
      </c>
      <c r="I103" s="2">
        <v>57243617.25</v>
      </c>
    </row>
    <row r="104" spans="1:9" x14ac:dyDescent="0.2">
      <c r="A104" s="1">
        <v>81</v>
      </c>
      <c r="B104" s="3">
        <v>45657</v>
      </c>
      <c r="C104" s="1">
        <v>13</v>
      </c>
      <c r="D104" s="1" t="str">
        <f t="shared" si="14"/>
        <v>2729</v>
      </c>
      <c r="E104" s="1" t="str">
        <f t="shared" si="15"/>
        <v>Обязательства по выплате части дохода по инвестиционным депозитам</v>
      </c>
      <c r="F104" s="1" t="str">
        <f>"1"</f>
        <v>1</v>
      </c>
      <c r="G104" s="1" t="str">
        <f>"7"</f>
        <v>7</v>
      </c>
      <c r="H104" s="1" t="str">
        <f>"2"</f>
        <v>2</v>
      </c>
      <c r="I104" s="2">
        <v>422612419.06999999</v>
      </c>
    </row>
    <row r="105" spans="1:9" x14ac:dyDescent="0.2">
      <c r="A105" s="1">
        <v>84</v>
      </c>
      <c r="B105" s="3">
        <v>45657</v>
      </c>
      <c r="C105" s="1">
        <v>13</v>
      </c>
      <c r="D105" s="1" t="str">
        <f t="shared" si="14"/>
        <v>2729</v>
      </c>
      <c r="E105" s="1" t="str">
        <f t="shared" si="15"/>
        <v>Обязательства по выплате части дохода по инвестиционным депозитам</v>
      </c>
      <c r="F105" s="1" t="str">
        <f>"1"</f>
        <v>1</v>
      </c>
      <c r="G105" s="1" t="str">
        <f>"9"</f>
        <v>9</v>
      </c>
      <c r="H105" s="1" t="str">
        <f>"2"</f>
        <v>2</v>
      </c>
      <c r="I105" s="2">
        <v>812017270.30999994</v>
      </c>
    </row>
    <row r="106" spans="1:9" x14ac:dyDescent="0.2">
      <c r="A106" s="1">
        <v>82</v>
      </c>
      <c r="B106" s="3">
        <v>45657</v>
      </c>
      <c r="C106" s="1">
        <v>13</v>
      </c>
      <c r="D106" s="1" t="str">
        <f>"2745"</f>
        <v>2745</v>
      </c>
      <c r="E106" s="1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06" s="1" t="str">
        <f>"1"</f>
        <v>1</v>
      </c>
      <c r="G106" s="1" t="str">
        <f>"7"</f>
        <v>7</v>
      </c>
      <c r="H106" s="1" t="str">
        <f>"2"</f>
        <v>2</v>
      </c>
      <c r="I106" s="2">
        <v>326394150.76999998</v>
      </c>
    </row>
    <row r="107" spans="1:9" x14ac:dyDescent="0.2">
      <c r="A107" s="1">
        <v>80</v>
      </c>
      <c r="B107" s="3">
        <v>45657</v>
      </c>
      <c r="C107" s="1">
        <v>13</v>
      </c>
      <c r="D107" s="1" t="str">
        <f>"2770"</f>
        <v>2770</v>
      </c>
      <c r="E107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07" s="1" t="str">
        <f>"2"</f>
        <v>2</v>
      </c>
      <c r="G107" s="1" t="str">
        <f>"7"</f>
        <v>7</v>
      </c>
      <c r="H107" s="1" t="str">
        <f>"2"</f>
        <v>2</v>
      </c>
      <c r="I107" s="2">
        <v>662917872.98000002</v>
      </c>
    </row>
    <row r="108" spans="1:9" x14ac:dyDescent="0.2">
      <c r="A108" s="1">
        <v>87</v>
      </c>
      <c r="B108" s="3">
        <v>45657</v>
      </c>
      <c r="C108" s="1">
        <v>13</v>
      </c>
      <c r="D108" s="1" t="str">
        <f>"2770"</f>
        <v>2770</v>
      </c>
      <c r="E108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08" s="1" t="str">
        <f>"2"</f>
        <v>2</v>
      </c>
      <c r="G108" s="1" t="str">
        <f>"5"</f>
        <v>5</v>
      </c>
      <c r="H108" s="1" t="str">
        <f>"2"</f>
        <v>2</v>
      </c>
      <c r="I108" s="2">
        <v>544553.04</v>
      </c>
    </row>
    <row r="109" spans="1:9" x14ac:dyDescent="0.2">
      <c r="A109" s="1">
        <v>107</v>
      </c>
      <c r="B109" s="3">
        <v>45657</v>
      </c>
      <c r="C109" s="1">
        <v>13</v>
      </c>
      <c r="D109" s="1" t="str">
        <f>"2770"</f>
        <v>2770</v>
      </c>
      <c r="E109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09" s="1" t="str">
        <f t="shared" ref="F109:F115" si="16">"1"</f>
        <v>1</v>
      </c>
      <c r="G109" s="1" t="str">
        <f>"7"</f>
        <v>7</v>
      </c>
      <c r="H109" s="1" t="str">
        <f>"1"</f>
        <v>1</v>
      </c>
      <c r="I109" s="2">
        <v>220693735.53999999</v>
      </c>
    </row>
    <row r="110" spans="1:9" x14ac:dyDescent="0.2">
      <c r="A110" s="1">
        <v>217</v>
      </c>
      <c r="B110" s="3">
        <v>45657</v>
      </c>
      <c r="C110" s="1">
        <v>13</v>
      </c>
      <c r="D110" s="1" t="str">
        <f>"2770"</f>
        <v>2770</v>
      </c>
      <c r="E110" s="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0" s="1" t="str">
        <f t="shared" si="16"/>
        <v>1</v>
      </c>
      <c r="G110" s="1" t="str">
        <f>"7"</f>
        <v>7</v>
      </c>
      <c r="H110" s="1" t="str">
        <f>"2"</f>
        <v>2</v>
      </c>
      <c r="I110" s="2">
        <v>3573788.39</v>
      </c>
    </row>
    <row r="111" spans="1:9" x14ac:dyDescent="0.2">
      <c r="A111" s="1">
        <v>85</v>
      </c>
      <c r="B111" s="3">
        <v>45657</v>
      </c>
      <c r="C111" s="1">
        <v>13</v>
      </c>
      <c r="D111" s="1" t="str">
        <f t="shared" ref="D111:D116" si="17">"2794"</f>
        <v>2794</v>
      </c>
      <c r="E111" s="1" t="str">
        <f t="shared" ref="E111:E116" si="18">"Доходы будущих периодов"</f>
        <v>Доходы будущих периодов</v>
      </c>
      <c r="F111" s="1" t="str">
        <f t="shared" si="16"/>
        <v>1</v>
      </c>
      <c r="G111" s="1" t="str">
        <f>"7"</f>
        <v>7</v>
      </c>
      <c r="H111" s="1" t="str">
        <f>"1"</f>
        <v>1</v>
      </c>
      <c r="I111" s="2">
        <v>5538452061.2799997</v>
      </c>
    </row>
    <row r="112" spans="1:9" x14ac:dyDescent="0.2">
      <c r="A112" s="1">
        <v>88</v>
      </c>
      <c r="B112" s="3">
        <v>45657</v>
      </c>
      <c r="C112" s="1">
        <v>13</v>
      </c>
      <c r="D112" s="1" t="str">
        <f t="shared" si="17"/>
        <v>2794</v>
      </c>
      <c r="E112" s="1" t="str">
        <f t="shared" si="18"/>
        <v>Доходы будущих периодов</v>
      </c>
      <c r="F112" s="1" t="str">
        <f t="shared" si="16"/>
        <v>1</v>
      </c>
      <c r="G112" s="1" t="str">
        <f>"3"</f>
        <v>3</v>
      </c>
      <c r="H112" s="1" t="str">
        <f>"1"</f>
        <v>1</v>
      </c>
      <c r="I112" s="2">
        <v>35308333.340000004</v>
      </c>
    </row>
    <row r="113" spans="1:9" x14ac:dyDescent="0.2">
      <c r="A113" s="1">
        <v>91</v>
      </c>
      <c r="B113" s="3">
        <v>45657</v>
      </c>
      <c r="C113" s="1">
        <v>13</v>
      </c>
      <c r="D113" s="1" t="str">
        <f t="shared" si="17"/>
        <v>2794</v>
      </c>
      <c r="E113" s="1" t="str">
        <f t="shared" si="18"/>
        <v>Доходы будущих периодов</v>
      </c>
      <c r="F113" s="1" t="str">
        <f t="shared" si="16"/>
        <v>1</v>
      </c>
      <c r="G113" s="1" t="str">
        <f>"4"</f>
        <v>4</v>
      </c>
      <c r="H113" s="1" t="str">
        <f>"1"</f>
        <v>1</v>
      </c>
      <c r="I113" s="2">
        <v>54945987</v>
      </c>
    </row>
    <row r="114" spans="1:9" x14ac:dyDescent="0.2">
      <c r="A114" s="1">
        <v>185</v>
      </c>
      <c r="B114" s="3">
        <v>45657</v>
      </c>
      <c r="C114" s="1">
        <v>13</v>
      </c>
      <c r="D114" s="1" t="str">
        <f t="shared" si="17"/>
        <v>2794</v>
      </c>
      <c r="E114" s="1" t="str">
        <f t="shared" si="18"/>
        <v>Доходы будущих периодов</v>
      </c>
      <c r="F114" s="1" t="str">
        <f t="shared" si="16"/>
        <v>1</v>
      </c>
      <c r="G114" s="1" t="str">
        <f>"7"</f>
        <v>7</v>
      </c>
      <c r="H114" s="1" t="str">
        <f>"2"</f>
        <v>2</v>
      </c>
      <c r="I114" s="2">
        <v>23368526722.32</v>
      </c>
    </row>
    <row r="115" spans="1:9" x14ac:dyDescent="0.2">
      <c r="A115" s="1">
        <v>186</v>
      </c>
      <c r="B115" s="3">
        <v>45657</v>
      </c>
      <c r="C115" s="1">
        <v>13</v>
      </c>
      <c r="D115" s="1" t="str">
        <f t="shared" si="17"/>
        <v>2794</v>
      </c>
      <c r="E115" s="1" t="str">
        <f t="shared" si="18"/>
        <v>Доходы будущих периодов</v>
      </c>
      <c r="F115" s="1" t="str">
        <f t="shared" si="16"/>
        <v>1</v>
      </c>
      <c r="G115" s="1" t="str">
        <f>"9"</f>
        <v>9</v>
      </c>
      <c r="H115" s="1" t="str">
        <f>"1"</f>
        <v>1</v>
      </c>
      <c r="I115" s="2">
        <v>2936672259.5</v>
      </c>
    </row>
    <row r="116" spans="1:9" x14ac:dyDescent="0.2">
      <c r="A116" s="1">
        <v>187</v>
      </c>
      <c r="B116" s="3">
        <v>45657</v>
      </c>
      <c r="C116" s="1">
        <v>13</v>
      </c>
      <c r="D116" s="1" t="str">
        <f t="shared" si="17"/>
        <v>2794</v>
      </c>
      <c r="E116" s="1" t="str">
        <f t="shared" si="18"/>
        <v>Доходы будущих периодов</v>
      </c>
      <c r="F116" s="1" t="str">
        <f>"2"</f>
        <v>2</v>
      </c>
      <c r="G116" s="1" t="str">
        <f>"7"</f>
        <v>7</v>
      </c>
      <c r="H116" s="1" t="str">
        <f>"2"</f>
        <v>2</v>
      </c>
      <c r="I116" s="2">
        <v>63695674.960000001</v>
      </c>
    </row>
    <row r="117" spans="1:9" x14ac:dyDescent="0.2">
      <c r="A117" s="1">
        <v>205</v>
      </c>
      <c r="B117" s="3">
        <v>45657</v>
      </c>
      <c r="C117" s="1">
        <v>13</v>
      </c>
      <c r="D117" s="1" t="str">
        <f>"2851"</f>
        <v>2851</v>
      </c>
      <c r="E117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17" s="1" t="str">
        <f>"1"</f>
        <v>1</v>
      </c>
      <c r="G117" s="1" t="str">
        <f>"1"</f>
        <v>1</v>
      </c>
      <c r="H117" s="1" t="str">
        <f>"1"</f>
        <v>1</v>
      </c>
      <c r="I117" s="2">
        <v>181704326.53</v>
      </c>
    </row>
    <row r="118" spans="1:9" x14ac:dyDescent="0.2">
      <c r="A118" s="1">
        <v>137</v>
      </c>
      <c r="B118" s="3">
        <v>45657</v>
      </c>
      <c r="C118" s="1">
        <v>13</v>
      </c>
      <c r="D118" s="1" t="str">
        <f>"2854"</f>
        <v>2854</v>
      </c>
      <c r="E118" s="1" t="str">
        <f>"Расчеты с работниками"</f>
        <v>Расчеты с работниками</v>
      </c>
      <c r="F118" s="1" t="str">
        <f>""</f>
        <v/>
      </c>
      <c r="G118" s="1" t="str">
        <f>""</f>
        <v/>
      </c>
      <c r="H118" s="1" t="str">
        <f>""</f>
        <v/>
      </c>
      <c r="I118" s="2">
        <v>732077203.87</v>
      </c>
    </row>
    <row r="119" spans="1:9" x14ac:dyDescent="0.2">
      <c r="A119" s="1">
        <v>94</v>
      </c>
      <c r="B119" s="3">
        <v>45657</v>
      </c>
      <c r="C119" s="1">
        <v>13</v>
      </c>
      <c r="D119" s="1" t="str">
        <f>"2860"</f>
        <v>2860</v>
      </c>
      <c r="E119" s="1" t="str">
        <f>"Прочие кредиторы по банковской деятельности"</f>
        <v>Прочие кредиторы по банковской деятельности</v>
      </c>
      <c r="F119" s="1" t="str">
        <f>"1"</f>
        <v>1</v>
      </c>
      <c r="G119" s="1" t="str">
        <f>"5"</f>
        <v>5</v>
      </c>
      <c r="H119" s="1" t="str">
        <f>"1"</f>
        <v>1</v>
      </c>
      <c r="I119" s="2">
        <v>10231249998.98</v>
      </c>
    </row>
    <row r="120" spans="1:9" x14ac:dyDescent="0.2">
      <c r="A120" s="1">
        <v>126</v>
      </c>
      <c r="B120" s="3">
        <v>45657</v>
      </c>
      <c r="C120" s="1">
        <v>13</v>
      </c>
      <c r="D120" s="1" t="str">
        <f>"2860"</f>
        <v>2860</v>
      </c>
      <c r="E120" s="1" t="str">
        <f>"Прочие кредиторы по банковской деятельности"</f>
        <v>Прочие кредиторы по банковской деятельности</v>
      </c>
      <c r="F120" s="1" t="str">
        <f>"1"</f>
        <v>1</v>
      </c>
      <c r="G120" s="1" t="str">
        <f>"9"</f>
        <v>9</v>
      </c>
      <c r="H120" s="1" t="str">
        <f>"2"</f>
        <v>2</v>
      </c>
      <c r="I120" s="2">
        <v>2100.42</v>
      </c>
    </row>
    <row r="121" spans="1:9" x14ac:dyDescent="0.2">
      <c r="A121" s="1">
        <v>206</v>
      </c>
      <c r="B121" s="3">
        <v>45657</v>
      </c>
      <c r="C121" s="1">
        <v>13</v>
      </c>
      <c r="D121" s="1" t="str">
        <f>"2861"</f>
        <v>2861</v>
      </c>
      <c r="E121" s="1" t="str">
        <f>"Резерв на отпускные выплаты"</f>
        <v>Резерв на отпускные выплаты</v>
      </c>
      <c r="F121" s="1" t="str">
        <f>""</f>
        <v/>
      </c>
      <c r="G121" s="1" t="str">
        <f>""</f>
        <v/>
      </c>
      <c r="H121" s="1" t="str">
        <f>""</f>
        <v/>
      </c>
      <c r="I121" s="2">
        <v>21402446.949999999</v>
      </c>
    </row>
    <row r="122" spans="1:9" x14ac:dyDescent="0.2">
      <c r="A122" s="1">
        <v>89</v>
      </c>
      <c r="B122" s="3">
        <v>45657</v>
      </c>
      <c r="C122" s="1">
        <v>13</v>
      </c>
      <c r="D122" s="1" t="str">
        <f>"2870"</f>
        <v>2870</v>
      </c>
      <c r="E122" s="1" t="str">
        <f>"Прочие транзитные счета"</f>
        <v>Прочие транзитные счета</v>
      </c>
      <c r="F122" s="1" t="str">
        <f>"1"</f>
        <v>1</v>
      </c>
      <c r="G122" s="1" t="str">
        <f>"9"</f>
        <v>9</v>
      </c>
      <c r="H122" s="1" t="str">
        <f>"1"</f>
        <v>1</v>
      </c>
      <c r="I122" s="2">
        <v>2100997.7999999998</v>
      </c>
    </row>
    <row r="123" spans="1:9" x14ac:dyDescent="0.2">
      <c r="A123" s="1">
        <v>95</v>
      </c>
      <c r="B123" s="3">
        <v>45657</v>
      </c>
      <c r="C123" s="1">
        <v>13</v>
      </c>
      <c r="D123" s="1" t="str">
        <f>"2870"</f>
        <v>2870</v>
      </c>
      <c r="E123" s="1" t="str">
        <f>"Прочие транзитные счета"</f>
        <v>Прочие транзитные счета</v>
      </c>
      <c r="F123" s="1" t="str">
        <f>"2"</f>
        <v>2</v>
      </c>
      <c r="G123" s="1" t="str">
        <f>"7"</f>
        <v>7</v>
      </c>
      <c r="H123" s="1" t="str">
        <f>"2"</f>
        <v>2</v>
      </c>
      <c r="I123" s="2">
        <v>525110</v>
      </c>
    </row>
    <row r="124" spans="1:9" x14ac:dyDescent="0.2">
      <c r="A124" s="1">
        <v>96</v>
      </c>
      <c r="B124" s="3">
        <v>45657</v>
      </c>
      <c r="C124" s="1">
        <v>13</v>
      </c>
      <c r="D124" s="1" t="str">
        <f>"2870"</f>
        <v>2870</v>
      </c>
      <c r="E124" s="1" t="str">
        <f>"Прочие транзитные счета"</f>
        <v>Прочие транзитные счета</v>
      </c>
      <c r="F124" s="1" t="str">
        <f t="shared" ref="F124:F130" si="19">"1"</f>
        <v>1</v>
      </c>
      <c r="G124" s="1" t="str">
        <f>"7"</f>
        <v>7</v>
      </c>
      <c r="H124" s="1" t="str">
        <f>"1"</f>
        <v>1</v>
      </c>
      <c r="I124" s="2">
        <v>6194920</v>
      </c>
    </row>
    <row r="125" spans="1:9" x14ac:dyDescent="0.2">
      <c r="A125" s="1">
        <v>101</v>
      </c>
      <c r="B125" s="3">
        <v>45657</v>
      </c>
      <c r="C125" s="1">
        <v>13</v>
      </c>
      <c r="D125" s="1" t="str">
        <f>"2871"</f>
        <v>2871</v>
      </c>
      <c r="E125" s="1" t="str">
        <f>"Счет благотворительных выплат"</f>
        <v>Счет благотворительных выплат</v>
      </c>
      <c r="F125" s="1" t="str">
        <f t="shared" si="19"/>
        <v>1</v>
      </c>
      <c r="G125" s="1" t="str">
        <f>""</f>
        <v/>
      </c>
      <c r="H125" s="1" t="str">
        <f>"1"</f>
        <v>1</v>
      </c>
      <c r="I125" s="2">
        <v>14701376.189999999</v>
      </c>
    </row>
    <row r="126" spans="1:9" x14ac:dyDescent="0.2">
      <c r="A126" s="1">
        <v>105</v>
      </c>
      <c r="B126" s="3">
        <v>45657</v>
      </c>
      <c r="C126" s="1">
        <v>13</v>
      </c>
      <c r="D126" s="1" t="str">
        <f>"2871"</f>
        <v>2871</v>
      </c>
      <c r="E126" s="1" t="str">
        <f>"Счет благотворительных выплат"</f>
        <v>Счет благотворительных выплат</v>
      </c>
      <c r="F126" s="1" t="str">
        <f t="shared" si="19"/>
        <v>1</v>
      </c>
      <c r="G126" s="1" t="str">
        <f>""</f>
        <v/>
      </c>
      <c r="H126" s="1" t="str">
        <f>"3"</f>
        <v>3</v>
      </c>
      <c r="I126" s="2">
        <v>6497.47</v>
      </c>
    </row>
    <row r="127" spans="1:9" x14ac:dyDescent="0.2">
      <c r="A127" s="1">
        <v>115</v>
      </c>
      <c r="B127" s="3">
        <v>45657</v>
      </c>
      <c r="C127" s="1">
        <v>13</v>
      </c>
      <c r="D127" s="1" t="str">
        <f>"2871"</f>
        <v>2871</v>
      </c>
      <c r="E127" s="1" t="str">
        <f>"Счет благотворительных выплат"</f>
        <v>Счет благотворительных выплат</v>
      </c>
      <c r="F127" s="1" t="str">
        <f t="shared" si="19"/>
        <v>1</v>
      </c>
      <c r="G127" s="1" t="str">
        <f>""</f>
        <v/>
      </c>
      <c r="H127" s="1" t="str">
        <f>"2"</f>
        <v>2</v>
      </c>
      <c r="I127" s="2">
        <v>60764794.579999998</v>
      </c>
    </row>
    <row r="128" spans="1:9" x14ac:dyDescent="0.2">
      <c r="A128" s="1">
        <v>99</v>
      </c>
      <c r="B128" s="3">
        <v>45657</v>
      </c>
      <c r="C128" s="1">
        <v>13</v>
      </c>
      <c r="D128" s="1" t="str">
        <f>"2875"</f>
        <v>2875</v>
      </c>
      <c r="E128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28" s="1" t="str">
        <f t="shared" si="19"/>
        <v>1</v>
      </c>
      <c r="G128" s="1" t="str">
        <f>"7"</f>
        <v>7</v>
      </c>
      <c r="H128" s="1" t="str">
        <f>"1"</f>
        <v>1</v>
      </c>
      <c r="I128" s="2">
        <v>3244206.43</v>
      </c>
    </row>
    <row r="129" spans="1:9" x14ac:dyDescent="0.2">
      <c r="A129" s="1">
        <v>100</v>
      </c>
      <c r="B129" s="3">
        <v>45657</v>
      </c>
      <c r="C129" s="1">
        <v>13</v>
      </c>
      <c r="D129" s="1" t="str">
        <f>"2875"</f>
        <v>2875</v>
      </c>
      <c r="E129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29" s="1" t="str">
        <f t="shared" si="19"/>
        <v>1</v>
      </c>
      <c r="G129" s="1" t="str">
        <f>"7"</f>
        <v>7</v>
      </c>
      <c r="H129" s="1" t="str">
        <f>"2"</f>
        <v>2</v>
      </c>
      <c r="I129" s="2">
        <v>348231.95</v>
      </c>
    </row>
    <row r="130" spans="1:9" x14ac:dyDescent="0.2">
      <c r="A130" s="1">
        <v>110</v>
      </c>
      <c r="B130" s="3">
        <v>45657</v>
      </c>
      <c r="C130" s="1">
        <v>13</v>
      </c>
      <c r="D130" s="1" t="str">
        <f>"2875"</f>
        <v>2875</v>
      </c>
      <c r="E130" s="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0" s="1" t="str">
        <f t="shared" si="19"/>
        <v>1</v>
      </c>
      <c r="G130" s="1" t="str">
        <f>"5"</f>
        <v>5</v>
      </c>
      <c r="H130" s="1" t="str">
        <f>"1"</f>
        <v>1</v>
      </c>
      <c r="I130" s="2">
        <v>1122000000</v>
      </c>
    </row>
    <row r="131" spans="1:9" x14ac:dyDescent="0.2">
      <c r="A131" s="1">
        <v>163</v>
      </c>
      <c r="B131" s="3">
        <v>45657</v>
      </c>
      <c r="C131" s="1">
        <v>13</v>
      </c>
      <c r="D131" s="1" t="str">
        <f>"3001"</f>
        <v>3001</v>
      </c>
      <c r="E131" s="1" t="str">
        <f>"Уставный капитал – простые акции"</f>
        <v>Уставный капитал – простые акции</v>
      </c>
      <c r="F131" s="1" t="str">
        <f>""</f>
        <v/>
      </c>
      <c r="G131" s="1" t="str">
        <f>""</f>
        <v/>
      </c>
      <c r="H131" s="1" t="str">
        <f>""</f>
        <v/>
      </c>
      <c r="I131" s="2">
        <v>10732338000</v>
      </c>
    </row>
    <row r="132" spans="1:9" x14ac:dyDescent="0.2">
      <c r="A132" s="1">
        <v>152</v>
      </c>
      <c r="B132" s="3">
        <v>45657</v>
      </c>
      <c r="C132" s="1">
        <v>13</v>
      </c>
      <c r="D132" s="1" t="str">
        <f>"3580"</f>
        <v>3580</v>
      </c>
      <c r="E132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32" s="1" t="str">
        <f>""</f>
        <v/>
      </c>
      <c r="G132" s="1" t="str">
        <f>""</f>
        <v/>
      </c>
      <c r="H132" s="1" t="str">
        <f>""</f>
        <v/>
      </c>
      <c r="I132" s="2">
        <v>14612299223</v>
      </c>
    </row>
    <row r="133" spans="1:9" x14ac:dyDescent="0.2">
      <c r="A133" s="1">
        <v>153</v>
      </c>
      <c r="B133" s="3">
        <v>45657</v>
      </c>
      <c r="C133" s="1">
        <v>13</v>
      </c>
      <c r="D133" s="1" t="str">
        <f>"3599"</f>
        <v>3599</v>
      </c>
      <c r="E133" s="1" t="str">
        <f>"Нераспределенная чистая прибыль (непокрытый убыток)"</f>
        <v>Нераспределенная чистая прибыль (непокрытый убыток)</v>
      </c>
      <c r="F133" s="1" t="str">
        <f>""</f>
        <v/>
      </c>
      <c r="G133" s="1" t="str">
        <f>""</f>
        <v/>
      </c>
      <c r="H133" s="1" t="str">
        <f>""</f>
        <v/>
      </c>
      <c r="I133" s="2">
        <v>3192012603.8899999</v>
      </c>
    </row>
    <row r="134" spans="1:9" x14ac:dyDescent="0.2">
      <c r="A134" s="1">
        <v>150</v>
      </c>
      <c r="B134" s="3">
        <v>45657</v>
      </c>
      <c r="C134" s="1">
        <v>13</v>
      </c>
      <c r="D134" s="1" t="str">
        <f>"4103"</f>
        <v>4103</v>
      </c>
      <c r="E134" s="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34" s="1" t="str">
        <f>""</f>
        <v/>
      </c>
      <c r="G134" s="1" t="str">
        <f>""</f>
        <v/>
      </c>
      <c r="H134" s="1" t="str">
        <f>""</f>
        <v/>
      </c>
      <c r="I134" s="2">
        <v>3821977778.29</v>
      </c>
    </row>
    <row r="135" spans="1:9" x14ac:dyDescent="0.2">
      <c r="A135" s="1">
        <v>179</v>
      </c>
      <c r="B135" s="3">
        <v>45657</v>
      </c>
      <c r="C135" s="1">
        <v>13</v>
      </c>
      <c r="D135" s="1" t="str">
        <f>"4251"</f>
        <v>4251</v>
      </c>
      <c r="E135" s="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135" s="1" t="str">
        <f>""</f>
        <v/>
      </c>
      <c r="G135" s="1" t="str">
        <f>""</f>
        <v/>
      </c>
      <c r="H135" s="1" t="str">
        <f>""</f>
        <v/>
      </c>
      <c r="I135" s="2">
        <v>13302733</v>
      </c>
    </row>
    <row r="136" spans="1:9" x14ac:dyDescent="0.2">
      <c r="A136" s="1">
        <v>149</v>
      </c>
      <c r="B136" s="3">
        <v>45657</v>
      </c>
      <c r="C136" s="1">
        <v>13</v>
      </c>
      <c r="D136" s="1" t="str">
        <f>"4253"</f>
        <v>4253</v>
      </c>
      <c r="E136" s="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136" s="1" t="str">
        <f>""</f>
        <v/>
      </c>
      <c r="G136" s="1" t="str">
        <f>""</f>
        <v/>
      </c>
      <c r="H136" s="1" t="str">
        <f>""</f>
        <v/>
      </c>
      <c r="I136" s="2">
        <v>14676998.880000001</v>
      </c>
    </row>
    <row r="137" spans="1:9" x14ac:dyDescent="0.2">
      <c r="A137" s="1">
        <v>160</v>
      </c>
      <c r="B137" s="3">
        <v>45657</v>
      </c>
      <c r="C137" s="1">
        <v>13</v>
      </c>
      <c r="D137" s="1" t="str">
        <f>"4420"</f>
        <v>4420</v>
      </c>
      <c r="E137" s="1" t="str">
        <f>"Доходы, связанные с получением вознаграждения по финансовому лизингу, предоставленному клиентам"</f>
        <v>Доходы, связанные с получением вознаграждения по финансовому лизингу, предоставленному клиентам</v>
      </c>
      <c r="F137" s="1" t="str">
        <f>""</f>
        <v/>
      </c>
      <c r="G137" s="1" t="str">
        <f>""</f>
        <v/>
      </c>
      <c r="H137" s="1" t="str">
        <f>""</f>
        <v/>
      </c>
      <c r="I137" s="2">
        <v>2000000</v>
      </c>
    </row>
    <row r="138" spans="1:9" x14ac:dyDescent="0.2">
      <c r="A138" s="1">
        <v>158</v>
      </c>
      <c r="B138" s="3">
        <v>45657</v>
      </c>
      <c r="C138" s="1">
        <v>13</v>
      </c>
      <c r="D138" s="1" t="str">
        <f>"4426"</f>
        <v>4426</v>
      </c>
      <c r="E138" s="1" t="str">
        <f>"Доходы, связанные с получением вознаграждения по операциям финансирования торговой деятельности"</f>
        <v>Доходы, связанные с получением вознаграждения по операциям финансирования торговой деятельности</v>
      </c>
      <c r="F138" s="1" t="str">
        <f>""</f>
        <v/>
      </c>
      <c r="G138" s="1" t="str">
        <f>""</f>
        <v/>
      </c>
      <c r="H138" s="1" t="str">
        <f>""</f>
        <v/>
      </c>
      <c r="I138" s="2">
        <v>8293767120.6300001</v>
      </c>
    </row>
    <row r="139" spans="1:9" x14ac:dyDescent="0.2">
      <c r="A139" s="1">
        <v>102</v>
      </c>
      <c r="B139" s="3">
        <v>45657</v>
      </c>
      <c r="C139" s="1">
        <v>13</v>
      </c>
      <c r="D139" s="1" t="str">
        <f>"4429"</f>
        <v>4429</v>
      </c>
      <c r="E139" s="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139" s="1" t="str">
        <f>""</f>
        <v/>
      </c>
      <c r="G139" s="1" t="str">
        <f>""</f>
        <v/>
      </c>
      <c r="H139" s="1" t="str">
        <f>""</f>
        <v/>
      </c>
      <c r="I139" s="2">
        <v>182491412</v>
      </c>
    </row>
    <row r="140" spans="1:9" x14ac:dyDescent="0.2">
      <c r="A140" s="1">
        <v>108</v>
      </c>
      <c r="B140" s="3">
        <v>45657</v>
      </c>
      <c r="C140" s="1">
        <v>13</v>
      </c>
      <c r="D140" s="1" t="str">
        <f>"4477"</f>
        <v>4477</v>
      </c>
      <c r="E140" s="1" t="str">
        <f>"Доходы исламского банка, связанные с получением вознаграждения по инвестиционной деятельности на условиях аренды"</f>
        <v>Доходы исламского банка, связанные с получением вознаграждения по инвестиционной деятельности на условиях аренды</v>
      </c>
      <c r="F140" s="1" t="str">
        <f>""</f>
        <v/>
      </c>
      <c r="G140" s="1" t="str">
        <f>""</f>
        <v/>
      </c>
      <c r="H140" s="1" t="str">
        <f>""</f>
        <v/>
      </c>
      <c r="I140" s="2">
        <v>37592584.82</v>
      </c>
    </row>
    <row r="141" spans="1:9" x14ac:dyDescent="0.2">
      <c r="A141" s="1">
        <v>109</v>
      </c>
      <c r="B141" s="3">
        <v>45657</v>
      </c>
      <c r="C141" s="1">
        <v>13</v>
      </c>
      <c r="D141" s="1" t="str">
        <f>"4530"</f>
        <v>4530</v>
      </c>
      <c r="E141" s="1" t="str">
        <f>"Доходы по купле-продаже иностранной валюты"</f>
        <v>Доходы по купле-продаже иностранной валюты</v>
      </c>
      <c r="F141" s="1" t="str">
        <f>""</f>
        <v/>
      </c>
      <c r="G141" s="1" t="str">
        <f>""</f>
        <v/>
      </c>
      <c r="H141" s="1" t="str">
        <f>""</f>
        <v/>
      </c>
      <c r="I141" s="2">
        <v>402723736</v>
      </c>
    </row>
    <row r="142" spans="1:9" x14ac:dyDescent="0.2">
      <c r="A142" s="1">
        <v>123</v>
      </c>
      <c r="B142" s="3">
        <v>45657</v>
      </c>
      <c r="C142" s="1">
        <v>13</v>
      </c>
      <c r="D142" s="1" t="str">
        <f>"4601"</f>
        <v>4601</v>
      </c>
      <c r="E142" s="1" t="str">
        <f>"Комиссионные доходы за услуги по переводным операциям"</f>
        <v>Комиссионные доходы за услуги по переводным операциям</v>
      </c>
      <c r="F142" s="1" t="str">
        <f>""</f>
        <v/>
      </c>
      <c r="G142" s="1" t="str">
        <f>""</f>
        <v/>
      </c>
      <c r="H142" s="1" t="str">
        <f>""</f>
        <v/>
      </c>
      <c r="I142" s="2">
        <v>80323262.730000004</v>
      </c>
    </row>
    <row r="143" spans="1:9" x14ac:dyDescent="0.2">
      <c r="A143" s="1">
        <v>118</v>
      </c>
      <c r="B143" s="3">
        <v>45657</v>
      </c>
      <c r="C143" s="1">
        <v>13</v>
      </c>
      <c r="D143" s="1" t="str">
        <f>"4602"</f>
        <v>4602</v>
      </c>
      <c r="E143" s="1" t="str">
        <f>"Комиссионные доходы за агентские услуги"</f>
        <v>Комиссионные доходы за агентские услуги</v>
      </c>
      <c r="F143" s="1" t="str">
        <f>""</f>
        <v/>
      </c>
      <c r="G143" s="1" t="str">
        <f>""</f>
        <v/>
      </c>
      <c r="H143" s="1" t="str">
        <f>""</f>
        <v/>
      </c>
      <c r="I143" s="2">
        <v>178930.05</v>
      </c>
    </row>
    <row r="144" spans="1:9" x14ac:dyDescent="0.2">
      <c r="A144" s="1">
        <v>116</v>
      </c>
      <c r="B144" s="3">
        <v>45657</v>
      </c>
      <c r="C144" s="1">
        <v>13</v>
      </c>
      <c r="D144" s="1" t="str">
        <f>"4607"</f>
        <v>4607</v>
      </c>
      <c r="E144" s="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144" s="1" t="str">
        <f>""</f>
        <v/>
      </c>
      <c r="G144" s="1" t="str">
        <f>""</f>
        <v/>
      </c>
      <c r="H144" s="1" t="str">
        <f>""</f>
        <v/>
      </c>
      <c r="I144" s="2">
        <v>2482586.04</v>
      </c>
    </row>
    <row r="145" spans="1:9" x14ac:dyDescent="0.2">
      <c r="A145" s="1">
        <v>127</v>
      </c>
      <c r="B145" s="3">
        <v>45657</v>
      </c>
      <c r="C145" s="1">
        <v>13</v>
      </c>
      <c r="D145" s="1" t="str">
        <f>"4608"</f>
        <v>4608</v>
      </c>
      <c r="E145" s="1" t="str">
        <f>"Прочие комиссионные доходы"</f>
        <v>Прочие комиссионные доходы</v>
      </c>
      <c r="F145" s="1" t="str">
        <f>""</f>
        <v/>
      </c>
      <c r="G145" s="1" t="str">
        <f>""</f>
        <v/>
      </c>
      <c r="H145" s="1" t="str">
        <f>""</f>
        <v/>
      </c>
      <c r="I145" s="2">
        <v>5591095.5700000003</v>
      </c>
    </row>
    <row r="146" spans="1:9" x14ac:dyDescent="0.2">
      <c r="A146" s="1">
        <v>120</v>
      </c>
      <c r="B146" s="3">
        <v>45657</v>
      </c>
      <c r="C146" s="1">
        <v>13</v>
      </c>
      <c r="D146" s="1" t="str">
        <f>"4611"</f>
        <v>4611</v>
      </c>
      <c r="E146" s="1" t="str">
        <f>"Комиссионные доходы за услуги по кассовым операциям"</f>
        <v>Комиссионные доходы за услуги по кассовым операциям</v>
      </c>
      <c r="F146" s="1" t="str">
        <f>""</f>
        <v/>
      </c>
      <c r="G146" s="1" t="str">
        <f>""</f>
        <v/>
      </c>
      <c r="H146" s="1" t="str">
        <f>""</f>
        <v/>
      </c>
      <c r="I146" s="2">
        <v>5447547</v>
      </c>
    </row>
    <row r="147" spans="1:9" x14ac:dyDescent="0.2">
      <c r="A147" s="1">
        <v>112</v>
      </c>
      <c r="B147" s="3">
        <v>45657</v>
      </c>
      <c r="C147" s="1">
        <v>13</v>
      </c>
      <c r="D147" s="1" t="str">
        <f>"4612"</f>
        <v>4612</v>
      </c>
      <c r="E147" s="1" t="str">
        <f>"Комиссионные доходы по документарным расчетам"</f>
        <v>Комиссионные доходы по документарным расчетам</v>
      </c>
      <c r="F147" s="1" t="str">
        <f>""</f>
        <v/>
      </c>
      <c r="G147" s="1" t="str">
        <f>""</f>
        <v/>
      </c>
      <c r="H147" s="1" t="str">
        <f>""</f>
        <v/>
      </c>
      <c r="I147" s="2">
        <v>217755669.55000001</v>
      </c>
    </row>
    <row r="148" spans="1:9" x14ac:dyDescent="0.2">
      <c r="A148" s="1">
        <v>214</v>
      </c>
      <c r="B148" s="3">
        <v>45657</v>
      </c>
      <c r="C148" s="1">
        <v>13</v>
      </c>
      <c r="D148" s="1" t="str">
        <f>"4618"</f>
        <v>4618</v>
      </c>
      <c r="E148" s="1" t="str">
        <f>"Доходы за услуги по операциям с инвестиционными депозитами"</f>
        <v>Доходы за услуги по операциям с инвестиционными депозитами</v>
      </c>
      <c r="F148" s="1" t="str">
        <f>""</f>
        <v/>
      </c>
      <c r="G148" s="1" t="str">
        <f>""</f>
        <v/>
      </c>
      <c r="H148" s="1" t="str">
        <f>""</f>
        <v/>
      </c>
      <c r="I148" s="2">
        <v>2112768509.55</v>
      </c>
    </row>
    <row r="149" spans="1:9" x14ac:dyDescent="0.2">
      <c r="A149" s="1">
        <v>148</v>
      </c>
      <c r="B149" s="3">
        <v>45657</v>
      </c>
      <c r="C149" s="1">
        <v>13</v>
      </c>
      <c r="D149" s="1" t="str">
        <f>"4703"</f>
        <v>4703</v>
      </c>
      <c r="E149" s="1" t="str">
        <f>"Доход от переоценки иностранной валюты"</f>
        <v>Доход от переоценки иностранной валюты</v>
      </c>
      <c r="F149" s="1" t="str">
        <f>""</f>
        <v/>
      </c>
      <c r="G149" s="1" t="str">
        <f>""</f>
        <v/>
      </c>
      <c r="H149" s="1" t="str">
        <f>""</f>
        <v/>
      </c>
      <c r="I149" s="2">
        <v>334750356.20999998</v>
      </c>
    </row>
    <row r="150" spans="1:9" x14ac:dyDescent="0.2">
      <c r="A150" s="1">
        <v>113</v>
      </c>
      <c r="B150" s="3">
        <v>45657</v>
      </c>
      <c r="C150" s="1">
        <v>13</v>
      </c>
      <c r="D150" s="1" t="str">
        <f>"4852"</f>
        <v>4852</v>
      </c>
      <c r="E150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150" s="1" t="str">
        <f>""</f>
        <v/>
      </c>
      <c r="G150" s="1" t="str">
        <f>""</f>
        <v/>
      </c>
      <c r="H150" s="1" t="str">
        <f>""</f>
        <v/>
      </c>
      <c r="I150" s="2">
        <v>1389252.32</v>
      </c>
    </row>
    <row r="151" spans="1:9" x14ac:dyDescent="0.2">
      <c r="A151" s="1">
        <v>134</v>
      </c>
      <c r="B151" s="3">
        <v>45657</v>
      </c>
      <c r="C151" s="1">
        <v>13</v>
      </c>
      <c r="D151" s="1" t="str">
        <f>"4897"</f>
        <v>4897</v>
      </c>
      <c r="E151" s="1" t="str">
        <f>"Доходы, связанные с получением вознаграждения по производным финансовым инструментам"</f>
        <v>Доходы, связанные с получением вознаграждения по производным финансовым инструментам</v>
      </c>
      <c r="F151" s="1" t="str">
        <f>""</f>
        <v/>
      </c>
      <c r="G151" s="1" t="str">
        <f>""</f>
        <v/>
      </c>
      <c r="H151" s="1" t="str">
        <f>""</f>
        <v/>
      </c>
      <c r="I151" s="2">
        <v>1143000</v>
      </c>
    </row>
    <row r="152" spans="1:9" x14ac:dyDescent="0.2">
      <c r="A152" s="1">
        <v>144</v>
      </c>
      <c r="B152" s="3">
        <v>45657</v>
      </c>
      <c r="C152" s="1">
        <v>13</v>
      </c>
      <c r="D152" s="1" t="str">
        <f>"4921"</f>
        <v>4921</v>
      </c>
      <c r="E152" s="1" t="str">
        <f>"Прочие доходы от банковской деятельности"</f>
        <v>Прочие доходы от банковской деятельности</v>
      </c>
      <c r="F152" s="1" t="str">
        <f>""</f>
        <v/>
      </c>
      <c r="G152" s="1" t="str">
        <f>""</f>
        <v/>
      </c>
      <c r="H152" s="1" t="str">
        <f>""</f>
        <v/>
      </c>
      <c r="I152" s="2">
        <v>7292635.6799999997</v>
      </c>
    </row>
    <row r="153" spans="1:9" x14ac:dyDescent="0.2">
      <c r="A153" s="1">
        <v>138</v>
      </c>
      <c r="B153" s="3">
        <v>45657</v>
      </c>
      <c r="C153" s="1">
        <v>13</v>
      </c>
      <c r="D153" s="1" t="str">
        <f>"4922"</f>
        <v>4922</v>
      </c>
      <c r="E153" s="1" t="str">
        <f>"Прочие доходы от неосновной деятельности"</f>
        <v>Прочие доходы от неосновной деятельности</v>
      </c>
      <c r="F153" s="1" t="str">
        <f>""</f>
        <v/>
      </c>
      <c r="G153" s="1" t="str">
        <f>""</f>
        <v/>
      </c>
      <c r="H153" s="1" t="str">
        <f>""</f>
        <v/>
      </c>
      <c r="I153" s="2">
        <v>19304.55</v>
      </c>
    </row>
    <row r="154" spans="1:9" x14ac:dyDescent="0.2">
      <c r="A154" s="1">
        <v>136</v>
      </c>
      <c r="B154" s="3">
        <v>45657</v>
      </c>
      <c r="C154" s="1">
        <v>13</v>
      </c>
      <c r="D154" s="1" t="str">
        <f>"4951"</f>
        <v>4951</v>
      </c>
      <c r="E154" s="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154" s="1" t="str">
        <f>""</f>
        <v/>
      </c>
      <c r="G154" s="1" t="str">
        <f>""</f>
        <v/>
      </c>
      <c r="H154" s="1" t="str">
        <f>""</f>
        <v/>
      </c>
      <c r="I154" s="2">
        <v>47730052.75</v>
      </c>
    </row>
    <row r="155" spans="1:9" x14ac:dyDescent="0.2">
      <c r="A155" s="1">
        <v>139</v>
      </c>
      <c r="B155" s="3">
        <v>45657</v>
      </c>
      <c r="C155" s="1">
        <v>13</v>
      </c>
      <c r="D155" s="1" t="str">
        <f>"4955"</f>
        <v>4955</v>
      </c>
      <c r="E155" s="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155" s="1" t="str">
        <f>""</f>
        <v/>
      </c>
      <c r="G155" s="1" t="str">
        <f>""</f>
        <v/>
      </c>
      <c r="H155" s="1" t="str">
        <f>""</f>
        <v/>
      </c>
      <c r="I155" s="2">
        <v>631901797.36000001</v>
      </c>
    </row>
    <row r="156" spans="1:9" x14ac:dyDescent="0.2">
      <c r="A156" s="1">
        <v>212</v>
      </c>
      <c r="B156" s="3">
        <v>45657</v>
      </c>
      <c r="C156" s="1">
        <v>13</v>
      </c>
      <c r="D156" s="1" t="str">
        <f>"4958"</f>
        <v>4958</v>
      </c>
      <c r="E156" s="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156" s="1" t="str">
        <f>""</f>
        <v/>
      </c>
      <c r="G156" s="1" t="str">
        <f>""</f>
        <v/>
      </c>
      <c r="H156" s="1" t="str">
        <f>""</f>
        <v/>
      </c>
      <c r="I156" s="2">
        <v>22500000</v>
      </c>
    </row>
    <row r="157" spans="1:9" x14ac:dyDescent="0.2">
      <c r="A157" s="1">
        <v>142</v>
      </c>
      <c r="B157" s="3">
        <v>45657</v>
      </c>
      <c r="C157" s="1">
        <v>13</v>
      </c>
      <c r="D157" s="1" t="str">
        <f>"5044"</f>
        <v>5044</v>
      </c>
      <c r="E157" s="1" t="str">
        <f>"Расходы, связанные с выплатой вознаграждения по краткосрочным займам, полученным от международных финансовых организаций"</f>
        <v>Расходы, связанные с выплатой вознаграждения по краткосрочным займам, полученным от международных финансовых организаций</v>
      </c>
      <c r="F157" s="1" t="str">
        <f>""</f>
        <v/>
      </c>
      <c r="G157" s="1" t="str">
        <f>""</f>
        <v/>
      </c>
      <c r="H157" s="1" t="str">
        <f>""</f>
        <v/>
      </c>
      <c r="I157" s="2">
        <v>3938203.01</v>
      </c>
    </row>
    <row r="158" spans="1:9" x14ac:dyDescent="0.2">
      <c r="A158" s="1">
        <v>162</v>
      </c>
      <c r="B158" s="3">
        <v>45657</v>
      </c>
      <c r="C158" s="1">
        <v>13</v>
      </c>
      <c r="D158" s="1" t="str">
        <f>"5227"</f>
        <v>5227</v>
      </c>
      <c r="E158" s="1" t="str">
        <f>"Процентные расходы по обязательствам по аренде"</f>
        <v>Процентные расходы по обязательствам по аренде</v>
      </c>
      <c r="F158" s="1" t="str">
        <f>""</f>
        <v/>
      </c>
      <c r="G158" s="1" t="str">
        <f>""</f>
        <v/>
      </c>
      <c r="H158" s="1" t="str">
        <f>""</f>
        <v/>
      </c>
      <c r="I158" s="2">
        <v>40919006.719999999</v>
      </c>
    </row>
    <row r="159" spans="1:9" x14ac:dyDescent="0.2">
      <c r="A159" s="1">
        <v>202</v>
      </c>
      <c r="B159" s="3">
        <v>45657</v>
      </c>
      <c r="C159" s="1">
        <v>13</v>
      </c>
      <c r="D159" s="1" t="str">
        <f>"5238"</f>
        <v>5238</v>
      </c>
      <c r="E159" s="1" t="str">
        <f>"Расходы по выплате части дохода по инвестиционному депозиту"</f>
        <v>Расходы по выплате части дохода по инвестиционному депозиту</v>
      </c>
      <c r="F159" s="1" t="str">
        <f>""</f>
        <v/>
      </c>
      <c r="G159" s="1" t="str">
        <f>""</f>
        <v/>
      </c>
      <c r="H159" s="1" t="str">
        <f>""</f>
        <v/>
      </c>
      <c r="I159" s="2">
        <v>3653650588.7199998</v>
      </c>
    </row>
    <row r="160" spans="1:9" x14ac:dyDescent="0.2">
      <c r="A160" s="1">
        <v>167</v>
      </c>
      <c r="B160" s="3">
        <v>45657</v>
      </c>
      <c r="C160" s="1">
        <v>13</v>
      </c>
      <c r="D160" s="1" t="str">
        <f>"5451"</f>
        <v>5451</v>
      </c>
      <c r="E160" s="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160" s="1" t="str">
        <f>""</f>
        <v/>
      </c>
      <c r="G160" s="1" t="str">
        <f>""</f>
        <v/>
      </c>
      <c r="H160" s="1" t="str">
        <f>""</f>
        <v/>
      </c>
      <c r="I160" s="2">
        <v>3015182.84</v>
      </c>
    </row>
    <row r="161" spans="1:9" x14ac:dyDescent="0.2">
      <c r="A161" s="1">
        <v>169</v>
      </c>
      <c r="B161" s="3">
        <v>45657</v>
      </c>
      <c r="C161" s="1">
        <v>13</v>
      </c>
      <c r="D161" s="1" t="str">
        <f>"5455"</f>
        <v>5455</v>
      </c>
      <c r="E161" s="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161" s="1" t="str">
        <f>""</f>
        <v/>
      </c>
      <c r="G161" s="1" t="str">
        <f>""</f>
        <v/>
      </c>
      <c r="H161" s="1" t="str">
        <f>""</f>
        <v/>
      </c>
      <c r="I161" s="2">
        <v>1182402958.78</v>
      </c>
    </row>
    <row r="162" spans="1:9" x14ac:dyDescent="0.2">
      <c r="A162" s="1">
        <v>171</v>
      </c>
      <c r="B162" s="3">
        <v>45657</v>
      </c>
      <c r="C162" s="1">
        <v>13</v>
      </c>
      <c r="D162" s="1" t="str">
        <f>"5457"</f>
        <v>5457</v>
      </c>
      <c r="E162" s="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162" s="1" t="str">
        <f>""</f>
        <v/>
      </c>
      <c r="G162" s="1" t="str">
        <f>""</f>
        <v/>
      </c>
      <c r="H162" s="1" t="str">
        <f>""</f>
        <v/>
      </c>
      <c r="I162" s="2">
        <v>1957054</v>
      </c>
    </row>
    <row r="163" spans="1:9" x14ac:dyDescent="0.2">
      <c r="A163" s="1">
        <v>210</v>
      </c>
      <c r="B163" s="3">
        <v>45657</v>
      </c>
      <c r="C163" s="1">
        <v>13</v>
      </c>
      <c r="D163" s="1" t="str">
        <f>"5465"</f>
        <v>5465</v>
      </c>
      <c r="E163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163" s="1" t="str">
        <f>""</f>
        <v/>
      </c>
      <c r="G163" s="1" t="str">
        <f>""</f>
        <v/>
      </c>
      <c r="H163" s="1" t="str">
        <f>""</f>
        <v/>
      </c>
      <c r="I163" s="2">
        <v>10237856.26</v>
      </c>
    </row>
    <row r="164" spans="1:9" x14ac:dyDescent="0.2">
      <c r="A164" s="1">
        <v>177</v>
      </c>
      <c r="B164" s="3">
        <v>45657</v>
      </c>
      <c r="C164" s="1">
        <v>13</v>
      </c>
      <c r="D164" s="1" t="str">
        <f>"5530"</f>
        <v>5530</v>
      </c>
      <c r="E164" s="1" t="str">
        <f>"Расходы по купле-продаже иностранной валюты"</f>
        <v>Расходы по купле-продаже иностранной валюты</v>
      </c>
      <c r="F164" s="1" t="str">
        <f>""</f>
        <v/>
      </c>
      <c r="G164" s="1" t="str">
        <f>""</f>
        <v/>
      </c>
      <c r="H164" s="1" t="str">
        <f>""</f>
        <v/>
      </c>
      <c r="I164" s="2">
        <v>74633640</v>
      </c>
    </row>
    <row r="165" spans="1:9" x14ac:dyDescent="0.2">
      <c r="A165" s="1">
        <v>209</v>
      </c>
      <c r="B165" s="3">
        <v>45657</v>
      </c>
      <c r="C165" s="1">
        <v>13</v>
      </c>
      <c r="D165" s="1" t="str">
        <f>"5601"</f>
        <v>5601</v>
      </c>
      <c r="E165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165" s="1" t="str">
        <f>""</f>
        <v/>
      </c>
      <c r="G165" s="1" t="str">
        <f>""</f>
        <v/>
      </c>
      <c r="H165" s="1" t="str">
        <f>""</f>
        <v/>
      </c>
      <c r="I165" s="2">
        <v>3388497.13</v>
      </c>
    </row>
    <row r="166" spans="1:9" x14ac:dyDescent="0.2">
      <c r="A166" s="1">
        <v>184</v>
      </c>
      <c r="B166" s="3">
        <v>45657</v>
      </c>
      <c r="C166" s="1">
        <v>13</v>
      </c>
      <c r="D166" s="1" t="str">
        <f>"5607"</f>
        <v>5607</v>
      </c>
      <c r="E166" s="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166" s="1" t="str">
        <f>""</f>
        <v/>
      </c>
      <c r="G166" s="1" t="str">
        <f>""</f>
        <v/>
      </c>
      <c r="H166" s="1" t="str">
        <f>""</f>
        <v/>
      </c>
      <c r="I166" s="2">
        <v>30153967.23</v>
      </c>
    </row>
    <row r="167" spans="1:9" x14ac:dyDescent="0.2">
      <c r="A167" s="1">
        <v>183</v>
      </c>
      <c r="B167" s="3">
        <v>45657</v>
      </c>
      <c r="C167" s="1">
        <v>13</v>
      </c>
      <c r="D167" s="1" t="str">
        <f>"5608"</f>
        <v>5608</v>
      </c>
      <c r="E167" s="1" t="str">
        <f>"Прочие комиссионные расходы"</f>
        <v>Прочие комиссионные расходы</v>
      </c>
      <c r="F167" s="1" t="str">
        <f>""</f>
        <v/>
      </c>
      <c r="G167" s="1" t="str">
        <f>""</f>
        <v/>
      </c>
      <c r="H167" s="1" t="str">
        <f>""</f>
        <v/>
      </c>
      <c r="I167" s="2">
        <v>41842855.090000004</v>
      </c>
    </row>
    <row r="168" spans="1:9" x14ac:dyDescent="0.2">
      <c r="A168" s="1">
        <v>190</v>
      </c>
      <c r="B168" s="3">
        <v>45657</v>
      </c>
      <c r="C168" s="1">
        <v>13</v>
      </c>
      <c r="D168" s="1" t="str">
        <f>"5721"</f>
        <v>5721</v>
      </c>
      <c r="E168" s="1" t="str">
        <f>"Расходы по оплате труда"</f>
        <v>Расходы по оплате труда</v>
      </c>
      <c r="F168" s="1" t="str">
        <f>""</f>
        <v/>
      </c>
      <c r="G168" s="1" t="str">
        <f>""</f>
        <v/>
      </c>
      <c r="H168" s="1" t="str">
        <f>""</f>
        <v/>
      </c>
      <c r="I168" s="2">
        <v>2243317260.9899998</v>
      </c>
    </row>
    <row r="169" spans="1:9" x14ac:dyDescent="0.2">
      <c r="A169" s="1">
        <v>200</v>
      </c>
      <c r="B169" s="3">
        <v>45657</v>
      </c>
      <c r="C169" s="1">
        <v>13</v>
      </c>
      <c r="D169" s="1" t="str">
        <f>"5722"</f>
        <v>5722</v>
      </c>
      <c r="E169" s="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169" s="1" t="str">
        <f>""</f>
        <v/>
      </c>
      <c r="G169" s="1" t="str">
        <f>""</f>
        <v/>
      </c>
      <c r="H169" s="1" t="str">
        <f>""</f>
        <v/>
      </c>
      <c r="I169" s="2">
        <v>53341493</v>
      </c>
    </row>
    <row r="170" spans="1:9" x14ac:dyDescent="0.2">
      <c r="A170" s="1">
        <v>204</v>
      </c>
      <c r="B170" s="3">
        <v>45657</v>
      </c>
      <c r="C170" s="1">
        <v>13</v>
      </c>
      <c r="D170" s="1" t="str">
        <f>"5729"</f>
        <v>5729</v>
      </c>
      <c r="E170" s="1" t="str">
        <f>"Прочие выплаты"</f>
        <v>Прочие выплаты</v>
      </c>
      <c r="F170" s="1" t="str">
        <f>""</f>
        <v/>
      </c>
      <c r="G170" s="1" t="str">
        <f>""</f>
        <v/>
      </c>
      <c r="H170" s="1" t="str">
        <f>""</f>
        <v/>
      </c>
      <c r="I170" s="2">
        <v>108113956</v>
      </c>
    </row>
    <row r="171" spans="1:9" x14ac:dyDescent="0.2">
      <c r="A171" s="1">
        <v>97</v>
      </c>
      <c r="B171" s="3">
        <v>45657</v>
      </c>
      <c r="C171" s="1">
        <v>13</v>
      </c>
      <c r="D171" s="1" t="str">
        <f>"5741"</f>
        <v>5741</v>
      </c>
      <c r="E171" s="1" t="str">
        <f>"Транспортные расходы"</f>
        <v>Транспортные расходы</v>
      </c>
      <c r="F171" s="1" t="str">
        <f>""</f>
        <v/>
      </c>
      <c r="G171" s="1" t="str">
        <f>""</f>
        <v/>
      </c>
      <c r="H171" s="1" t="str">
        <f>""</f>
        <v/>
      </c>
      <c r="I171" s="2">
        <v>14191507.16</v>
      </c>
    </row>
    <row r="172" spans="1:9" x14ac:dyDescent="0.2">
      <c r="A172" s="1">
        <v>104</v>
      </c>
      <c r="B172" s="3">
        <v>45657</v>
      </c>
      <c r="C172" s="1">
        <v>13</v>
      </c>
      <c r="D172" s="1" t="str">
        <f>"5742"</f>
        <v>5742</v>
      </c>
      <c r="E172" s="1" t="str">
        <f>"Административные расходы"</f>
        <v>Административные расходы</v>
      </c>
      <c r="F172" s="1" t="str">
        <f>""</f>
        <v/>
      </c>
      <c r="G172" s="1" t="str">
        <f>""</f>
        <v/>
      </c>
      <c r="H172" s="1" t="str">
        <f>""</f>
        <v/>
      </c>
      <c r="I172" s="2">
        <v>693795590.25</v>
      </c>
    </row>
    <row r="173" spans="1:9" x14ac:dyDescent="0.2">
      <c r="A173" s="1">
        <v>156</v>
      </c>
      <c r="B173" s="3">
        <v>45657</v>
      </c>
      <c r="C173" s="1">
        <v>13</v>
      </c>
      <c r="D173" s="1" t="str">
        <f>"5743"</f>
        <v>5743</v>
      </c>
      <c r="E173" s="1" t="str">
        <f>"Расходы на инкассацию"</f>
        <v>Расходы на инкассацию</v>
      </c>
      <c r="F173" s="1" t="str">
        <f>""</f>
        <v/>
      </c>
      <c r="G173" s="1" t="str">
        <f>""</f>
        <v/>
      </c>
      <c r="H173" s="1" t="str">
        <f>""</f>
        <v/>
      </c>
      <c r="I173" s="2">
        <v>1275964</v>
      </c>
    </row>
    <row r="174" spans="1:9" x14ac:dyDescent="0.2">
      <c r="A174" s="1">
        <v>181</v>
      </c>
      <c r="B174" s="3">
        <v>45657</v>
      </c>
      <c r="C174" s="1">
        <v>13</v>
      </c>
      <c r="D174" s="1" t="str">
        <f>"5744"</f>
        <v>5744</v>
      </c>
      <c r="E174" s="1" t="str">
        <f>"Расходы на ремонт"</f>
        <v>Расходы на ремонт</v>
      </c>
      <c r="F174" s="1" t="str">
        <f>""</f>
        <v/>
      </c>
      <c r="G174" s="1" t="str">
        <f>""</f>
        <v/>
      </c>
      <c r="H174" s="1" t="str">
        <f>""</f>
        <v/>
      </c>
      <c r="I174" s="2">
        <v>16395062</v>
      </c>
    </row>
    <row r="175" spans="1:9" x14ac:dyDescent="0.2">
      <c r="A175" s="1">
        <v>164</v>
      </c>
      <c r="B175" s="3">
        <v>45657</v>
      </c>
      <c r="C175" s="1">
        <v>13</v>
      </c>
      <c r="D175" s="1" t="str">
        <f>"5745"</f>
        <v>5745</v>
      </c>
      <c r="E175" s="1" t="str">
        <f>"Расходы на рекламу"</f>
        <v>Расходы на рекламу</v>
      </c>
      <c r="F175" s="1" t="str">
        <f>""</f>
        <v/>
      </c>
      <c r="G175" s="1" t="str">
        <f>""</f>
        <v/>
      </c>
      <c r="H175" s="1" t="str">
        <f>""</f>
        <v/>
      </c>
      <c r="I175" s="2">
        <v>4102450</v>
      </c>
    </row>
    <row r="176" spans="1:9" x14ac:dyDescent="0.2">
      <c r="A176" s="1">
        <v>168</v>
      </c>
      <c r="B176" s="3">
        <v>45657</v>
      </c>
      <c r="C176" s="1">
        <v>13</v>
      </c>
      <c r="D176" s="1" t="str">
        <f>"5746"</f>
        <v>5746</v>
      </c>
      <c r="E176" s="1" t="str">
        <f>"Расходы на охрану и сигнализацию"</f>
        <v>Расходы на охрану и сигнализацию</v>
      </c>
      <c r="F176" s="1" t="str">
        <f>""</f>
        <v/>
      </c>
      <c r="G176" s="1" t="str">
        <f>""</f>
        <v/>
      </c>
      <c r="H176" s="1" t="str">
        <f>""</f>
        <v/>
      </c>
      <c r="I176" s="2">
        <v>41879920.030000001</v>
      </c>
    </row>
    <row r="177" spans="1:9" x14ac:dyDescent="0.2">
      <c r="A177" s="1">
        <v>166</v>
      </c>
      <c r="B177" s="3">
        <v>45657</v>
      </c>
      <c r="C177" s="1">
        <v>13</v>
      </c>
      <c r="D177" s="1" t="str">
        <f>"5747"</f>
        <v>5747</v>
      </c>
      <c r="E177" s="1" t="str">
        <f>"Представительские расходы"</f>
        <v>Представительские расходы</v>
      </c>
      <c r="F177" s="1" t="str">
        <f>""</f>
        <v/>
      </c>
      <c r="G177" s="1" t="str">
        <f>""</f>
        <v/>
      </c>
      <c r="H177" s="1" t="str">
        <f>""</f>
        <v/>
      </c>
      <c r="I177" s="2">
        <v>6232938.2999999998</v>
      </c>
    </row>
    <row r="178" spans="1:9" x14ac:dyDescent="0.2">
      <c r="A178" s="1">
        <v>165</v>
      </c>
      <c r="B178" s="3">
        <v>45657</v>
      </c>
      <c r="C178" s="1">
        <v>13</v>
      </c>
      <c r="D178" s="1" t="str">
        <f>"5748"</f>
        <v>5748</v>
      </c>
      <c r="E178" s="1" t="str">
        <f>"Прочие общехозяйственные расходы"</f>
        <v>Прочие общехозяйственные расходы</v>
      </c>
      <c r="F178" s="1" t="str">
        <f>""</f>
        <v/>
      </c>
      <c r="G178" s="1" t="str">
        <f>""</f>
        <v/>
      </c>
      <c r="H178" s="1" t="str">
        <f>""</f>
        <v/>
      </c>
      <c r="I178" s="2">
        <v>49039478.899999999</v>
      </c>
    </row>
    <row r="179" spans="1:9" x14ac:dyDescent="0.2">
      <c r="A179" s="1">
        <v>178</v>
      </c>
      <c r="B179" s="3">
        <v>45657</v>
      </c>
      <c r="C179" s="1">
        <v>13</v>
      </c>
      <c r="D179" s="1" t="str">
        <f>"5749"</f>
        <v>5749</v>
      </c>
      <c r="E179" s="1" t="str">
        <f>"Расходы на служебные командировки"</f>
        <v>Расходы на служебные командировки</v>
      </c>
      <c r="F179" s="1" t="str">
        <f>""</f>
        <v/>
      </c>
      <c r="G179" s="1" t="str">
        <f>""</f>
        <v/>
      </c>
      <c r="H179" s="1" t="str">
        <f>""</f>
        <v/>
      </c>
      <c r="I179" s="2">
        <v>74025351.430000007</v>
      </c>
    </row>
    <row r="180" spans="1:9" x14ac:dyDescent="0.2">
      <c r="A180" s="1">
        <v>175</v>
      </c>
      <c r="B180" s="3">
        <v>45657</v>
      </c>
      <c r="C180" s="1">
        <v>13</v>
      </c>
      <c r="D180" s="1" t="str">
        <f>"5750"</f>
        <v>5750</v>
      </c>
      <c r="E180" s="1" t="str">
        <f>"Расходы по аудиту и консультационным услугам"</f>
        <v>Расходы по аудиту и консультационным услугам</v>
      </c>
      <c r="F180" s="1" t="str">
        <f>""</f>
        <v/>
      </c>
      <c r="G180" s="1" t="str">
        <f>""</f>
        <v/>
      </c>
      <c r="H180" s="1" t="str">
        <f>""</f>
        <v/>
      </c>
      <c r="I180" s="2">
        <v>144273569.28999999</v>
      </c>
    </row>
    <row r="181" spans="1:9" x14ac:dyDescent="0.2">
      <c r="A181" s="1">
        <v>170</v>
      </c>
      <c r="B181" s="3">
        <v>45657</v>
      </c>
      <c r="C181" s="1">
        <v>13</v>
      </c>
      <c r="D181" s="1" t="str">
        <f>"5752"</f>
        <v>5752</v>
      </c>
      <c r="E181" s="1" t="str">
        <f>"Расходы по страхованию"</f>
        <v>Расходы по страхованию</v>
      </c>
      <c r="F181" s="1" t="str">
        <f>""</f>
        <v/>
      </c>
      <c r="G181" s="1" t="str">
        <f>""</f>
        <v/>
      </c>
      <c r="H181" s="1" t="str">
        <f>""</f>
        <v/>
      </c>
      <c r="I181" s="2">
        <v>10668881.689999999</v>
      </c>
    </row>
    <row r="182" spans="1:9" x14ac:dyDescent="0.2">
      <c r="A182" s="1">
        <v>189</v>
      </c>
      <c r="B182" s="3">
        <v>45657</v>
      </c>
      <c r="C182" s="1">
        <v>13</v>
      </c>
      <c r="D182" s="1" t="str">
        <f>"5753"</f>
        <v>5753</v>
      </c>
      <c r="E182" s="1" t="str">
        <f>"Расходы по услугам связи"</f>
        <v>Расходы по услугам связи</v>
      </c>
      <c r="F182" s="1" t="str">
        <f>""</f>
        <v/>
      </c>
      <c r="G182" s="1" t="str">
        <f>""</f>
        <v/>
      </c>
      <c r="H182" s="1" t="str">
        <f>""</f>
        <v/>
      </c>
      <c r="I182" s="2">
        <v>79541885.549999997</v>
      </c>
    </row>
    <row r="183" spans="1:9" x14ac:dyDescent="0.2">
      <c r="A183" s="1">
        <v>172</v>
      </c>
      <c r="B183" s="3">
        <v>45657</v>
      </c>
      <c r="C183" s="1">
        <v>13</v>
      </c>
      <c r="D183" s="1" t="str">
        <f>"5761"</f>
        <v>5761</v>
      </c>
      <c r="E183" s="1" t="str">
        <f>"Налог на добавленную стоимость"</f>
        <v>Налог на добавленную стоимость</v>
      </c>
      <c r="F183" s="1" t="str">
        <f>""</f>
        <v/>
      </c>
      <c r="G183" s="1" t="str">
        <f>""</f>
        <v/>
      </c>
      <c r="H183" s="1" t="str">
        <f>""</f>
        <v/>
      </c>
      <c r="I183" s="2">
        <v>102388811.2</v>
      </c>
    </row>
    <row r="184" spans="1:9" x14ac:dyDescent="0.2">
      <c r="A184" s="1">
        <v>201</v>
      </c>
      <c r="B184" s="3">
        <v>45657</v>
      </c>
      <c r="C184" s="1">
        <v>13</v>
      </c>
      <c r="D184" s="1" t="str">
        <f>"5763"</f>
        <v>5763</v>
      </c>
      <c r="E184" s="1" t="str">
        <f>"Социальный налог"</f>
        <v>Социальный налог</v>
      </c>
      <c r="F184" s="1" t="str">
        <f>""</f>
        <v/>
      </c>
      <c r="G184" s="1" t="str">
        <f>""</f>
        <v/>
      </c>
      <c r="H184" s="1" t="str">
        <f>""</f>
        <v/>
      </c>
      <c r="I184" s="2">
        <v>160960689</v>
      </c>
    </row>
    <row r="185" spans="1:9" x14ac:dyDescent="0.2">
      <c r="A185" s="1">
        <v>173</v>
      </c>
      <c r="B185" s="3">
        <v>45657</v>
      </c>
      <c r="C185" s="1">
        <v>13</v>
      </c>
      <c r="D185" s="1" t="str">
        <f>"5764"</f>
        <v>5764</v>
      </c>
      <c r="E185" s="1" t="str">
        <f>"Земельный налог"</f>
        <v>Земельный налог</v>
      </c>
      <c r="F185" s="1" t="str">
        <f>""</f>
        <v/>
      </c>
      <c r="G185" s="1" t="str">
        <f>""</f>
        <v/>
      </c>
      <c r="H185" s="1" t="str">
        <f>""</f>
        <v/>
      </c>
      <c r="I185" s="2">
        <v>6843</v>
      </c>
    </row>
    <row r="186" spans="1:9" x14ac:dyDescent="0.2">
      <c r="A186" s="1">
        <v>174</v>
      </c>
      <c r="B186" s="3">
        <v>45657</v>
      </c>
      <c r="C186" s="1">
        <v>13</v>
      </c>
      <c r="D186" s="1" t="str">
        <f>"5765"</f>
        <v>5765</v>
      </c>
      <c r="E186" s="1" t="str">
        <f>"Налог на имущество юридических лиц"</f>
        <v>Налог на имущество юридических лиц</v>
      </c>
      <c r="F186" s="1" t="str">
        <f>""</f>
        <v/>
      </c>
      <c r="G186" s="1" t="str">
        <f>""</f>
        <v/>
      </c>
      <c r="H186" s="1" t="str">
        <f>""</f>
        <v/>
      </c>
      <c r="I186" s="2">
        <v>5489193.5199999996</v>
      </c>
    </row>
    <row r="187" spans="1:9" x14ac:dyDescent="0.2">
      <c r="A187" s="1">
        <v>199</v>
      </c>
      <c r="B187" s="3">
        <v>45657</v>
      </c>
      <c r="C187" s="1">
        <v>13</v>
      </c>
      <c r="D187" s="1" t="str">
        <f>"5766"</f>
        <v>5766</v>
      </c>
      <c r="E187" s="1" t="str">
        <f>"Налог на транспортные средства"</f>
        <v>Налог на транспортные средства</v>
      </c>
      <c r="F187" s="1" t="str">
        <f>""</f>
        <v/>
      </c>
      <c r="G187" s="1" t="str">
        <f>""</f>
        <v/>
      </c>
      <c r="H187" s="1" t="str">
        <f>""</f>
        <v/>
      </c>
      <c r="I187" s="2">
        <v>246864</v>
      </c>
    </row>
    <row r="188" spans="1:9" x14ac:dyDescent="0.2">
      <c r="A188" s="1">
        <v>176</v>
      </c>
      <c r="B188" s="3">
        <v>45657</v>
      </c>
      <c r="C188" s="1">
        <v>13</v>
      </c>
      <c r="D188" s="1" t="str">
        <f>"5768"</f>
        <v>5768</v>
      </c>
      <c r="E188" s="1" t="str">
        <f>"Прочие налоги и обязательные платежи в бюджет"</f>
        <v>Прочие налоги и обязательные платежи в бюджет</v>
      </c>
      <c r="F188" s="1" t="str">
        <f>""</f>
        <v/>
      </c>
      <c r="G188" s="1" t="str">
        <f>""</f>
        <v/>
      </c>
      <c r="H188" s="1" t="str">
        <f>""</f>
        <v/>
      </c>
      <c r="I188" s="2">
        <v>18454719.57</v>
      </c>
    </row>
    <row r="189" spans="1:9" x14ac:dyDescent="0.2">
      <c r="A189" s="1">
        <v>213</v>
      </c>
      <c r="B189" s="3">
        <v>45657</v>
      </c>
      <c r="C189" s="1">
        <v>13</v>
      </c>
      <c r="D189" s="1" t="str">
        <f>"5781"</f>
        <v>5781</v>
      </c>
      <c r="E189" s="1" t="str">
        <f>"Расходы по амортизации зданий и сооружений"</f>
        <v>Расходы по амортизации зданий и сооружений</v>
      </c>
      <c r="F189" s="1" t="str">
        <f>""</f>
        <v/>
      </c>
      <c r="G189" s="1" t="str">
        <f>""</f>
        <v/>
      </c>
      <c r="H189" s="1" t="str">
        <f>""</f>
        <v/>
      </c>
      <c r="I189" s="2">
        <v>11630481.060000001</v>
      </c>
    </row>
    <row r="190" spans="1:9" x14ac:dyDescent="0.2">
      <c r="A190" s="1">
        <v>182</v>
      </c>
      <c r="B190" s="3">
        <v>45657</v>
      </c>
      <c r="C190" s="1">
        <v>13</v>
      </c>
      <c r="D190" s="1" t="str">
        <f>"5782"</f>
        <v>5782</v>
      </c>
      <c r="E190" s="1" t="str">
        <f>"Расходы по амортизации компьютерного оборудования"</f>
        <v>Расходы по амортизации компьютерного оборудования</v>
      </c>
      <c r="F190" s="1" t="str">
        <f>""</f>
        <v/>
      </c>
      <c r="G190" s="1" t="str">
        <f>""</f>
        <v/>
      </c>
      <c r="H190" s="1" t="str">
        <f>""</f>
        <v/>
      </c>
      <c r="I190" s="2">
        <v>112189970.48999999</v>
      </c>
    </row>
    <row r="191" spans="1:9" x14ac:dyDescent="0.2">
      <c r="A191" s="1">
        <v>180</v>
      </c>
      <c r="B191" s="3">
        <v>45657</v>
      </c>
      <c r="C191" s="1">
        <v>13</v>
      </c>
      <c r="D191" s="1" t="str">
        <f>"5783"</f>
        <v>5783</v>
      </c>
      <c r="E191" s="1" t="str">
        <f>"Расходы по амортизации прочих основных средств"</f>
        <v>Расходы по амортизации прочих основных средств</v>
      </c>
      <c r="F191" s="1" t="str">
        <f>""</f>
        <v/>
      </c>
      <c r="G191" s="1" t="str">
        <f>""</f>
        <v/>
      </c>
      <c r="H191" s="1" t="str">
        <f>""</f>
        <v/>
      </c>
      <c r="I191" s="2">
        <v>31883961.84</v>
      </c>
    </row>
    <row r="192" spans="1:9" x14ac:dyDescent="0.2">
      <c r="A192" s="1">
        <v>207</v>
      </c>
      <c r="B192" s="3">
        <v>45657</v>
      </c>
      <c r="C192" s="1">
        <v>13</v>
      </c>
      <c r="D192" s="1" t="str">
        <f>"5784"</f>
        <v>5784</v>
      </c>
      <c r="E192" s="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92" s="1" t="str">
        <f>""</f>
        <v/>
      </c>
      <c r="G192" s="1" t="str">
        <f>""</f>
        <v/>
      </c>
      <c r="H192" s="1" t="str">
        <f>""</f>
        <v/>
      </c>
      <c r="I192" s="2">
        <v>349703772</v>
      </c>
    </row>
    <row r="193" spans="1:9" x14ac:dyDescent="0.2">
      <c r="A193" s="1">
        <v>215</v>
      </c>
      <c r="B193" s="3">
        <v>45657</v>
      </c>
      <c r="C193" s="1">
        <v>13</v>
      </c>
      <c r="D193" s="1" t="str">
        <f>"5787"</f>
        <v>5787</v>
      </c>
      <c r="E193" s="1" t="str">
        <f>"Расходы по амортизации транспортных средств"</f>
        <v>Расходы по амортизации транспортных средств</v>
      </c>
      <c r="F193" s="1" t="str">
        <f>""</f>
        <v/>
      </c>
      <c r="G193" s="1" t="str">
        <f>""</f>
        <v/>
      </c>
      <c r="H193" s="1" t="str">
        <f>""</f>
        <v/>
      </c>
      <c r="I193" s="2">
        <v>11990000.01</v>
      </c>
    </row>
    <row r="194" spans="1:9" x14ac:dyDescent="0.2">
      <c r="A194" s="1">
        <v>211</v>
      </c>
      <c r="B194" s="3">
        <v>45657</v>
      </c>
      <c r="C194" s="1">
        <v>13</v>
      </c>
      <c r="D194" s="1" t="str">
        <f>"5788"</f>
        <v>5788</v>
      </c>
      <c r="E194" s="1" t="str">
        <f>"Расходы по амортизации нематериальных активов"</f>
        <v>Расходы по амортизации нематериальных активов</v>
      </c>
      <c r="F194" s="1" t="str">
        <f>""</f>
        <v/>
      </c>
      <c r="G194" s="1" t="str">
        <f>""</f>
        <v/>
      </c>
      <c r="H194" s="1" t="str">
        <f>""</f>
        <v/>
      </c>
      <c r="I194" s="2">
        <v>41858831.390000001</v>
      </c>
    </row>
    <row r="195" spans="1:9" x14ac:dyDescent="0.2">
      <c r="A195" s="1">
        <v>197</v>
      </c>
      <c r="B195" s="3">
        <v>45657</v>
      </c>
      <c r="C195" s="1">
        <v>13</v>
      </c>
      <c r="D195" s="1" t="str">
        <f>"5852"</f>
        <v>5852</v>
      </c>
      <c r="E195" s="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195" s="1" t="str">
        <f>""</f>
        <v/>
      </c>
      <c r="G195" s="1" t="str">
        <f>""</f>
        <v/>
      </c>
      <c r="H195" s="1" t="str">
        <f>""</f>
        <v/>
      </c>
      <c r="I195" s="2">
        <v>292334411</v>
      </c>
    </row>
    <row r="196" spans="1:9" x14ac:dyDescent="0.2">
      <c r="A196" s="1">
        <v>198</v>
      </c>
      <c r="B196" s="3">
        <v>45657</v>
      </c>
      <c r="C196" s="1">
        <v>13</v>
      </c>
      <c r="D196" s="1" t="str">
        <f>"5854"</f>
        <v>5854</v>
      </c>
      <c r="E196" s="1" t="str">
        <f>"Расходы от реализации запасов"</f>
        <v>Расходы от реализации запасов</v>
      </c>
      <c r="F196" s="1" t="str">
        <f>""</f>
        <v/>
      </c>
      <c r="G196" s="1" t="str">
        <f>""</f>
        <v/>
      </c>
      <c r="H196" s="1" t="str">
        <f>""</f>
        <v/>
      </c>
      <c r="I196" s="2">
        <v>27978811</v>
      </c>
    </row>
    <row r="197" spans="1:9" x14ac:dyDescent="0.2">
      <c r="A197" s="1">
        <v>208</v>
      </c>
      <c r="B197" s="3">
        <v>45657</v>
      </c>
      <c r="C197" s="1">
        <v>13</v>
      </c>
      <c r="D197" s="1" t="str">
        <f>"5897"</f>
        <v>5897</v>
      </c>
      <c r="E197" s="1" t="str">
        <f>"Расходы, связанные с выплатой вознаграждения по производным финансовым инструментам"</f>
        <v>Расходы, связанные с выплатой вознаграждения по производным финансовым инструментам</v>
      </c>
      <c r="F197" s="1" t="str">
        <f>""</f>
        <v/>
      </c>
      <c r="G197" s="1" t="str">
        <f>""</f>
        <v/>
      </c>
      <c r="H197" s="1" t="str">
        <f>""</f>
        <v/>
      </c>
      <c r="I197" s="2">
        <v>1145000</v>
      </c>
    </row>
    <row r="198" spans="1:9" x14ac:dyDescent="0.2">
      <c r="A198" s="1">
        <v>203</v>
      </c>
      <c r="B198" s="3">
        <v>45657</v>
      </c>
      <c r="C198" s="1">
        <v>13</v>
      </c>
      <c r="D198" s="1" t="str">
        <f>"5900"</f>
        <v>5900</v>
      </c>
      <c r="E198" s="1" t="str">
        <f>"Неустойка (штраф, пеня)"</f>
        <v>Неустойка (штраф, пеня)</v>
      </c>
      <c r="F198" s="1" t="str">
        <f>""</f>
        <v/>
      </c>
      <c r="G198" s="1" t="str">
        <f>""</f>
        <v/>
      </c>
      <c r="H198" s="1" t="str">
        <f>""</f>
        <v/>
      </c>
      <c r="I198" s="2">
        <v>890645.26</v>
      </c>
    </row>
    <row r="199" spans="1:9" x14ac:dyDescent="0.2">
      <c r="A199" s="1">
        <v>188</v>
      </c>
      <c r="B199" s="3">
        <v>45657</v>
      </c>
      <c r="C199" s="1">
        <v>13</v>
      </c>
      <c r="D199" s="1" t="str">
        <f>"5921"</f>
        <v>5921</v>
      </c>
      <c r="E199" s="1" t="str">
        <f>"Прочие расходы от банковской деятельности"</f>
        <v>Прочие расходы от банковской деятельности</v>
      </c>
      <c r="F199" s="1" t="str">
        <f>""</f>
        <v/>
      </c>
      <c r="G199" s="1" t="str">
        <f>""</f>
        <v/>
      </c>
      <c r="H199" s="1" t="str">
        <f>""</f>
        <v/>
      </c>
      <c r="I199" s="2">
        <v>2360032052.9099998</v>
      </c>
    </row>
    <row r="200" spans="1:9" x14ac:dyDescent="0.2">
      <c r="A200" s="1">
        <v>191</v>
      </c>
      <c r="B200" s="3">
        <v>45657</v>
      </c>
      <c r="C200" s="1">
        <v>13</v>
      </c>
      <c r="D200" s="1" t="str">
        <f>"5922"</f>
        <v>5922</v>
      </c>
      <c r="E200" s="1" t="str">
        <f>"Прочие расходы от неосновной деятельности"</f>
        <v>Прочие расходы от неосновной деятельности</v>
      </c>
      <c r="F200" s="1" t="str">
        <f>""</f>
        <v/>
      </c>
      <c r="G200" s="1" t="str">
        <f>""</f>
        <v/>
      </c>
      <c r="H200" s="1" t="str">
        <f>""</f>
        <v/>
      </c>
      <c r="I200" s="2">
        <v>108893102.53</v>
      </c>
    </row>
    <row r="201" spans="1:9" x14ac:dyDescent="0.2">
      <c r="A201" s="1">
        <v>192</v>
      </c>
      <c r="B201" s="3">
        <v>45657</v>
      </c>
      <c r="C201" s="1">
        <v>13</v>
      </c>
      <c r="D201" s="1" t="str">
        <f>"5923"</f>
        <v>5923</v>
      </c>
      <c r="E201" s="1" t="str">
        <f>"Расходы по аренде"</f>
        <v>Расходы по аренде</v>
      </c>
      <c r="F201" s="1" t="str">
        <f>""</f>
        <v/>
      </c>
      <c r="G201" s="1" t="str">
        <f>""</f>
        <v/>
      </c>
      <c r="H201" s="1" t="str">
        <f>""</f>
        <v/>
      </c>
      <c r="I201" s="2">
        <v>705947.34</v>
      </c>
    </row>
    <row r="202" spans="1:9" x14ac:dyDescent="0.2">
      <c r="A202" s="1">
        <v>193</v>
      </c>
      <c r="B202" s="3">
        <v>45657</v>
      </c>
      <c r="C202" s="1">
        <v>13</v>
      </c>
      <c r="D202" s="1" t="str">
        <f>"5999"</f>
        <v>5999</v>
      </c>
      <c r="E202" s="1" t="str">
        <f>"Корпоративный подоходный налог"</f>
        <v>Корпоративный подоходный налог</v>
      </c>
      <c r="F202" s="1" t="str">
        <f>""</f>
        <v/>
      </c>
      <c r="G202" s="1" t="str">
        <f>""</f>
        <v/>
      </c>
      <c r="H202" s="1" t="str">
        <f>""</f>
        <v/>
      </c>
      <c r="I202" s="2">
        <v>822674533.60000002</v>
      </c>
    </row>
    <row r="203" spans="1:9" x14ac:dyDescent="0.2">
      <c r="A203" s="1">
        <v>196</v>
      </c>
      <c r="B203" s="3">
        <v>45657</v>
      </c>
      <c r="C203" s="1">
        <v>13</v>
      </c>
      <c r="D203" s="1" t="str">
        <f>"6055"</f>
        <v>6055</v>
      </c>
      <c r="E203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203" s="1" t="str">
        <f>""</f>
        <v/>
      </c>
      <c r="G203" s="1" t="str">
        <f>""</f>
        <v/>
      </c>
      <c r="H203" s="1" t="str">
        <f>""</f>
        <v/>
      </c>
      <c r="I203" s="2">
        <v>17627193338.029999</v>
      </c>
    </row>
    <row r="204" spans="1:9" x14ac:dyDescent="0.2">
      <c r="A204" s="1">
        <v>194</v>
      </c>
      <c r="B204" s="3">
        <v>45657</v>
      </c>
      <c r="C204" s="1">
        <v>13</v>
      </c>
      <c r="D204" s="1" t="str">
        <f>"6075"</f>
        <v>6075</v>
      </c>
      <c r="E204" s="1" t="str">
        <f>"Возможные требования по принятым гарантиям"</f>
        <v>Возможные требования по принятым гарантиям</v>
      </c>
      <c r="F204" s="1" t="str">
        <f>""</f>
        <v/>
      </c>
      <c r="G204" s="1" t="str">
        <f>""</f>
        <v/>
      </c>
      <c r="H204" s="1" t="str">
        <f>""</f>
        <v/>
      </c>
      <c r="I204" s="2">
        <v>382652244589.53998</v>
      </c>
    </row>
    <row r="205" spans="1:9" x14ac:dyDescent="0.2">
      <c r="A205" s="1">
        <v>140</v>
      </c>
      <c r="B205" s="3">
        <v>45657</v>
      </c>
      <c r="C205" s="1">
        <v>13</v>
      </c>
      <c r="D205" s="1" t="str">
        <f>"6126"</f>
        <v>6126</v>
      </c>
      <c r="E205" s="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205" s="1" t="str">
        <f>""</f>
        <v/>
      </c>
      <c r="G205" s="1" t="str">
        <f>""</f>
        <v/>
      </c>
      <c r="H205" s="1" t="str">
        <f>""</f>
        <v/>
      </c>
      <c r="I205" s="2">
        <v>79211311850.899994</v>
      </c>
    </row>
    <row r="206" spans="1:9" x14ac:dyDescent="0.2">
      <c r="A206" s="1">
        <v>103</v>
      </c>
      <c r="B206" s="3">
        <v>45657</v>
      </c>
      <c r="C206" s="1">
        <v>13</v>
      </c>
      <c r="D206" s="1" t="str">
        <f>"6555"</f>
        <v>6555</v>
      </c>
      <c r="E206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206" s="1" t="str">
        <f>""</f>
        <v/>
      </c>
      <c r="G206" s="1" t="str">
        <f>""</f>
        <v/>
      </c>
      <c r="H206" s="1" t="str">
        <f>""</f>
        <v/>
      </c>
      <c r="I206" s="2">
        <v>17627193338.029999</v>
      </c>
    </row>
    <row r="207" spans="1:9" x14ac:dyDescent="0.2">
      <c r="A207" s="1">
        <v>106</v>
      </c>
      <c r="B207" s="3">
        <v>45657</v>
      </c>
      <c r="C207" s="1">
        <v>13</v>
      </c>
      <c r="D207" s="1" t="str">
        <f>"6575"</f>
        <v>6575</v>
      </c>
      <c r="E207" s="1" t="str">
        <f>"Возможное уменьшение требований по принятым гарантиям"</f>
        <v>Возможное уменьшение требований по принятым гарантиям</v>
      </c>
      <c r="F207" s="1" t="str">
        <f>""</f>
        <v/>
      </c>
      <c r="G207" s="1" t="str">
        <f>""</f>
        <v/>
      </c>
      <c r="H207" s="1" t="str">
        <f>""</f>
        <v/>
      </c>
      <c r="I207" s="2">
        <v>382652244589.53998</v>
      </c>
    </row>
    <row r="208" spans="1:9" x14ac:dyDescent="0.2">
      <c r="A208" s="1">
        <v>145</v>
      </c>
      <c r="B208" s="3">
        <v>45657</v>
      </c>
      <c r="C208" s="1">
        <v>13</v>
      </c>
      <c r="D208" s="1" t="str">
        <f>"6626"</f>
        <v>6626</v>
      </c>
      <c r="E208" s="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208" s="1" t="str">
        <f>""</f>
        <v/>
      </c>
      <c r="G208" s="1" t="str">
        <f>""</f>
        <v/>
      </c>
      <c r="H208" s="1" t="str">
        <f>""</f>
        <v/>
      </c>
      <c r="I208" s="2">
        <v>79211311850.899994</v>
      </c>
    </row>
    <row r="209" spans="1:9" x14ac:dyDescent="0.2">
      <c r="A209" s="1">
        <v>128</v>
      </c>
      <c r="B209" s="3">
        <v>45657</v>
      </c>
      <c r="C209" s="1">
        <v>13</v>
      </c>
      <c r="D209" s="1" t="str">
        <f>"7250"</f>
        <v>7250</v>
      </c>
      <c r="E209" s="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209" s="1" t="str">
        <f>""</f>
        <v/>
      </c>
      <c r="G209" s="1" t="str">
        <f>""</f>
        <v/>
      </c>
      <c r="H209" s="1" t="str">
        <f>""</f>
        <v/>
      </c>
      <c r="I209" s="2">
        <v>335935290344.20001</v>
      </c>
    </row>
    <row r="210" spans="1:9" x14ac:dyDescent="0.2">
      <c r="A210" s="1">
        <v>117</v>
      </c>
      <c r="B210" s="3">
        <v>45657</v>
      </c>
      <c r="C210" s="1">
        <v>13</v>
      </c>
      <c r="D210" s="1" t="str">
        <f>"7303"</f>
        <v>7303</v>
      </c>
      <c r="E210" s="1" t="str">
        <f>"Платежные документы, не оплаченные в срок"</f>
        <v>Платежные документы, не оплаченные в срок</v>
      </c>
      <c r="F210" s="1" t="str">
        <f>""</f>
        <v/>
      </c>
      <c r="G210" s="1" t="str">
        <f>""</f>
        <v/>
      </c>
      <c r="H210" s="1" t="str">
        <f>""</f>
        <v/>
      </c>
      <c r="I210" s="2">
        <v>14142104072.879999</v>
      </c>
    </row>
    <row r="211" spans="1:9" x14ac:dyDescent="0.2">
      <c r="A211" s="1">
        <v>111</v>
      </c>
      <c r="B211" s="3">
        <v>45657</v>
      </c>
      <c r="C211" s="1">
        <v>13</v>
      </c>
      <c r="D211" s="1" t="str">
        <f>"7339"</f>
        <v>7339</v>
      </c>
      <c r="E211" s="1" t="str">
        <f>"Разные ценности и документы"</f>
        <v>Разные ценности и документы</v>
      </c>
      <c r="F211" s="1" t="str">
        <f>""</f>
        <v/>
      </c>
      <c r="G211" s="1" t="str">
        <f>""</f>
        <v/>
      </c>
      <c r="H211" s="1" t="str">
        <f>""</f>
        <v/>
      </c>
      <c r="I211" s="2">
        <v>3459</v>
      </c>
    </row>
    <row r="212" spans="1:9" x14ac:dyDescent="0.2">
      <c r="A212" s="1">
        <v>141</v>
      </c>
      <c r="B212" s="3">
        <v>45657</v>
      </c>
      <c r="C212" s="1">
        <v>13</v>
      </c>
      <c r="D212" s="1" t="str">
        <f>"7806"</f>
        <v>7806</v>
      </c>
      <c r="E212" s="1" t="str">
        <f>"Требования по операциям финансирования торговой деятельности"</f>
        <v>Требования по операциям финансирования торговой деятельности</v>
      </c>
      <c r="F212" s="1" t="str">
        <f>""</f>
        <v/>
      </c>
      <c r="G212" s="1" t="str">
        <f>""</f>
        <v/>
      </c>
      <c r="H212" s="1" t="str">
        <f>""</f>
        <v/>
      </c>
      <c r="I212" s="2">
        <v>35901272698.330002</v>
      </c>
    </row>
    <row r="213" spans="1:9" x14ac:dyDescent="0.2">
      <c r="A213" s="1">
        <v>143</v>
      </c>
      <c r="B213" s="3">
        <v>45657</v>
      </c>
      <c r="C213" s="1">
        <v>13</v>
      </c>
      <c r="D213" s="1" t="str">
        <f>"7831"</f>
        <v>7831</v>
      </c>
      <c r="E213" s="1" t="str">
        <f>"Обязательства по инвестиционным депозитам"</f>
        <v>Обязательства по инвестиционным депозитам</v>
      </c>
      <c r="F213" s="1" t="str">
        <f>""</f>
        <v/>
      </c>
      <c r="G213" s="1" t="str">
        <f>""</f>
        <v/>
      </c>
      <c r="H213" s="1" t="str">
        <f>""</f>
        <v/>
      </c>
      <c r="I213" s="2">
        <v>31151490806.740002</v>
      </c>
    </row>
    <row r="214" spans="1:9" x14ac:dyDescent="0.2">
      <c r="A214" s="1">
        <v>146</v>
      </c>
      <c r="B214" s="3">
        <v>45657</v>
      </c>
      <c r="C214" s="1">
        <v>13</v>
      </c>
      <c r="D214" s="1" t="str">
        <f>"7832"</f>
        <v>7832</v>
      </c>
      <c r="E214" s="1" t="str">
        <f>"Доходы будущих периодов"</f>
        <v>Доходы будущих периодов</v>
      </c>
      <c r="F214" s="1" t="str">
        <f>""</f>
        <v/>
      </c>
      <c r="G214" s="1" t="str">
        <f>""</f>
        <v/>
      </c>
      <c r="H214" s="1" t="str">
        <f>""</f>
        <v/>
      </c>
      <c r="I214" s="2">
        <v>4577050309.0799999</v>
      </c>
    </row>
    <row r="215" spans="1:9" x14ac:dyDescent="0.2">
      <c r="A215" s="1">
        <v>147</v>
      </c>
      <c r="B215" s="3">
        <v>45657</v>
      </c>
      <c r="C215" s="1">
        <v>13</v>
      </c>
      <c r="D215" s="1" t="str">
        <f>"7833"</f>
        <v>7833</v>
      </c>
      <c r="E215" s="1" t="str">
        <f>"Начисленные расходы по инвестиционным депозитам"</f>
        <v>Начисленные расходы по инвестиционным депозитам</v>
      </c>
      <c r="F215" s="1" t="str">
        <f>""</f>
        <v/>
      </c>
      <c r="G215" s="1" t="str">
        <f>""</f>
        <v/>
      </c>
      <c r="H215" s="1" t="str">
        <f>""</f>
        <v/>
      </c>
      <c r="I215" s="2">
        <v>1087475959.0699999</v>
      </c>
    </row>
    <row r="216" spans="1:9" x14ac:dyDescent="0.2">
      <c r="A216" s="1">
        <v>157</v>
      </c>
      <c r="B216" s="3">
        <v>45657</v>
      </c>
      <c r="C216" s="1">
        <v>13</v>
      </c>
      <c r="D216" s="1" t="str">
        <f>"7851"</f>
        <v>7851</v>
      </c>
      <c r="E216" s="1" t="str">
        <f>"Капитал"</f>
        <v>Капитал</v>
      </c>
      <c r="F216" s="1" t="str">
        <f>""</f>
        <v/>
      </c>
      <c r="G216" s="1" t="str">
        <f>""</f>
        <v/>
      </c>
      <c r="H216" s="1" t="str">
        <f>""</f>
        <v/>
      </c>
      <c r="I216" s="2">
        <v>-914744376.55999994</v>
      </c>
    </row>
  </sheetData>
  <sortState xmlns:xlrd2="http://schemas.microsoft.com/office/spreadsheetml/2017/richdata2" ref="A3:I216">
    <sortCondition ref="D3:D2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 Uzakbayeva</dc:creator>
  <cp:lastModifiedBy>Farida Uzakbayeva</cp:lastModifiedBy>
  <dcterms:created xsi:type="dcterms:W3CDTF">2025-01-14T05:44:06Z</dcterms:created>
  <dcterms:modified xsi:type="dcterms:W3CDTF">2025-01-14T05:46:16Z</dcterms:modified>
</cp:coreProperties>
</file>