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Анара\2022\Баланс\03_март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Лист1!$A$6:$M$607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9" i="1" l="1"/>
  <c r="F489" i="1"/>
  <c r="E489" i="1"/>
  <c r="D489" i="1"/>
  <c r="H449" i="1"/>
  <c r="F449" i="1"/>
  <c r="E449" i="1"/>
  <c r="D449" i="1"/>
  <c r="H292" i="1"/>
  <c r="G292" i="1"/>
  <c r="F292" i="1"/>
  <c r="E292" i="1"/>
  <c r="D292" i="1"/>
  <c r="H239" i="1"/>
  <c r="G239" i="1"/>
  <c r="F239" i="1"/>
  <c r="E239" i="1"/>
  <c r="D239" i="1"/>
  <c r="H199" i="1"/>
  <c r="G199" i="1"/>
  <c r="F199" i="1"/>
  <c r="E199" i="1"/>
  <c r="D199" i="1"/>
  <c r="H72" i="1"/>
  <c r="G72" i="1"/>
  <c r="F72" i="1"/>
  <c r="E72" i="1"/>
  <c r="D72" i="1"/>
  <c r="H47" i="1"/>
  <c r="G47" i="1"/>
  <c r="F47" i="1"/>
  <c r="E47" i="1"/>
  <c r="D47" i="1"/>
  <c r="H300" i="1"/>
  <c r="G300" i="1"/>
  <c r="F300" i="1"/>
  <c r="E300" i="1"/>
  <c r="D300" i="1"/>
  <c r="H288" i="1"/>
  <c r="G288" i="1"/>
  <c r="F288" i="1"/>
  <c r="E288" i="1"/>
  <c r="D288" i="1"/>
  <c r="H283" i="1"/>
  <c r="G283" i="1"/>
  <c r="F283" i="1"/>
  <c r="E283" i="1"/>
  <c r="D283" i="1"/>
  <c r="H154" i="1"/>
  <c r="F154" i="1"/>
  <c r="E154" i="1"/>
  <c r="D154" i="1"/>
  <c r="H188" i="1"/>
  <c r="G188" i="1"/>
  <c r="F188" i="1"/>
  <c r="E188" i="1"/>
  <c r="D188" i="1"/>
  <c r="H139" i="1"/>
  <c r="G139" i="1"/>
  <c r="F139" i="1"/>
  <c r="E139" i="1"/>
  <c r="D139" i="1"/>
  <c r="H123" i="1"/>
  <c r="G123" i="1"/>
  <c r="F123" i="1"/>
  <c r="E123" i="1"/>
  <c r="D123" i="1"/>
  <c r="H117" i="1"/>
  <c r="G117" i="1"/>
  <c r="F117" i="1"/>
  <c r="E117" i="1"/>
  <c r="D117" i="1"/>
  <c r="H62" i="1"/>
  <c r="G62" i="1"/>
  <c r="F62" i="1"/>
  <c r="E62" i="1"/>
  <c r="D62" i="1"/>
  <c r="H84" i="1"/>
  <c r="G84" i="1"/>
  <c r="F84" i="1"/>
  <c r="E84" i="1"/>
  <c r="D84" i="1"/>
  <c r="H52" i="1"/>
  <c r="G52" i="1"/>
  <c r="F52" i="1"/>
  <c r="E52" i="1"/>
  <c r="D52" i="1"/>
  <c r="H492" i="1"/>
  <c r="F492" i="1"/>
  <c r="E492" i="1"/>
  <c r="D492" i="1"/>
  <c r="H420" i="1"/>
  <c r="G420" i="1"/>
  <c r="F420" i="1"/>
  <c r="E420" i="1"/>
  <c r="D420" i="1"/>
  <c r="H429" i="1"/>
  <c r="G429" i="1"/>
  <c r="F429" i="1"/>
  <c r="E429" i="1"/>
  <c r="D429" i="1"/>
  <c r="H379" i="1"/>
  <c r="G379" i="1"/>
  <c r="F379" i="1"/>
  <c r="E379" i="1"/>
  <c r="D379" i="1"/>
  <c r="H385" i="1"/>
  <c r="F385" i="1"/>
  <c r="E385" i="1"/>
  <c r="D385" i="1"/>
  <c r="H353" i="1"/>
  <c r="G353" i="1"/>
  <c r="F353" i="1"/>
  <c r="E353" i="1"/>
  <c r="D353" i="1"/>
  <c r="H351" i="1"/>
  <c r="G351" i="1"/>
  <c r="F351" i="1"/>
  <c r="E351" i="1"/>
  <c r="D351" i="1"/>
  <c r="H313" i="1"/>
  <c r="G313" i="1"/>
  <c r="F313" i="1"/>
  <c r="E313" i="1"/>
  <c r="D313" i="1"/>
  <c r="H325" i="1"/>
  <c r="G325" i="1"/>
  <c r="F325" i="1"/>
  <c r="E325" i="1"/>
  <c r="D325" i="1"/>
  <c r="H314" i="1"/>
  <c r="G314" i="1"/>
  <c r="F314" i="1"/>
  <c r="E314" i="1"/>
  <c r="D314" i="1"/>
  <c r="H320" i="1"/>
  <c r="G320" i="1"/>
  <c r="F320" i="1"/>
  <c r="E320" i="1"/>
  <c r="D320" i="1"/>
  <c r="H304" i="1"/>
  <c r="G304" i="1"/>
  <c r="F304" i="1"/>
  <c r="E304" i="1"/>
  <c r="D304" i="1"/>
  <c r="H274" i="1"/>
  <c r="G274" i="1"/>
  <c r="F274" i="1"/>
  <c r="E274" i="1"/>
  <c r="D274" i="1"/>
  <c r="H216" i="1"/>
  <c r="G216" i="1"/>
  <c r="F216" i="1"/>
  <c r="E216" i="1"/>
  <c r="D216" i="1"/>
  <c r="H159" i="1"/>
  <c r="F159" i="1"/>
  <c r="E159" i="1"/>
  <c r="D159" i="1"/>
  <c r="H178" i="1"/>
  <c r="G178" i="1"/>
  <c r="F178" i="1"/>
  <c r="E178" i="1"/>
  <c r="D178" i="1"/>
  <c r="H143" i="1"/>
  <c r="F143" i="1"/>
  <c r="E143" i="1"/>
  <c r="D143" i="1"/>
  <c r="H141" i="1"/>
  <c r="F141" i="1"/>
  <c r="E141" i="1"/>
  <c r="D141" i="1"/>
  <c r="H114" i="1"/>
  <c r="G114" i="1"/>
  <c r="F114" i="1"/>
  <c r="E114" i="1"/>
  <c r="D114" i="1"/>
  <c r="H86" i="1"/>
  <c r="G86" i="1"/>
  <c r="F86" i="1"/>
  <c r="E86" i="1"/>
  <c r="D86" i="1"/>
  <c r="H69" i="1"/>
  <c r="G69" i="1"/>
  <c r="F69" i="1"/>
  <c r="E69" i="1"/>
  <c r="D69" i="1"/>
  <c r="H23" i="1"/>
  <c r="G23" i="1"/>
  <c r="F23" i="1"/>
  <c r="E23" i="1"/>
  <c r="D23" i="1"/>
  <c r="H261" i="1"/>
  <c r="G261" i="1"/>
  <c r="F261" i="1"/>
  <c r="E261" i="1"/>
  <c r="D261" i="1"/>
  <c r="H110" i="1"/>
  <c r="G110" i="1"/>
  <c r="F110" i="1"/>
  <c r="E110" i="1"/>
  <c r="D110" i="1"/>
  <c r="H71" i="1"/>
  <c r="G71" i="1"/>
  <c r="F71" i="1"/>
  <c r="E71" i="1"/>
  <c r="D71" i="1"/>
  <c r="H604" i="1"/>
  <c r="F604" i="1"/>
  <c r="E604" i="1"/>
  <c r="D604" i="1"/>
  <c r="H602" i="1"/>
  <c r="F602" i="1"/>
  <c r="E602" i="1"/>
  <c r="D602" i="1"/>
  <c r="H571" i="1"/>
  <c r="F571" i="1"/>
  <c r="E571" i="1"/>
  <c r="D571" i="1"/>
  <c r="H516" i="1"/>
  <c r="F516" i="1"/>
  <c r="E516" i="1"/>
  <c r="D516" i="1"/>
  <c r="H511" i="1"/>
  <c r="F511" i="1"/>
  <c r="E511" i="1"/>
  <c r="D511" i="1"/>
  <c r="H462" i="1"/>
  <c r="F462" i="1"/>
  <c r="E462" i="1"/>
  <c r="D462" i="1"/>
  <c r="H401" i="1"/>
  <c r="G401" i="1"/>
  <c r="F401" i="1"/>
  <c r="E401" i="1"/>
  <c r="D401" i="1"/>
  <c r="H404" i="1"/>
  <c r="G404" i="1"/>
  <c r="F404" i="1"/>
  <c r="E404" i="1"/>
  <c r="D404" i="1"/>
  <c r="H406" i="1"/>
  <c r="G406" i="1"/>
  <c r="F406" i="1"/>
  <c r="E406" i="1"/>
  <c r="D406" i="1"/>
  <c r="H388" i="1"/>
  <c r="F388" i="1"/>
  <c r="E388" i="1"/>
  <c r="D388" i="1"/>
  <c r="H358" i="1"/>
  <c r="G358" i="1"/>
  <c r="F358" i="1"/>
  <c r="E358" i="1"/>
  <c r="D358" i="1"/>
  <c r="H373" i="1"/>
  <c r="G373" i="1"/>
  <c r="F373" i="1"/>
  <c r="E373" i="1"/>
  <c r="D373" i="1"/>
  <c r="H341" i="1"/>
  <c r="G341" i="1"/>
  <c r="F341" i="1"/>
  <c r="E341" i="1"/>
  <c r="D341" i="1"/>
  <c r="H344" i="1"/>
  <c r="G344" i="1"/>
  <c r="F344" i="1"/>
  <c r="E344" i="1"/>
  <c r="D344" i="1"/>
  <c r="H266" i="1"/>
  <c r="G266" i="1"/>
  <c r="F266" i="1"/>
  <c r="E266" i="1"/>
  <c r="D266" i="1"/>
  <c r="H268" i="1"/>
  <c r="G268" i="1"/>
  <c r="F268" i="1"/>
  <c r="E268" i="1"/>
  <c r="D268" i="1"/>
  <c r="H285" i="1"/>
  <c r="G285" i="1"/>
  <c r="F285" i="1"/>
  <c r="E285" i="1"/>
  <c r="D285" i="1"/>
  <c r="H244" i="1"/>
  <c r="G244" i="1"/>
  <c r="F244" i="1"/>
  <c r="E244" i="1"/>
  <c r="D244" i="1"/>
  <c r="H213" i="1"/>
  <c r="G213" i="1"/>
  <c r="F213" i="1"/>
  <c r="E213" i="1"/>
  <c r="D213" i="1"/>
  <c r="H241" i="1"/>
  <c r="G241" i="1"/>
  <c r="F241" i="1"/>
  <c r="E241" i="1"/>
  <c r="D241" i="1"/>
  <c r="H201" i="1"/>
  <c r="G201" i="1"/>
  <c r="F201" i="1"/>
  <c r="E201" i="1"/>
  <c r="D201" i="1"/>
  <c r="H202" i="1"/>
  <c r="G202" i="1"/>
  <c r="F202" i="1"/>
  <c r="E202" i="1"/>
  <c r="D202" i="1"/>
  <c r="H128" i="1"/>
  <c r="G128" i="1"/>
  <c r="F128" i="1"/>
  <c r="E128" i="1"/>
  <c r="D128" i="1"/>
  <c r="H124" i="1"/>
  <c r="G124" i="1"/>
  <c r="F124" i="1"/>
  <c r="E124" i="1"/>
  <c r="D124" i="1"/>
  <c r="H19" i="1"/>
  <c r="G19" i="1"/>
  <c r="F19" i="1"/>
  <c r="E19" i="1"/>
  <c r="D19" i="1"/>
  <c r="H486" i="1"/>
  <c r="F486" i="1"/>
  <c r="E486" i="1"/>
  <c r="D486" i="1"/>
  <c r="H467" i="1"/>
  <c r="F467" i="1"/>
  <c r="E467" i="1"/>
  <c r="D467" i="1"/>
  <c r="H414" i="1"/>
  <c r="G414" i="1"/>
  <c r="F414" i="1"/>
  <c r="E414" i="1"/>
  <c r="D414" i="1"/>
  <c r="H447" i="1"/>
  <c r="F447" i="1"/>
  <c r="E447" i="1"/>
  <c r="D447" i="1"/>
  <c r="H330" i="1"/>
  <c r="G330" i="1"/>
  <c r="F330" i="1"/>
  <c r="E330" i="1"/>
  <c r="D330" i="1"/>
  <c r="H258" i="1"/>
  <c r="G258" i="1"/>
  <c r="F258" i="1"/>
  <c r="E258" i="1"/>
  <c r="D258" i="1"/>
  <c r="H235" i="1"/>
  <c r="G235" i="1"/>
  <c r="F235" i="1"/>
  <c r="E235" i="1"/>
  <c r="D235" i="1"/>
  <c r="H113" i="1"/>
  <c r="G113" i="1"/>
  <c r="F113" i="1"/>
  <c r="E113" i="1"/>
  <c r="D113" i="1"/>
  <c r="H570" i="1"/>
  <c r="F570" i="1"/>
  <c r="E570" i="1"/>
  <c r="D570" i="1"/>
  <c r="H546" i="1"/>
  <c r="F546" i="1"/>
  <c r="E546" i="1"/>
  <c r="D546" i="1"/>
  <c r="H551" i="1"/>
  <c r="F551" i="1"/>
  <c r="E551" i="1"/>
  <c r="D551" i="1"/>
  <c r="H507" i="1"/>
  <c r="F507" i="1"/>
  <c r="E507" i="1"/>
  <c r="D507" i="1"/>
  <c r="H484" i="1"/>
  <c r="F484" i="1"/>
  <c r="E484" i="1"/>
  <c r="D484" i="1"/>
  <c r="H478" i="1"/>
  <c r="F478" i="1"/>
  <c r="E478" i="1"/>
  <c r="D478" i="1"/>
  <c r="H473" i="1"/>
  <c r="F473" i="1"/>
  <c r="E473" i="1"/>
  <c r="D473" i="1"/>
  <c r="H443" i="1"/>
  <c r="G443" i="1"/>
  <c r="F443" i="1"/>
  <c r="E443" i="1"/>
  <c r="D443" i="1"/>
  <c r="H412" i="1"/>
  <c r="G412" i="1"/>
  <c r="F412" i="1"/>
  <c r="E412" i="1"/>
  <c r="D412" i="1"/>
  <c r="H419" i="1"/>
  <c r="G419" i="1"/>
  <c r="F419" i="1"/>
  <c r="E419" i="1"/>
  <c r="D419" i="1"/>
  <c r="H387" i="1"/>
  <c r="F387" i="1"/>
  <c r="E387" i="1"/>
  <c r="D387" i="1"/>
  <c r="H378" i="1"/>
  <c r="G378" i="1"/>
  <c r="F378" i="1"/>
  <c r="E378" i="1"/>
  <c r="D378" i="1"/>
  <c r="H383" i="1"/>
  <c r="F383" i="1"/>
  <c r="E383" i="1"/>
  <c r="D383" i="1"/>
  <c r="H348" i="1"/>
  <c r="G348" i="1"/>
  <c r="F348" i="1"/>
  <c r="E348" i="1"/>
  <c r="D348" i="1"/>
  <c r="H322" i="1"/>
  <c r="G322" i="1"/>
  <c r="F322" i="1"/>
  <c r="E322" i="1"/>
  <c r="D322" i="1"/>
  <c r="H311" i="1"/>
  <c r="G311" i="1"/>
  <c r="F311" i="1"/>
  <c r="E311" i="1"/>
  <c r="D311" i="1"/>
  <c r="H309" i="1"/>
  <c r="G309" i="1"/>
  <c r="F309" i="1"/>
  <c r="E309" i="1"/>
  <c r="D309" i="1"/>
  <c r="H265" i="1"/>
  <c r="G265" i="1"/>
  <c r="F265" i="1"/>
  <c r="E265" i="1"/>
  <c r="D265" i="1"/>
  <c r="H260" i="1"/>
  <c r="G260" i="1"/>
  <c r="F260" i="1"/>
  <c r="E260" i="1"/>
  <c r="D260" i="1"/>
  <c r="H237" i="1"/>
  <c r="G237" i="1"/>
  <c r="F237" i="1"/>
  <c r="E237" i="1"/>
  <c r="D237" i="1"/>
  <c r="H236" i="1"/>
  <c r="G236" i="1"/>
  <c r="F236" i="1"/>
  <c r="E236" i="1"/>
  <c r="D236" i="1"/>
  <c r="H220" i="1"/>
  <c r="G220" i="1"/>
  <c r="F220" i="1"/>
  <c r="E220" i="1"/>
  <c r="D220" i="1"/>
  <c r="H205" i="1"/>
  <c r="G205" i="1"/>
  <c r="F205" i="1"/>
  <c r="E205" i="1"/>
  <c r="D205" i="1"/>
  <c r="H185" i="1"/>
  <c r="G185" i="1"/>
  <c r="F185" i="1"/>
  <c r="E185" i="1"/>
  <c r="D185" i="1"/>
  <c r="H138" i="1"/>
  <c r="G138" i="1"/>
  <c r="F138" i="1"/>
  <c r="E138" i="1"/>
  <c r="D138" i="1"/>
  <c r="H97" i="1"/>
  <c r="F97" i="1"/>
  <c r="E97" i="1"/>
  <c r="D97" i="1"/>
  <c r="H61" i="1"/>
  <c r="G61" i="1"/>
  <c r="F61" i="1"/>
  <c r="E61" i="1"/>
  <c r="D61" i="1"/>
  <c r="H67" i="1"/>
  <c r="G67" i="1"/>
  <c r="F67" i="1"/>
  <c r="E67" i="1"/>
  <c r="D67" i="1"/>
  <c r="H32" i="1"/>
  <c r="G32" i="1"/>
  <c r="F32" i="1"/>
  <c r="E32" i="1"/>
  <c r="D32" i="1"/>
  <c r="H594" i="1"/>
  <c r="F594" i="1"/>
  <c r="E594" i="1"/>
  <c r="D594" i="1"/>
  <c r="H524" i="1"/>
  <c r="F524" i="1"/>
  <c r="E524" i="1"/>
  <c r="D524" i="1"/>
  <c r="H532" i="1"/>
  <c r="F532" i="1"/>
  <c r="E532" i="1"/>
  <c r="D532" i="1"/>
  <c r="H491" i="1"/>
  <c r="F491" i="1"/>
  <c r="E491" i="1"/>
  <c r="D491" i="1"/>
  <c r="H485" i="1"/>
  <c r="F485" i="1"/>
  <c r="E485" i="1"/>
  <c r="D485" i="1"/>
  <c r="H457" i="1"/>
  <c r="F457" i="1"/>
  <c r="E457" i="1"/>
  <c r="D457" i="1"/>
  <c r="H456" i="1"/>
  <c r="F456" i="1"/>
  <c r="E456" i="1"/>
  <c r="D456" i="1"/>
  <c r="H428" i="1"/>
  <c r="G428" i="1"/>
  <c r="F428" i="1"/>
  <c r="E428" i="1"/>
  <c r="D428" i="1"/>
  <c r="H382" i="1"/>
  <c r="F382" i="1"/>
  <c r="E382" i="1"/>
  <c r="D382" i="1"/>
  <c r="H357" i="1"/>
  <c r="G357" i="1"/>
  <c r="F357" i="1"/>
  <c r="E357" i="1"/>
  <c r="D357" i="1"/>
  <c r="H342" i="1"/>
  <c r="G342" i="1"/>
  <c r="F342" i="1"/>
  <c r="E342" i="1"/>
  <c r="D342" i="1"/>
  <c r="H335" i="1"/>
  <c r="G335" i="1"/>
  <c r="F335" i="1"/>
  <c r="E335" i="1"/>
  <c r="D335" i="1"/>
  <c r="H302" i="1"/>
  <c r="G302" i="1"/>
  <c r="F302" i="1"/>
  <c r="E302" i="1"/>
  <c r="D302" i="1"/>
  <c r="H276" i="1"/>
  <c r="G276" i="1"/>
  <c r="F276" i="1"/>
  <c r="E276" i="1"/>
  <c r="D276" i="1"/>
  <c r="H221" i="1"/>
  <c r="G221" i="1"/>
  <c r="F221" i="1"/>
  <c r="E221" i="1"/>
  <c r="D221" i="1"/>
  <c r="H165" i="1"/>
  <c r="G165" i="1"/>
  <c r="F165" i="1"/>
  <c r="E165" i="1"/>
  <c r="D165" i="1"/>
  <c r="H191" i="1"/>
  <c r="G191" i="1"/>
  <c r="F191" i="1"/>
  <c r="E191" i="1"/>
  <c r="D191" i="1"/>
  <c r="H133" i="1"/>
  <c r="G133" i="1"/>
  <c r="F133" i="1"/>
  <c r="E133" i="1"/>
  <c r="D133" i="1"/>
  <c r="H63" i="1"/>
  <c r="G63" i="1"/>
  <c r="F63" i="1"/>
  <c r="E63" i="1"/>
  <c r="D63" i="1"/>
  <c r="H33" i="1"/>
  <c r="G33" i="1"/>
  <c r="F33" i="1"/>
  <c r="E33" i="1"/>
  <c r="D33" i="1"/>
  <c r="H27" i="1"/>
  <c r="G27" i="1"/>
  <c r="F27" i="1"/>
  <c r="E27" i="1"/>
  <c r="D27" i="1"/>
  <c r="H605" i="1"/>
  <c r="F605" i="1"/>
  <c r="E605" i="1"/>
  <c r="D605" i="1"/>
  <c r="H558" i="1"/>
  <c r="F558" i="1"/>
  <c r="E558" i="1"/>
  <c r="D558" i="1"/>
  <c r="H444" i="1"/>
  <c r="G444" i="1"/>
  <c r="F444" i="1"/>
  <c r="E444" i="1"/>
  <c r="D444" i="1"/>
  <c r="H402" i="1"/>
  <c r="G402" i="1"/>
  <c r="F402" i="1"/>
  <c r="E402" i="1"/>
  <c r="D402" i="1"/>
  <c r="H362" i="1"/>
  <c r="G362" i="1"/>
  <c r="F362" i="1"/>
  <c r="E362" i="1"/>
  <c r="D362" i="1"/>
  <c r="H307" i="1"/>
  <c r="G307" i="1"/>
  <c r="F307" i="1"/>
  <c r="E307" i="1"/>
  <c r="D307" i="1"/>
  <c r="H318" i="1"/>
  <c r="G318" i="1"/>
  <c r="F318" i="1"/>
  <c r="E318" i="1"/>
  <c r="D318" i="1"/>
  <c r="H256" i="1"/>
  <c r="G256" i="1"/>
  <c r="F256" i="1"/>
  <c r="E256" i="1"/>
  <c r="D256" i="1"/>
  <c r="H193" i="1"/>
  <c r="G193" i="1"/>
  <c r="F193" i="1"/>
  <c r="E193" i="1"/>
  <c r="D193" i="1"/>
  <c r="H135" i="1"/>
  <c r="G135" i="1"/>
  <c r="F135" i="1"/>
  <c r="E135" i="1"/>
  <c r="D135" i="1"/>
  <c r="H42" i="1"/>
  <c r="G42" i="1"/>
  <c r="F42" i="1"/>
  <c r="E42" i="1"/>
  <c r="D42" i="1"/>
  <c r="H65" i="1"/>
  <c r="G65" i="1"/>
  <c r="F65" i="1"/>
  <c r="E65" i="1"/>
  <c r="D65" i="1"/>
  <c r="H40" i="1"/>
  <c r="G40" i="1"/>
  <c r="F40" i="1"/>
  <c r="E40" i="1"/>
  <c r="D40" i="1"/>
  <c r="H566" i="1"/>
  <c r="F566" i="1"/>
  <c r="E566" i="1"/>
  <c r="D566" i="1"/>
  <c r="H553" i="1"/>
  <c r="F553" i="1"/>
  <c r="E553" i="1"/>
  <c r="D553" i="1"/>
  <c r="H517" i="1"/>
  <c r="F517" i="1"/>
  <c r="E517" i="1"/>
  <c r="D517" i="1"/>
  <c r="H495" i="1"/>
  <c r="F495" i="1"/>
  <c r="E495" i="1"/>
  <c r="D495" i="1"/>
  <c r="H503" i="1"/>
  <c r="F503" i="1"/>
  <c r="E503" i="1"/>
  <c r="D503" i="1"/>
  <c r="H487" i="1"/>
  <c r="F487" i="1"/>
  <c r="E487" i="1"/>
  <c r="D487" i="1"/>
  <c r="H452" i="1"/>
  <c r="F452" i="1"/>
  <c r="E452" i="1"/>
  <c r="D452" i="1"/>
  <c r="H434" i="1"/>
  <c r="G434" i="1"/>
  <c r="F434" i="1"/>
  <c r="E434" i="1"/>
  <c r="D434" i="1"/>
  <c r="H431" i="1"/>
  <c r="G431" i="1"/>
  <c r="F431" i="1"/>
  <c r="E431" i="1"/>
  <c r="D431" i="1"/>
  <c r="H393" i="1"/>
  <c r="F393" i="1"/>
  <c r="E393" i="1"/>
  <c r="D393" i="1"/>
  <c r="H339" i="1"/>
  <c r="G339" i="1"/>
  <c r="F339" i="1"/>
  <c r="E339" i="1"/>
  <c r="D339" i="1"/>
  <c r="H315" i="1"/>
  <c r="G315" i="1"/>
  <c r="F315" i="1"/>
  <c r="E315" i="1"/>
  <c r="D315" i="1"/>
  <c r="H585" i="1"/>
  <c r="F585" i="1"/>
  <c r="E585" i="1"/>
  <c r="D585" i="1"/>
  <c r="H565" i="1"/>
  <c r="F565" i="1"/>
  <c r="E565" i="1"/>
  <c r="D565" i="1"/>
  <c r="H528" i="1"/>
  <c r="F528" i="1"/>
  <c r="E528" i="1"/>
  <c r="D528" i="1"/>
  <c r="H497" i="1"/>
  <c r="F497" i="1"/>
  <c r="E497" i="1"/>
  <c r="D497" i="1"/>
  <c r="H17" i="1"/>
  <c r="G17" i="1"/>
  <c r="F17" i="1"/>
  <c r="E17" i="1"/>
  <c r="D17" i="1"/>
  <c r="H461" i="1"/>
  <c r="F461" i="1"/>
  <c r="E461" i="1"/>
  <c r="D461" i="1"/>
  <c r="H584" i="1"/>
  <c r="F584" i="1"/>
  <c r="E584" i="1"/>
  <c r="D584" i="1"/>
  <c r="H578" i="1"/>
  <c r="F578" i="1"/>
  <c r="E578" i="1"/>
  <c r="D578" i="1"/>
  <c r="H581" i="1"/>
  <c r="F581" i="1"/>
  <c r="E581" i="1"/>
  <c r="D581" i="1"/>
  <c r="H556" i="1"/>
  <c r="F556" i="1"/>
  <c r="E556" i="1"/>
  <c r="D556" i="1"/>
  <c r="H519" i="1"/>
  <c r="F519" i="1"/>
  <c r="E519" i="1"/>
  <c r="D519" i="1"/>
  <c r="H526" i="1"/>
  <c r="F526" i="1"/>
  <c r="E526" i="1"/>
  <c r="D526" i="1"/>
  <c r="H512" i="1"/>
  <c r="F512" i="1"/>
  <c r="E512" i="1"/>
  <c r="D512" i="1"/>
  <c r="H498" i="1"/>
  <c r="F498" i="1"/>
  <c r="E498" i="1"/>
  <c r="D498" i="1"/>
  <c r="H474" i="1"/>
  <c r="F474" i="1"/>
  <c r="E474" i="1"/>
  <c r="D474" i="1"/>
  <c r="H476" i="1"/>
  <c r="F476" i="1"/>
  <c r="E476" i="1"/>
  <c r="D476" i="1"/>
  <c r="H472" i="1"/>
  <c r="F472" i="1"/>
  <c r="E472" i="1"/>
  <c r="D472" i="1"/>
  <c r="H417" i="1"/>
  <c r="G417" i="1"/>
  <c r="F417" i="1"/>
  <c r="E417" i="1"/>
  <c r="D417" i="1"/>
  <c r="H426" i="1"/>
  <c r="G426" i="1"/>
  <c r="F426" i="1"/>
  <c r="E426" i="1"/>
  <c r="D426" i="1"/>
  <c r="H423" i="1"/>
  <c r="G423" i="1"/>
  <c r="F423" i="1"/>
  <c r="E423" i="1"/>
  <c r="D423" i="1"/>
  <c r="H422" i="1"/>
  <c r="G422" i="1"/>
  <c r="F422" i="1"/>
  <c r="E422" i="1"/>
  <c r="D422" i="1"/>
  <c r="H405" i="1"/>
  <c r="G405" i="1"/>
  <c r="F405" i="1"/>
  <c r="E405" i="1"/>
  <c r="D405" i="1"/>
  <c r="H368" i="1"/>
  <c r="G368" i="1"/>
  <c r="F368" i="1"/>
  <c r="E368" i="1"/>
  <c r="D368" i="1"/>
  <c r="H361" i="1"/>
  <c r="G361" i="1"/>
  <c r="F361" i="1"/>
  <c r="E361" i="1"/>
  <c r="D361" i="1"/>
  <c r="H365" i="1"/>
  <c r="G365" i="1"/>
  <c r="F365" i="1"/>
  <c r="E365" i="1"/>
  <c r="D365" i="1"/>
  <c r="H350" i="1"/>
  <c r="G350" i="1"/>
  <c r="F350" i="1"/>
  <c r="E350" i="1"/>
  <c r="D350" i="1"/>
  <c r="H321" i="1"/>
  <c r="G321" i="1"/>
  <c r="F321" i="1"/>
  <c r="E321" i="1"/>
  <c r="D321" i="1"/>
  <c r="H280" i="1"/>
  <c r="G280" i="1"/>
  <c r="F280" i="1"/>
  <c r="E280" i="1"/>
  <c r="D280" i="1"/>
  <c r="H230" i="1"/>
  <c r="G230" i="1"/>
  <c r="F230" i="1"/>
  <c r="E230" i="1"/>
  <c r="D230" i="1"/>
  <c r="H169" i="1"/>
  <c r="G169" i="1"/>
  <c r="F169" i="1"/>
  <c r="E169" i="1"/>
  <c r="D169" i="1"/>
  <c r="H183" i="1"/>
  <c r="G183" i="1"/>
  <c r="F183" i="1"/>
  <c r="E183" i="1"/>
  <c r="D183" i="1"/>
  <c r="H150" i="1"/>
  <c r="F150" i="1"/>
  <c r="E150" i="1"/>
  <c r="D150" i="1"/>
  <c r="H119" i="1"/>
  <c r="G119" i="1"/>
  <c r="F119" i="1"/>
  <c r="E119" i="1"/>
  <c r="D119" i="1"/>
  <c r="H107" i="1"/>
  <c r="G107" i="1"/>
  <c r="F107" i="1"/>
  <c r="E107" i="1"/>
  <c r="D107" i="1"/>
  <c r="H105" i="1"/>
  <c r="F105" i="1"/>
  <c r="E105" i="1"/>
  <c r="D105" i="1"/>
  <c r="H83" i="1"/>
  <c r="G83" i="1"/>
  <c r="F83" i="1"/>
  <c r="E83" i="1"/>
  <c r="D83" i="1"/>
  <c r="H60" i="1"/>
  <c r="G60" i="1"/>
  <c r="F60" i="1"/>
  <c r="E60" i="1"/>
  <c r="D60" i="1"/>
  <c r="H50" i="1"/>
  <c r="G50" i="1"/>
  <c r="F50" i="1"/>
  <c r="E50" i="1"/>
  <c r="D50" i="1"/>
  <c r="H45" i="1"/>
  <c r="G45" i="1"/>
  <c r="F45" i="1"/>
  <c r="E45" i="1"/>
  <c r="D45" i="1"/>
  <c r="H21" i="1"/>
  <c r="G21" i="1"/>
  <c r="F21" i="1"/>
  <c r="E21" i="1"/>
  <c r="D21" i="1"/>
  <c r="H11" i="1"/>
  <c r="G11" i="1"/>
  <c r="F11" i="1"/>
  <c r="E11" i="1"/>
  <c r="D11" i="1"/>
  <c r="H410" i="1"/>
  <c r="G410" i="1"/>
  <c r="F410" i="1"/>
  <c r="E410" i="1"/>
  <c r="D410" i="1"/>
  <c r="H394" i="1"/>
  <c r="G394" i="1"/>
  <c r="F394" i="1"/>
  <c r="E394" i="1"/>
  <c r="D394" i="1"/>
  <c r="H346" i="1"/>
  <c r="G346" i="1"/>
  <c r="F346" i="1"/>
  <c r="E346" i="1"/>
  <c r="D346" i="1"/>
  <c r="H284" i="1"/>
  <c r="G284" i="1"/>
  <c r="F284" i="1"/>
  <c r="E284" i="1"/>
  <c r="D284" i="1"/>
  <c r="H166" i="1"/>
  <c r="F166" i="1"/>
  <c r="E166" i="1"/>
  <c r="D166" i="1"/>
  <c r="H48" i="1"/>
  <c r="G48" i="1"/>
  <c r="F48" i="1"/>
  <c r="E48" i="1"/>
  <c r="D48" i="1"/>
  <c r="H569" i="1"/>
  <c r="F569" i="1"/>
  <c r="E569" i="1"/>
  <c r="D569" i="1"/>
  <c r="H384" i="1"/>
  <c r="F384" i="1"/>
  <c r="E384" i="1"/>
  <c r="D384" i="1"/>
  <c r="H336" i="1"/>
  <c r="G336" i="1"/>
  <c r="F336" i="1"/>
  <c r="E336" i="1"/>
  <c r="D336" i="1"/>
  <c r="H282" i="1"/>
  <c r="G282" i="1"/>
  <c r="F282" i="1"/>
  <c r="E282" i="1"/>
  <c r="D282" i="1"/>
  <c r="H231" i="1"/>
  <c r="G231" i="1"/>
  <c r="F231" i="1"/>
  <c r="E231" i="1"/>
  <c r="D231" i="1"/>
  <c r="H7" i="1"/>
  <c r="G7" i="1"/>
  <c r="F7" i="1"/>
  <c r="E7" i="1"/>
  <c r="D7" i="1"/>
  <c r="H289" i="1"/>
  <c r="G289" i="1"/>
  <c r="F289" i="1"/>
  <c r="E289" i="1"/>
  <c r="D289" i="1"/>
  <c r="H210" i="1"/>
  <c r="G210" i="1"/>
  <c r="F210" i="1"/>
  <c r="E210" i="1"/>
  <c r="D210" i="1"/>
  <c r="H179" i="1"/>
  <c r="G179" i="1"/>
  <c r="F179" i="1"/>
  <c r="E179" i="1"/>
  <c r="D179" i="1"/>
  <c r="H506" i="1"/>
  <c r="F506" i="1"/>
  <c r="E506" i="1"/>
  <c r="D506" i="1"/>
  <c r="H408" i="1"/>
  <c r="G408" i="1"/>
  <c r="F408" i="1"/>
  <c r="E408" i="1"/>
  <c r="D408" i="1"/>
  <c r="H359" i="1"/>
  <c r="G359" i="1"/>
  <c r="F359" i="1"/>
  <c r="E359" i="1"/>
  <c r="D359" i="1"/>
  <c r="H323" i="1"/>
  <c r="G323" i="1"/>
  <c r="F323" i="1"/>
  <c r="E323" i="1"/>
  <c r="D323" i="1"/>
  <c r="H106" i="1"/>
  <c r="F106" i="1"/>
  <c r="E106" i="1"/>
  <c r="D106" i="1"/>
  <c r="H74" i="1"/>
  <c r="G74" i="1"/>
  <c r="F74" i="1"/>
  <c r="E74" i="1"/>
  <c r="D74" i="1"/>
  <c r="H572" i="1"/>
  <c r="F572" i="1"/>
  <c r="E572" i="1"/>
  <c r="D572" i="1"/>
  <c r="H513" i="1"/>
  <c r="F513" i="1"/>
  <c r="E513" i="1"/>
  <c r="D513" i="1"/>
  <c r="H464" i="1"/>
  <c r="F464" i="1"/>
  <c r="E464" i="1"/>
  <c r="D464" i="1"/>
  <c r="H409" i="1"/>
  <c r="F409" i="1"/>
  <c r="E409" i="1"/>
  <c r="D409" i="1"/>
  <c r="H377" i="1"/>
  <c r="G377" i="1"/>
  <c r="F377" i="1"/>
  <c r="E377" i="1"/>
  <c r="D377" i="1"/>
  <c r="H331" i="1"/>
  <c r="G331" i="1"/>
  <c r="F331" i="1"/>
  <c r="E331" i="1"/>
  <c r="D331" i="1"/>
  <c r="H238" i="1"/>
  <c r="G238" i="1"/>
  <c r="F238" i="1"/>
  <c r="E238" i="1"/>
  <c r="D238" i="1"/>
  <c r="H206" i="1"/>
  <c r="G206" i="1"/>
  <c r="F206" i="1"/>
  <c r="E206" i="1"/>
  <c r="D206" i="1"/>
  <c r="H134" i="1"/>
  <c r="G134" i="1"/>
  <c r="F134" i="1"/>
  <c r="E134" i="1"/>
  <c r="D134" i="1"/>
  <c r="H88" i="1"/>
  <c r="G88" i="1"/>
  <c r="F88" i="1"/>
  <c r="E88" i="1"/>
  <c r="D88" i="1"/>
  <c r="H26" i="1"/>
  <c r="G26" i="1"/>
  <c r="F26" i="1"/>
  <c r="E26" i="1"/>
  <c r="D26" i="1"/>
  <c r="H599" i="1"/>
  <c r="F599" i="1"/>
  <c r="E599" i="1"/>
  <c r="D599" i="1"/>
  <c r="H591" i="1"/>
  <c r="F591" i="1"/>
  <c r="E591" i="1"/>
  <c r="D591" i="1"/>
  <c r="H601" i="1"/>
  <c r="F601" i="1"/>
  <c r="E601" i="1"/>
  <c r="D601" i="1"/>
  <c r="H593" i="1"/>
  <c r="F593" i="1"/>
  <c r="E593" i="1"/>
  <c r="D593" i="1"/>
  <c r="H549" i="1"/>
  <c r="F549" i="1"/>
  <c r="E549" i="1"/>
  <c r="D549" i="1"/>
  <c r="H529" i="1"/>
  <c r="F529" i="1"/>
  <c r="E529" i="1"/>
  <c r="D529" i="1"/>
  <c r="H518" i="1"/>
  <c r="F518" i="1"/>
  <c r="E518" i="1"/>
  <c r="D518" i="1"/>
  <c r="H523" i="1"/>
  <c r="F523" i="1"/>
  <c r="E523" i="1"/>
  <c r="D523" i="1"/>
  <c r="H538" i="1"/>
  <c r="F538" i="1"/>
  <c r="E538" i="1"/>
  <c r="D538" i="1"/>
  <c r="H505" i="1"/>
  <c r="F505" i="1"/>
  <c r="E505" i="1"/>
  <c r="D505" i="1"/>
  <c r="H468" i="1"/>
  <c r="F468" i="1"/>
  <c r="E468" i="1"/>
  <c r="D468" i="1"/>
  <c r="H458" i="1"/>
  <c r="F458" i="1"/>
  <c r="E458" i="1"/>
  <c r="D458" i="1"/>
  <c r="H439" i="1"/>
  <c r="G439" i="1"/>
  <c r="F439" i="1"/>
  <c r="E439" i="1"/>
  <c r="D439" i="1"/>
  <c r="H437" i="1"/>
  <c r="G437" i="1"/>
  <c r="F437" i="1"/>
  <c r="E437" i="1"/>
  <c r="D437" i="1"/>
  <c r="H424" i="1"/>
  <c r="G424" i="1"/>
  <c r="F424" i="1"/>
  <c r="E424" i="1"/>
  <c r="D424" i="1"/>
  <c r="H407" i="1"/>
  <c r="G407" i="1"/>
  <c r="F407" i="1"/>
  <c r="E407" i="1"/>
  <c r="D407" i="1"/>
  <c r="H399" i="1"/>
  <c r="G399" i="1"/>
  <c r="F399" i="1"/>
  <c r="E399" i="1"/>
  <c r="D399" i="1"/>
  <c r="H367" i="1"/>
  <c r="G367" i="1"/>
  <c r="F367" i="1"/>
  <c r="E367" i="1"/>
  <c r="D367" i="1"/>
  <c r="H355" i="1"/>
  <c r="G355" i="1"/>
  <c r="F355" i="1"/>
  <c r="E355" i="1"/>
  <c r="D355" i="1"/>
  <c r="H324" i="1"/>
  <c r="G324" i="1"/>
  <c r="F324" i="1"/>
  <c r="E324" i="1"/>
  <c r="D324" i="1"/>
  <c r="H270" i="1"/>
  <c r="G270" i="1"/>
  <c r="F270" i="1"/>
  <c r="E270" i="1"/>
  <c r="D270" i="1"/>
  <c r="H249" i="1"/>
  <c r="G249" i="1"/>
  <c r="F249" i="1"/>
  <c r="E249" i="1"/>
  <c r="D249" i="1"/>
  <c r="H252" i="1"/>
  <c r="G252" i="1"/>
  <c r="F252" i="1"/>
  <c r="E252" i="1"/>
  <c r="D252" i="1"/>
  <c r="H229" i="1"/>
  <c r="G229" i="1"/>
  <c r="F229" i="1"/>
  <c r="E229" i="1"/>
  <c r="D229" i="1"/>
  <c r="H208" i="1"/>
  <c r="G208" i="1"/>
  <c r="F208" i="1"/>
  <c r="E208" i="1"/>
  <c r="D208" i="1"/>
  <c r="H246" i="1"/>
  <c r="G246" i="1"/>
  <c r="F246" i="1"/>
  <c r="E246" i="1"/>
  <c r="D246" i="1"/>
  <c r="H184" i="1"/>
  <c r="G184" i="1"/>
  <c r="F184" i="1"/>
  <c r="E184" i="1"/>
  <c r="D184" i="1"/>
  <c r="H168" i="1"/>
  <c r="G168" i="1"/>
  <c r="F168" i="1"/>
  <c r="E168" i="1"/>
  <c r="D168" i="1"/>
  <c r="H157" i="1"/>
  <c r="F157" i="1"/>
  <c r="E157" i="1"/>
  <c r="D157" i="1"/>
  <c r="H144" i="1"/>
  <c r="F144" i="1"/>
  <c r="E144" i="1"/>
  <c r="D144" i="1"/>
  <c r="H102" i="1"/>
  <c r="F102" i="1"/>
  <c r="E102" i="1"/>
  <c r="D102" i="1"/>
  <c r="H101" i="1"/>
  <c r="F101" i="1"/>
  <c r="E101" i="1"/>
  <c r="D101" i="1"/>
  <c r="H81" i="1"/>
  <c r="G81" i="1"/>
  <c r="F81" i="1"/>
  <c r="E81" i="1"/>
  <c r="D81" i="1"/>
  <c r="H73" i="1"/>
  <c r="G73" i="1"/>
  <c r="F73" i="1"/>
  <c r="E73" i="1"/>
  <c r="D73" i="1"/>
  <c r="H49" i="1"/>
  <c r="G49" i="1"/>
  <c r="F49" i="1"/>
  <c r="E49" i="1"/>
  <c r="D49" i="1"/>
  <c r="H46" i="1"/>
  <c r="G46" i="1"/>
  <c r="F46" i="1"/>
  <c r="E46" i="1"/>
  <c r="D46" i="1"/>
  <c r="H30" i="1"/>
  <c r="G30" i="1"/>
  <c r="F30" i="1"/>
  <c r="E30" i="1"/>
  <c r="D30" i="1"/>
  <c r="H35" i="1"/>
  <c r="G35" i="1"/>
  <c r="F35" i="1"/>
  <c r="E35" i="1"/>
  <c r="D35" i="1"/>
  <c r="H595" i="1"/>
  <c r="F595" i="1"/>
  <c r="E595" i="1"/>
  <c r="D595" i="1"/>
  <c r="H537" i="1"/>
  <c r="F537" i="1"/>
  <c r="E537" i="1"/>
  <c r="D537" i="1"/>
  <c r="H332" i="1"/>
  <c r="G332" i="1"/>
  <c r="F332" i="1"/>
  <c r="E332" i="1"/>
  <c r="D332" i="1"/>
  <c r="H224" i="1"/>
  <c r="G224" i="1"/>
  <c r="F224" i="1"/>
  <c r="E224" i="1"/>
  <c r="D224" i="1"/>
  <c r="H198" i="1"/>
  <c r="G198" i="1"/>
  <c r="F198" i="1"/>
  <c r="E198" i="1"/>
  <c r="D198" i="1"/>
  <c r="H580" i="1"/>
  <c r="F580" i="1"/>
  <c r="E580" i="1"/>
  <c r="D580" i="1"/>
  <c r="H554" i="1"/>
  <c r="F554" i="1"/>
  <c r="E554" i="1"/>
  <c r="D554" i="1"/>
  <c r="H509" i="1"/>
  <c r="F509" i="1"/>
  <c r="E509" i="1"/>
  <c r="D509" i="1"/>
  <c r="H480" i="1"/>
  <c r="F480" i="1"/>
  <c r="E480" i="1"/>
  <c r="D480" i="1"/>
  <c r="H425" i="1"/>
  <c r="G425" i="1"/>
  <c r="F425" i="1"/>
  <c r="E425" i="1"/>
  <c r="D425" i="1"/>
  <c r="H395" i="1"/>
  <c r="G395" i="1"/>
  <c r="F395" i="1"/>
  <c r="E395" i="1"/>
  <c r="D395" i="1"/>
  <c r="H372" i="1"/>
  <c r="G372" i="1"/>
  <c r="F372" i="1"/>
  <c r="E372" i="1"/>
  <c r="D372" i="1"/>
  <c r="H328" i="1"/>
  <c r="G328" i="1"/>
  <c r="F328" i="1"/>
  <c r="E328" i="1"/>
  <c r="D328" i="1"/>
  <c r="H294" i="1"/>
  <c r="G294" i="1"/>
  <c r="F294" i="1"/>
  <c r="E294" i="1"/>
  <c r="D294" i="1"/>
  <c r="H271" i="1"/>
  <c r="G271" i="1"/>
  <c r="F271" i="1"/>
  <c r="E271" i="1"/>
  <c r="D271" i="1"/>
  <c r="H234" i="1"/>
  <c r="G234" i="1"/>
  <c r="F234" i="1"/>
  <c r="E234" i="1"/>
  <c r="D234" i="1"/>
  <c r="H222" i="1"/>
  <c r="G222" i="1"/>
  <c r="F222" i="1"/>
  <c r="E222" i="1"/>
  <c r="D222" i="1"/>
  <c r="H161" i="1"/>
  <c r="F161" i="1"/>
  <c r="E161" i="1"/>
  <c r="D161" i="1"/>
  <c r="H151" i="1"/>
  <c r="F151" i="1"/>
  <c r="E151" i="1"/>
  <c r="D151" i="1"/>
  <c r="H111" i="1"/>
  <c r="G111" i="1"/>
  <c r="F111" i="1"/>
  <c r="E111" i="1"/>
  <c r="D111" i="1"/>
  <c r="H112" i="1"/>
  <c r="G112" i="1"/>
  <c r="F112" i="1"/>
  <c r="E112" i="1"/>
  <c r="D112" i="1"/>
  <c r="H78" i="1"/>
  <c r="G78" i="1"/>
  <c r="F78" i="1"/>
  <c r="E78" i="1"/>
  <c r="D78" i="1"/>
  <c r="H37" i="1"/>
  <c r="G37" i="1"/>
  <c r="F37" i="1"/>
  <c r="E37" i="1"/>
  <c r="D37" i="1"/>
  <c r="H587" i="1"/>
  <c r="F587" i="1"/>
  <c r="E587" i="1"/>
  <c r="D587" i="1"/>
  <c r="H552" i="1"/>
  <c r="F552" i="1"/>
  <c r="E552" i="1"/>
  <c r="D552" i="1"/>
  <c r="H508" i="1"/>
  <c r="F508" i="1"/>
  <c r="E508" i="1"/>
  <c r="D508" i="1"/>
  <c r="H116" i="1"/>
  <c r="G116" i="1"/>
  <c r="F116" i="1"/>
  <c r="E116" i="1"/>
  <c r="D116" i="1"/>
  <c r="H68" i="1"/>
  <c r="G68" i="1"/>
  <c r="F68" i="1"/>
  <c r="E68" i="1"/>
  <c r="D68" i="1"/>
  <c r="H15" i="1"/>
  <c r="G15" i="1"/>
  <c r="F15" i="1"/>
  <c r="E15" i="1"/>
  <c r="D15" i="1"/>
  <c r="H481" i="1"/>
  <c r="F481" i="1"/>
  <c r="E481" i="1"/>
  <c r="D481" i="1"/>
  <c r="H607" i="1"/>
  <c r="F607" i="1"/>
  <c r="E607" i="1"/>
  <c r="D607" i="1"/>
  <c r="H606" i="1"/>
  <c r="F606" i="1"/>
  <c r="E606" i="1"/>
  <c r="D606" i="1"/>
  <c r="H579" i="1"/>
  <c r="F579" i="1"/>
  <c r="E579" i="1"/>
  <c r="D579" i="1"/>
  <c r="H567" i="1"/>
  <c r="F567" i="1"/>
  <c r="E567" i="1"/>
  <c r="D567" i="1"/>
  <c r="H573" i="1"/>
  <c r="F573" i="1"/>
  <c r="E573" i="1"/>
  <c r="D573" i="1"/>
  <c r="H575" i="1"/>
  <c r="F575" i="1"/>
  <c r="E575" i="1"/>
  <c r="D575" i="1"/>
  <c r="H600" i="1"/>
  <c r="F600" i="1"/>
  <c r="E600" i="1"/>
  <c r="D600" i="1"/>
  <c r="H586" i="1"/>
  <c r="F586" i="1"/>
  <c r="E586" i="1"/>
  <c r="D586" i="1"/>
  <c r="H577" i="1"/>
  <c r="F577" i="1"/>
  <c r="E577" i="1"/>
  <c r="D577" i="1"/>
  <c r="H589" i="1"/>
  <c r="F589" i="1"/>
  <c r="E589" i="1"/>
  <c r="D589" i="1"/>
  <c r="H592" i="1"/>
  <c r="F592" i="1"/>
  <c r="E592" i="1"/>
  <c r="D592" i="1"/>
  <c r="H583" i="1"/>
  <c r="F583" i="1"/>
  <c r="E583" i="1"/>
  <c r="D583" i="1"/>
  <c r="H576" i="1"/>
  <c r="F576" i="1"/>
  <c r="E576" i="1"/>
  <c r="D576" i="1"/>
  <c r="H588" i="1"/>
  <c r="F588" i="1"/>
  <c r="E588" i="1"/>
  <c r="D588" i="1"/>
  <c r="H559" i="1"/>
  <c r="F559" i="1"/>
  <c r="E559" i="1"/>
  <c r="D559" i="1"/>
  <c r="H550" i="1"/>
  <c r="F550" i="1"/>
  <c r="E550" i="1"/>
  <c r="D550" i="1"/>
  <c r="H544" i="1"/>
  <c r="F544" i="1"/>
  <c r="E544" i="1"/>
  <c r="D544" i="1"/>
  <c r="H548" i="1"/>
  <c r="F548" i="1"/>
  <c r="E548" i="1"/>
  <c r="D548" i="1"/>
  <c r="H545" i="1"/>
  <c r="F545" i="1"/>
  <c r="E545" i="1"/>
  <c r="D545" i="1"/>
  <c r="H536" i="1"/>
  <c r="F536" i="1"/>
  <c r="E536" i="1"/>
  <c r="D536" i="1"/>
  <c r="H547" i="1"/>
  <c r="F547" i="1"/>
  <c r="E547" i="1"/>
  <c r="D547" i="1"/>
  <c r="H531" i="1"/>
  <c r="F531" i="1"/>
  <c r="E531" i="1"/>
  <c r="D531" i="1"/>
  <c r="H541" i="1"/>
  <c r="F541" i="1"/>
  <c r="E541" i="1"/>
  <c r="D541" i="1"/>
  <c r="H539" i="1"/>
  <c r="F539" i="1"/>
  <c r="E539" i="1"/>
  <c r="D539" i="1"/>
  <c r="H533" i="1"/>
  <c r="F533" i="1"/>
  <c r="E533" i="1"/>
  <c r="D533" i="1"/>
  <c r="H520" i="1"/>
  <c r="F520" i="1"/>
  <c r="E520" i="1"/>
  <c r="D520" i="1"/>
  <c r="H525" i="1"/>
  <c r="F525" i="1"/>
  <c r="E525" i="1"/>
  <c r="D525" i="1"/>
  <c r="H510" i="1"/>
  <c r="F510" i="1"/>
  <c r="E510" i="1"/>
  <c r="D510" i="1"/>
  <c r="H493" i="1"/>
  <c r="F493" i="1"/>
  <c r="E493" i="1"/>
  <c r="D493" i="1"/>
  <c r="H494" i="1"/>
  <c r="F494" i="1"/>
  <c r="E494" i="1"/>
  <c r="D494" i="1"/>
  <c r="H499" i="1"/>
  <c r="F499" i="1"/>
  <c r="E499" i="1"/>
  <c r="D499" i="1"/>
  <c r="H501" i="1"/>
  <c r="F501" i="1"/>
  <c r="E501" i="1"/>
  <c r="D501" i="1"/>
  <c r="H483" i="1"/>
  <c r="F483" i="1"/>
  <c r="E483" i="1"/>
  <c r="D483" i="1"/>
  <c r="H490" i="1"/>
  <c r="F490" i="1"/>
  <c r="E490" i="1"/>
  <c r="D490" i="1"/>
  <c r="H469" i="1"/>
  <c r="F469" i="1"/>
  <c r="E469" i="1"/>
  <c r="D469" i="1"/>
  <c r="H470" i="1"/>
  <c r="F470" i="1"/>
  <c r="E470" i="1"/>
  <c r="D470" i="1"/>
  <c r="H471" i="1"/>
  <c r="F471" i="1"/>
  <c r="E471" i="1"/>
  <c r="D471" i="1"/>
  <c r="H496" i="1"/>
  <c r="F496" i="1"/>
  <c r="E496" i="1"/>
  <c r="D496" i="1"/>
  <c r="H465" i="1"/>
  <c r="F465" i="1"/>
  <c r="E465" i="1"/>
  <c r="D465" i="1"/>
  <c r="H459" i="1"/>
  <c r="F459" i="1"/>
  <c r="E459" i="1"/>
  <c r="D459" i="1"/>
  <c r="H475" i="1"/>
  <c r="F475" i="1"/>
  <c r="E475" i="1"/>
  <c r="D475" i="1"/>
  <c r="H466" i="1"/>
  <c r="F466" i="1"/>
  <c r="E466" i="1"/>
  <c r="D466" i="1"/>
  <c r="H411" i="1"/>
  <c r="G411" i="1"/>
  <c r="F411" i="1"/>
  <c r="E411" i="1"/>
  <c r="D411" i="1"/>
  <c r="H413" i="1"/>
  <c r="G413" i="1"/>
  <c r="F413" i="1"/>
  <c r="E413" i="1"/>
  <c r="D413" i="1"/>
  <c r="H442" i="1"/>
  <c r="G442" i="1"/>
  <c r="F442" i="1"/>
  <c r="E442" i="1"/>
  <c r="D442" i="1"/>
  <c r="H440" i="1"/>
  <c r="G440" i="1"/>
  <c r="F440" i="1"/>
  <c r="E440" i="1"/>
  <c r="D440" i="1"/>
  <c r="H418" i="1"/>
  <c r="G418" i="1"/>
  <c r="F418" i="1"/>
  <c r="E418" i="1"/>
  <c r="D418" i="1"/>
  <c r="H455" i="1"/>
  <c r="F455" i="1"/>
  <c r="E455" i="1"/>
  <c r="D455" i="1"/>
  <c r="H453" i="1"/>
  <c r="F453" i="1"/>
  <c r="E453" i="1"/>
  <c r="D453" i="1"/>
  <c r="H430" i="1"/>
  <c r="G430" i="1"/>
  <c r="F430" i="1"/>
  <c r="E430" i="1"/>
  <c r="D430" i="1"/>
  <c r="H448" i="1"/>
  <c r="F448" i="1"/>
  <c r="E448" i="1"/>
  <c r="D448" i="1"/>
  <c r="H433" i="1"/>
  <c r="G433" i="1"/>
  <c r="F433" i="1"/>
  <c r="E433" i="1"/>
  <c r="D433" i="1"/>
  <c r="H421" i="1"/>
  <c r="G421" i="1"/>
  <c r="F421" i="1"/>
  <c r="E421" i="1"/>
  <c r="D421" i="1"/>
  <c r="H432" i="1"/>
  <c r="G432" i="1"/>
  <c r="F432" i="1"/>
  <c r="E432" i="1"/>
  <c r="D432" i="1"/>
  <c r="H445" i="1"/>
  <c r="G445" i="1"/>
  <c r="F445" i="1"/>
  <c r="E445" i="1"/>
  <c r="D445" i="1"/>
  <c r="H435" i="1"/>
  <c r="G435" i="1"/>
  <c r="F435" i="1"/>
  <c r="E435" i="1"/>
  <c r="D435" i="1"/>
  <c r="H397" i="1"/>
  <c r="G397" i="1"/>
  <c r="F397" i="1"/>
  <c r="E397" i="1"/>
  <c r="D397" i="1"/>
  <c r="H396" i="1"/>
  <c r="G396" i="1"/>
  <c r="F396" i="1"/>
  <c r="E396" i="1"/>
  <c r="D396" i="1"/>
  <c r="H392" i="1"/>
  <c r="G392" i="1"/>
  <c r="F392" i="1"/>
  <c r="E392" i="1"/>
  <c r="D392" i="1"/>
  <c r="H398" i="1"/>
  <c r="G398" i="1"/>
  <c r="F398" i="1"/>
  <c r="E398" i="1"/>
  <c r="D398" i="1"/>
  <c r="H371" i="1"/>
  <c r="G371" i="1"/>
  <c r="F371" i="1"/>
  <c r="E371" i="1"/>
  <c r="D371" i="1"/>
  <c r="H375" i="1"/>
  <c r="G375" i="1"/>
  <c r="F375" i="1"/>
  <c r="E375" i="1"/>
  <c r="D375" i="1"/>
  <c r="H370" i="1"/>
  <c r="G370" i="1"/>
  <c r="F370" i="1"/>
  <c r="E370" i="1"/>
  <c r="D370" i="1"/>
  <c r="H386" i="1"/>
  <c r="F386" i="1"/>
  <c r="E386" i="1"/>
  <c r="D386" i="1"/>
  <c r="H364" i="1"/>
  <c r="G364" i="1"/>
  <c r="F364" i="1"/>
  <c r="E364" i="1"/>
  <c r="D364" i="1"/>
  <c r="H356" i="1"/>
  <c r="G356" i="1"/>
  <c r="F356" i="1"/>
  <c r="E356" i="1"/>
  <c r="D356" i="1"/>
  <c r="H349" i="1"/>
  <c r="G349" i="1"/>
  <c r="F349" i="1"/>
  <c r="E349" i="1"/>
  <c r="D349" i="1"/>
  <c r="H354" i="1"/>
  <c r="G354" i="1"/>
  <c r="F354" i="1"/>
  <c r="E354" i="1"/>
  <c r="D354" i="1"/>
  <c r="H343" i="1"/>
  <c r="G343" i="1"/>
  <c r="F343" i="1"/>
  <c r="E343" i="1"/>
  <c r="D343" i="1"/>
  <c r="H333" i="1"/>
  <c r="G333" i="1"/>
  <c r="F333" i="1"/>
  <c r="E333" i="1"/>
  <c r="D333" i="1"/>
  <c r="H326" i="1"/>
  <c r="G326" i="1"/>
  <c r="F326" i="1"/>
  <c r="E326" i="1"/>
  <c r="D326" i="1"/>
  <c r="H327" i="1"/>
  <c r="G327" i="1"/>
  <c r="F327" i="1"/>
  <c r="E327" i="1"/>
  <c r="D327" i="1"/>
  <c r="H317" i="1"/>
  <c r="G317" i="1"/>
  <c r="F317" i="1"/>
  <c r="E317" i="1"/>
  <c r="D317" i="1"/>
  <c r="H319" i="1"/>
  <c r="G319" i="1"/>
  <c r="F319" i="1"/>
  <c r="E319" i="1"/>
  <c r="D319" i="1"/>
  <c r="H305" i="1"/>
  <c r="G305" i="1"/>
  <c r="F305" i="1"/>
  <c r="E305" i="1"/>
  <c r="D305" i="1"/>
  <c r="H291" i="1"/>
  <c r="G291" i="1"/>
  <c r="F291" i="1"/>
  <c r="E291" i="1"/>
  <c r="D291" i="1"/>
  <c r="H303" i="1"/>
  <c r="G303" i="1"/>
  <c r="F303" i="1"/>
  <c r="E303" i="1"/>
  <c r="D303" i="1"/>
  <c r="H301" i="1"/>
  <c r="G301" i="1"/>
  <c r="F301" i="1"/>
  <c r="E301" i="1"/>
  <c r="D301" i="1"/>
  <c r="H277" i="1"/>
  <c r="G277" i="1"/>
  <c r="F277" i="1"/>
  <c r="E277" i="1"/>
  <c r="D277" i="1"/>
  <c r="H273" i="1"/>
  <c r="G273" i="1"/>
  <c r="F273" i="1"/>
  <c r="E273" i="1"/>
  <c r="D273" i="1"/>
  <c r="H275" i="1"/>
  <c r="G275" i="1"/>
  <c r="F275" i="1"/>
  <c r="E275" i="1"/>
  <c r="D275" i="1"/>
  <c r="H293" i="1"/>
  <c r="G293" i="1"/>
  <c r="F293" i="1"/>
  <c r="E293" i="1"/>
  <c r="D293" i="1"/>
  <c r="H298" i="1"/>
  <c r="G298" i="1"/>
  <c r="F298" i="1"/>
  <c r="E298" i="1"/>
  <c r="D298" i="1"/>
  <c r="H299" i="1"/>
  <c r="G299" i="1"/>
  <c r="F299" i="1"/>
  <c r="E299" i="1"/>
  <c r="D299" i="1"/>
  <c r="H286" i="1"/>
  <c r="G286" i="1"/>
  <c r="F286" i="1"/>
  <c r="E286" i="1"/>
  <c r="D286" i="1"/>
  <c r="H290" i="1"/>
  <c r="G290" i="1"/>
  <c r="F290" i="1"/>
  <c r="E290" i="1"/>
  <c r="D290" i="1"/>
  <c r="H287" i="1"/>
  <c r="G287" i="1"/>
  <c r="F287" i="1"/>
  <c r="E287" i="1"/>
  <c r="D287" i="1"/>
  <c r="H262" i="1"/>
  <c r="G262" i="1"/>
  <c r="F262" i="1"/>
  <c r="E262" i="1"/>
  <c r="D262" i="1"/>
  <c r="H269" i="1"/>
  <c r="G269" i="1"/>
  <c r="F269" i="1"/>
  <c r="E269" i="1"/>
  <c r="D269" i="1"/>
  <c r="H253" i="1"/>
  <c r="G253" i="1"/>
  <c r="F253" i="1"/>
  <c r="E253" i="1"/>
  <c r="D253" i="1"/>
  <c r="H254" i="1"/>
  <c r="G254" i="1"/>
  <c r="F254" i="1"/>
  <c r="E254" i="1"/>
  <c r="D254" i="1"/>
  <c r="H251" i="1"/>
  <c r="G251" i="1"/>
  <c r="F251" i="1"/>
  <c r="E251" i="1"/>
  <c r="D251" i="1"/>
  <c r="H250" i="1"/>
  <c r="G250" i="1"/>
  <c r="F250" i="1"/>
  <c r="E250" i="1"/>
  <c r="D250" i="1"/>
  <c r="H225" i="1"/>
  <c r="G225" i="1"/>
  <c r="F225" i="1"/>
  <c r="E225" i="1"/>
  <c r="D225" i="1"/>
  <c r="H233" i="1"/>
  <c r="G233" i="1"/>
  <c r="F233" i="1"/>
  <c r="E233" i="1"/>
  <c r="D233" i="1"/>
  <c r="H243" i="1"/>
  <c r="G243" i="1"/>
  <c r="F243" i="1"/>
  <c r="E243" i="1"/>
  <c r="D243" i="1"/>
  <c r="H211" i="1"/>
  <c r="G211" i="1"/>
  <c r="F211" i="1"/>
  <c r="E211" i="1"/>
  <c r="D211" i="1"/>
  <c r="H212" i="1"/>
  <c r="G212" i="1"/>
  <c r="F212" i="1"/>
  <c r="E212" i="1"/>
  <c r="D212" i="1"/>
  <c r="H218" i="1"/>
  <c r="G218" i="1"/>
  <c r="F218" i="1"/>
  <c r="E218" i="1"/>
  <c r="D218" i="1"/>
  <c r="H232" i="1"/>
  <c r="G232" i="1"/>
  <c r="F232" i="1"/>
  <c r="E232" i="1"/>
  <c r="D232" i="1"/>
  <c r="H215" i="1"/>
  <c r="G215" i="1"/>
  <c r="F215" i="1"/>
  <c r="E215" i="1"/>
  <c r="D215" i="1"/>
  <c r="H214" i="1"/>
  <c r="G214" i="1"/>
  <c r="F214" i="1"/>
  <c r="E214" i="1"/>
  <c r="D214" i="1"/>
  <c r="H247" i="1"/>
  <c r="G247" i="1"/>
  <c r="F247" i="1"/>
  <c r="E247" i="1"/>
  <c r="D247" i="1"/>
  <c r="H245" i="1"/>
  <c r="G245" i="1"/>
  <c r="F245" i="1"/>
  <c r="E245" i="1"/>
  <c r="D245" i="1"/>
  <c r="H200" i="1"/>
  <c r="G200" i="1"/>
  <c r="F200" i="1"/>
  <c r="E200" i="1"/>
  <c r="D200" i="1"/>
  <c r="H187" i="1"/>
  <c r="G187" i="1"/>
  <c r="F187" i="1"/>
  <c r="E187" i="1"/>
  <c r="D187" i="1"/>
  <c r="H177" i="1"/>
  <c r="G177" i="1"/>
  <c r="F177" i="1"/>
  <c r="E177" i="1"/>
  <c r="D177" i="1"/>
  <c r="H182" i="1"/>
  <c r="G182" i="1"/>
  <c r="F182" i="1"/>
  <c r="E182" i="1"/>
  <c r="D182" i="1"/>
  <c r="H207" i="1"/>
  <c r="G207" i="1"/>
  <c r="F207" i="1"/>
  <c r="E207" i="1"/>
  <c r="D207" i="1"/>
  <c r="H195" i="1"/>
  <c r="G195" i="1"/>
  <c r="F195" i="1"/>
  <c r="E195" i="1"/>
  <c r="D195" i="1"/>
  <c r="H172" i="1"/>
  <c r="G172" i="1"/>
  <c r="F172" i="1"/>
  <c r="E172" i="1"/>
  <c r="D172" i="1"/>
  <c r="H194" i="1"/>
  <c r="G194" i="1"/>
  <c r="F194" i="1"/>
  <c r="E194" i="1"/>
  <c r="D194" i="1"/>
  <c r="H164" i="1"/>
  <c r="F164" i="1"/>
  <c r="E164" i="1"/>
  <c r="D164" i="1"/>
  <c r="H190" i="1"/>
  <c r="G190" i="1"/>
  <c r="F190" i="1"/>
  <c r="E190" i="1"/>
  <c r="D190" i="1"/>
  <c r="H163" i="1"/>
  <c r="F163" i="1"/>
  <c r="E163" i="1"/>
  <c r="D163" i="1"/>
  <c r="H192" i="1"/>
  <c r="G192" i="1"/>
  <c r="F192" i="1"/>
  <c r="E192" i="1"/>
  <c r="D192" i="1"/>
  <c r="H160" i="1"/>
  <c r="F160" i="1"/>
  <c r="E160" i="1"/>
  <c r="D160" i="1"/>
  <c r="H176" i="1"/>
  <c r="G176" i="1"/>
  <c r="F176" i="1"/>
  <c r="E176" i="1"/>
  <c r="D176" i="1"/>
  <c r="H171" i="1"/>
  <c r="G171" i="1"/>
  <c r="F171" i="1"/>
  <c r="E171" i="1"/>
  <c r="D171" i="1"/>
  <c r="H173" i="1"/>
  <c r="G173" i="1"/>
  <c r="F173" i="1"/>
  <c r="E173" i="1"/>
  <c r="D173" i="1"/>
  <c r="H145" i="1"/>
  <c r="F145" i="1"/>
  <c r="E145" i="1"/>
  <c r="D145" i="1"/>
  <c r="H148" i="1"/>
  <c r="F148" i="1"/>
  <c r="E148" i="1"/>
  <c r="D148" i="1"/>
  <c r="H147" i="1"/>
  <c r="F147" i="1"/>
  <c r="E147" i="1"/>
  <c r="D147" i="1"/>
  <c r="H146" i="1"/>
  <c r="F146" i="1"/>
  <c r="E146" i="1"/>
  <c r="D146" i="1"/>
  <c r="H136" i="1"/>
  <c r="G136" i="1"/>
  <c r="F136" i="1"/>
  <c r="E136" i="1"/>
  <c r="D136" i="1"/>
  <c r="H153" i="1"/>
  <c r="F153" i="1"/>
  <c r="E153" i="1"/>
  <c r="D153" i="1"/>
  <c r="H142" i="1"/>
  <c r="F142" i="1"/>
  <c r="E142" i="1"/>
  <c r="D142" i="1"/>
  <c r="H131" i="1"/>
  <c r="G131" i="1"/>
  <c r="F131" i="1"/>
  <c r="E131" i="1"/>
  <c r="D131" i="1"/>
  <c r="H125" i="1"/>
  <c r="G125" i="1"/>
  <c r="F125" i="1"/>
  <c r="E125" i="1"/>
  <c r="D125" i="1"/>
  <c r="H130" i="1"/>
  <c r="G130" i="1"/>
  <c r="F130" i="1"/>
  <c r="E130" i="1"/>
  <c r="D130" i="1"/>
  <c r="H132" i="1"/>
  <c r="G132" i="1"/>
  <c r="F132" i="1"/>
  <c r="E132" i="1"/>
  <c r="D132" i="1"/>
  <c r="H122" i="1"/>
  <c r="G122" i="1"/>
  <c r="F122" i="1"/>
  <c r="E122" i="1"/>
  <c r="D122" i="1"/>
  <c r="H115" i="1"/>
  <c r="G115" i="1"/>
  <c r="F115" i="1"/>
  <c r="E115" i="1"/>
  <c r="D115" i="1"/>
  <c r="H103" i="1"/>
  <c r="F103" i="1"/>
  <c r="E103" i="1"/>
  <c r="D103" i="1"/>
  <c r="H94" i="1"/>
  <c r="F94" i="1"/>
  <c r="E94" i="1"/>
  <c r="D94" i="1"/>
  <c r="H104" i="1"/>
  <c r="F104" i="1"/>
  <c r="E104" i="1"/>
  <c r="D104" i="1"/>
  <c r="H87" i="1"/>
  <c r="G87" i="1"/>
  <c r="F87" i="1"/>
  <c r="E87" i="1"/>
  <c r="D87" i="1"/>
  <c r="H85" i="1"/>
  <c r="G85" i="1"/>
  <c r="F85" i="1"/>
  <c r="E85" i="1"/>
  <c r="D85" i="1"/>
  <c r="H95" i="1"/>
  <c r="F95" i="1"/>
  <c r="E95" i="1"/>
  <c r="D95" i="1"/>
  <c r="H75" i="1"/>
  <c r="G75" i="1"/>
  <c r="F75" i="1"/>
  <c r="E75" i="1"/>
  <c r="D75" i="1"/>
  <c r="H93" i="1"/>
  <c r="F93" i="1"/>
  <c r="E93" i="1"/>
  <c r="D93" i="1"/>
  <c r="H92" i="1"/>
  <c r="F92" i="1"/>
  <c r="E92" i="1"/>
  <c r="D92" i="1"/>
  <c r="H77" i="1"/>
  <c r="G77" i="1"/>
  <c r="F77" i="1"/>
  <c r="E77" i="1"/>
  <c r="D77" i="1"/>
  <c r="H79" i="1"/>
  <c r="G79" i="1"/>
  <c r="F79" i="1"/>
  <c r="E79" i="1"/>
  <c r="D79" i="1"/>
  <c r="H76" i="1"/>
  <c r="G76" i="1"/>
  <c r="F76" i="1"/>
  <c r="E76" i="1"/>
  <c r="D76" i="1"/>
  <c r="H57" i="1"/>
  <c r="G57" i="1"/>
  <c r="F57" i="1"/>
  <c r="E57" i="1"/>
  <c r="D57" i="1"/>
  <c r="H70" i="1"/>
  <c r="G70" i="1"/>
  <c r="F70" i="1"/>
  <c r="E70" i="1"/>
  <c r="D70" i="1"/>
  <c r="H58" i="1"/>
  <c r="G58" i="1"/>
  <c r="F58" i="1"/>
  <c r="E58" i="1"/>
  <c r="D58" i="1"/>
  <c r="H55" i="1"/>
  <c r="G55" i="1"/>
  <c r="F55" i="1"/>
  <c r="E55" i="1"/>
  <c r="D55" i="1"/>
  <c r="H51" i="1"/>
  <c r="G51" i="1"/>
  <c r="F51" i="1"/>
  <c r="E51" i="1"/>
  <c r="D51" i="1"/>
  <c r="H38" i="1"/>
  <c r="G38" i="1"/>
  <c r="F38" i="1"/>
  <c r="E38" i="1"/>
  <c r="D38" i="1"/>
  <c r="H34" i="1"/>
  <c r="G34" i="1"/>
  <c r="F34" i="1"/>
  <c r="E34" i="1"/>
  <c r="D34" i="1"/>
  <c r="H39" i="1"/>
  <c r="G39" i="1"/>
  <c r="F39" i="1"/>
  <c r="E39" i="1"/>
  <c r="D39" i="1"/>
  <c r="H41" i="1"/>
  <c r="G41" i="1"/>
  <c r="F41" i="1"/>
  <c r="E41" i="1"/>
  <c r="D41" i="1"/>
  <c r="H29" i="1"/>
  <c r="G29" i="1"/>
  <c r="F29" i="1"/>
  <c r="E29" i="1"/>
  <c r="D29" i="1"/>
  <c r="H24" i="1"/>
  <c r="G24" i="1"/>
  <c r="F24" i="1"/>
  <c r="E24" i="1"/>
  <c r="D24" i="1"/>
  <c r="H20" i="1"/>
  <c r="G20" i="1"/>
  <c r="F20" i="1"/>
  <c r="E20" i="1"/>
  <c r="D20" i="1"/>
  <c r="H36" i="1"/>
  <c r="G36" i="1"/>
  <c r="F36" i="1"/>
  <c r="E36" i="1"/>
  <c r="D36" i="1"/>
  <c r="H13" i="1"/>
  <c r="G13" i="1"/>
  <c r="F13" i="1"/>
  <c r="E13" i="1"/>
  <c r="D13" i="1"/>
  <c r="H14" i="1"/>
  <c r="G14" i="1"/>
  <c r="F14" i="1"/>
  <c r="E14" i="1"/>
  <c r="D14" i="1"/>
  <c r="H18" i="1"/>
  <c r="G18" i="1"/>
  <c r="F18" i="1"/>
  <c r="E18" i="1"/>
  <c r="D18" i="1"/>
  <c r="H10" i="1"/>
  <c r="G10" i="1"/>
  <c r="F10" i="1"/>
  <c r="E10" i="1"/>
  <c r="D10" i="1"/>
  <c r="H12" i="1"/>
  <c r="G12" i="1"/>
  <c r="F12" i="1"/>
  <c r="E12" i="1"/>
  <c r="D12" i="1"/>
  <c r="H590" i="1"/>
  <c r="F590" i="1"/>
  <c r="E590" i="1"/>
  <c r="D590" i="1"/>
  <c r="H574" i="1"/>
  <c r="F574" i="1"/>
  <c r="E574" i="1"/>
  <c r="D574" i="1"/>
  <c r="H568" i="1"/>
  <c r="F568" i="1"/>
  <c r="E568" i="1"/>
  <c r="D568" i="1"/>
  <c r="H596" i="1"/>
  <c r="F596" i="1"/>
  <c r="E596" i="1"/>
  <c r="D596" i="1"/>
  <c r="H603" i="1"/>
  <c r="F603" i="1"/>
  <c r="E603" i="1"/>
  <c r="D603" i="1"/>
  <c r="H560" i="1"/>
  <c r="F560" i="1"/>
  <c r="E560" i="1"/>
  <c r="D560" i="1"/>
  <c r="H557" i="1"/>
  <c r="F557" i="1"/>
  <c r="E557" i="1"/>
  <c r="D557" i="1"/>
  <c r="H563" i="1"/>
  <c r="F563" i="1"/>
  <c r="E563" i="1"/>
  <c r="D563" i="1"/>
  <c r="H561" i="1"/>
  <c r="F561" i="1"/>
  <c r="E561" i="1"/>
  <c r="D561" i="1"/>
  <c r="H562" i="1"/>
  <c r="F562" i="1"/>
  <c r="E562" i="1"/>
  <c r="D562" i="1"/>
  <c r="H555" i="1"/>
  <c r="F555" i="1"/>
  <c r="E555" i="1"/>
  <c r="D555" i="1"/>
  <c r="H534" i="1"/>
  <c r="F534" i="1"/>
  <c r="E534" i="1"/>
  <c r="D534" i="1"/>
  <c r="H540" i="1"/>
  <c r="F540" i="1"/>
  <c r="E540" i="1"/>
  <c r="D540" i="1"/>
  <c r="H543" i="1"/>
  <c r="F543" i="1"/>
  <c r="E543" i="1"/>
  <c r="D543" i="1"/>
  <c r="H527" i="1"/>
  <c r="F527" i="1"/>
  <c r="E527" i="1"/>
  <c r="D527" i="1"/>
  <c r="H542" i="1"/>
  <c r="F542" i="1"/>
  <c r="E542" i="1"/>
  <c r="D542" i="1"/>
  <c r="H521" i="1"/>
  <c r="F521" i="1"/>
  <c r="E521" i="1"/>
  <c r="D521" i="1"/>
  <c r="H515" i="1"/>
  <c r="F515" i="1"/>
  <c r="E515" i="1"/>
  <c r="D515" i="1"/>
  <c r="H477" i="1"/>
  <c r="F477" i="1"/>
  <c r="E477" i="1"/>
  <c r="D477" i="1"/>
  <c r="H500" i="1"/>
  <c r="F500" i="1"/>
  <c r="E500" i="1"/>
  <c r="D500" i="1"/>
  <c r="H504" i="1"/>
  <c r="F504" i="1"/>
  <c r="E504" i="1"/>
  <c r="D504" i="1"/>
  <c r="H488" i="1"/>
  <c r="F488" i="1"/>
  <c r="E488" i="1"/>
  <c r="D488" i="1"/>
  <c r="H479" i="1"/>
  <c r="F479" i="1"/>
  <c r="E479" i="1"/>
  <c r="D479" i="1"/>
  <c r="H482" i="1"/>
  <c r="F482" i="1"/>
  <c r="E482" i="1"/>
  <c r="D482" i="1"/>
  <c r="H502" i="1"/>
  <c r="F502" i="1"/>
  <c r="E502" i="1"/>
  <c r="D502" i="1"/>
  <c r="H460" i="1"/>
  <c r="F460" i="1"/>
  <c r="E460" i="1"/>
  <c r="D460" i="1"/>
  <c r="H463" i="1"/>
  <c r="F463" i="1"/>
  <c r="E463" i="1"/>
  <c r="D463" i="1"/>
  <c r="H451" i="1"/>
  <c r="F451" i="1"/>
  <c r="E451" i="1"/>
  <c r="D451" i="1"/>
  <c r="H441" i="1"/>
  <c r="G441" i="1"/>
  <c r="F441" i="1"/>
  <c r="E441" i="1"/>
  <c r="D441" i="1"/>
  <c r="H8" i="1"/>
  <c r="G8" i="1"/>
  <c r="F8" i="1"/>
  <c r="E8" i="1"/>
  <c r="D8" i="1"/>
  <c r="H416" i="1"/>
  <c r="G416" i="1"/>
  <c r="F416" i="1"/>
  <c r="E416" i="1"/>
  <c r="D416" i="1"/>
  <c r="H454" i="1"/>
  <c r="F454" i="1"/>
  <c r="E454" i="1"/>
  <c r="D454" i="1"/>
  <c r="H415" i="1"/>
  <c r="G415" i="1"/>
  <c r="F415" i="1"/>
  <c r="E415" i="1"/>
  <c r="D415" i="1"/>
  <c r="H450" i="1"/>
  <c r="F450" i="1"/>
  <c r="E450" i="1"/>
  <c r="D450" i="1"/>
  <c r="H438" i="1"/>
  <c r="G438" i="1"/>
  <c r="F438" i="1"/>
  <c r="E438" i="1"/>
  <c r="D438" i="1"/>
  <c r="H446" i="1"/>
  <c r="F446" i="1"/>
  <c r="E446" i="1"/>
  <c r="D446" i="1"/>
  <c r="H436" i="1"/>
  <c r="G436" i="1"/>
  <c r="F436" i="1"/>
  <c r="E436" i="1"/>
  <c r="D436" i="1"/>
  <c r="H427" i="1"/>
  <c r="G427" i="1"/>
  <c r="F427" i="1"/>
  <c r="E427" i="1"/>
  <c r="D427" i="1"/>
  <c r="H400" i="1"/>
  <c r="G400" i="1"/>
  <c r="F400" i="1"/>
  <c r="E400" i="1"/>
  <c r="D400" i="1"/>
  <c r="H403" i="1"/>
  <c r="G403" i="1"/>
  <c r="F403" i="1"/>
  <c r="E403" i="1"/>
  <c r="D403" i="1"/>
  <c r="H389" i="1"/>
  <c r="F389" i="1"/>
  <c r="E389" i="1"/>
  <c r="D389" i="1"/>
  <c r="H374" i="1"/>
  <c r="G374" i="1"/>
  <c r="F374" i="1"/>
  <c r="E374" i="1"/>
  <c r="D374" i="1"/>
  <c r="H380" i="1"/>
  <c r="G380" i="1"/>
  <c r="F380" i="1"/>
  <c r="E380" i="1"/>
  <c r="D380" i="1"/>
  <c r="H376" i="1"/>
  <c r="G376" i="1"/>
  <c r="F376" i="1"/>
  <c r="E376" i="1"/>
  <c r="D376" i="1"/>
  <c r="H391" i="1"/>
  <c r="F391" i="1"/>
  <c r="E391" i="1"/>
  <c r="D391" i="1"/>
  <c r="H381" i="1"/>
  <c r="F381" i="1"/>
  <c r="E381" i="1"/>
  <c r="D381" i="1"/>
  <c r="H369" i="1"/>
  <c r="G369" i="1"/>
  <c r="F369" i="1"/>
  <c r="E369" i="1"/>
  <c r="D369" i="1"/>
  <c r="H363" i="1"/>
  <c r="G363" i="1"/>
  <c r="F363" i="1"/>
  <c r="E363" i="1"/>
  <c r="D363" i="1"/>
  <c r="H360" i="1"/>
  <c r="G360" i="1"/>
  <c r="F360" i="1"/>
  <c r="E360" i="1"/>
  <c r="D360" i="1"/>
  <c r="H352" i="1"/>
  <c r="G352" i="1"/>
  <c r="F352" i="1"/>
  <c r="E352" i="1"/>
  <c r="D352" i="1"/>
  <c r="H345" i="1"/>
  <c r="G345" i="1"/>
  <c r="F345" i="1"/>
  <c r="E345" i="1"/>
  <c r="D345" i="1"/>
  <c r="H338" i="1"/>
  <c r="G338" i="1"/>
  <c r="F338" i="1"/>
  <c r="E338" i="1"/>
  <c r="D338" i="1"/>
  <c r="H337" i="1"/>
  <c r="G337" i="1"/>
  <c r="F337" i="1"/>
  <c r="E337" i="1"/>
  <c r="D337" i="1"/>
  <c r="H306" i="1"/>
  <c r="G306" i="1"/>
  <c r="F306" i="1"/>
  <c r="E306" i="1"/>
  <c r="D306" i="1"/>
  <c r="H312" i="1"/>
  <c r="G312" i="1"/>
  <c r="F312" i="1"/>
  <c r="E312" i="1"/>
  <c r="D312" i="1"/>
  <c r="H329" i="1"/>
  <c r="G329" i="1"/>
  <c r="F329" i="1"/>
  <c r="E329" i="1"/>
  <c r="D329" i="1"/>
  <c r="H310" i="1"/>
  <c r="G310" i="1"/>
  <c r="F310" i="1"/>
  <c r="E310" i="1"/>
  <c r="D310" i="1"/>
  <c r="H308" i="1"/>
  <c r="G308" i="1"/>
  <c r="F308" i="1"/>
  <c r="E308" i="1"/>
  <c r="D308" i="1"/>
  <c r="H316" i="1"/>
  <c r="G316" i="1"/>
  <c r="F316" i="1"/>
  <c r="E316" i="1"/>
  <c r="D316" i="1"/>
  <c r="H281" i="1"/>
  <c r="G281" i="1"/>
  <c r="F281" i="1"/>
  <c r="E281" i="1"/>
  <c r="D281" i="1"/>
  <c r="H264" i="1"/>
  <c r="G264" i="1"/>
  <c r="F264" i="1"/>
  <c r="E264" i="1"/>
  <c r="D264" i="1"/>
  <c r="H267" i="1"/>
  <c r="G267" i="1"/>
  <c r="F267" i="1"/>
  <c r="E267" i="1"/>
  <c r="D267" i="1"/>
  <c r="H297" i="1"/>
  <c r="G297" i="1"/>
  <c r="F297" i="1"/>
  <c r="E297" i="1"/>
  <c r="D297" i="1"/>
  <c r="H272" i="1"/>
  <c r="G272" i="1"/>
  <c r="F272" i="1"/>
  <c r="E272" i="1"/>
  <c r="D272" i="1"/>
  <c r="H296" i="1"/>
  <c r="G296" i="1"/>
  <c r="F296" i="1"/>
  <c r="E296" i="1"/>
  <c r="D296" i="1"/>
  <c r="H278" i="1"/>
  <c r="G278" i="1"/>
  <c r="F278" i="1"/>
  <c r="E278" i="1"/>
  <c r="D278" i="1"/>
  <c r="H295" i="1"/>
  <c r="G295" i="1"/>
  <c r="F295" i="1"/>
  <c r="E295" i="1"/>
  <c r="D295" i="1"/>
  <c r="H259" i="1"/>
  <c r="G259" i="1"/>
  <c r="F259" i="1"/>
  <c r="E259" i="1"/>
  <c r="D259" i="1"/>
  <c r="H263" i="1"/>
  <c r="G263" i="1"/>
  <c r="F263" i="1"/>
  <c r="E263" i="1"/>
  <c r="D263" i="1"/>
  <c r="H227" i="1"/>
  <c r="G227" i="1"/>
  <c r="F227" i="1"/>
  <c r="E227" i="1"/>
  <c r="D227" i="1"/>
  <c r="H223" i="1"/>
  <c r="G223" i="1"/>
  <c r="F223" i="1"/>
  <c r="E223" i="1"/>
  <c r="D223" i="1"/>
  <c r="H240" i="1"/>
  <c r="G240" i="1"/>
  <c r="F240" i="1"/>
  <c r="E240" i="1"/>
  <c r="D240" i="1"/>
  <c r="H242" i="1"/>
  <c r="G242" i="1"/>
  <c r="F242" i="1"/>
  <c r="E242" i="1"/>
  <c r="D242" i="1"/>
  <c r="H226" i="1"/>
  <c r="G226" i="1"/>
  <c r="F226" i="1"/>
  <c r="E226" i="1"/>
  <c r="D226" i="1"/>
  <c r="H228" i="1"/>
  <c r="G228" i="1"/>
  <c r="F228" i="1"/>
  <c r="E228" i="1"/>
  <c r="D228" i="1"/>
  <c r="H217" i="1"/>
  <c r="G217" i="1"/>
  <c r="F217" i="1"/>
  <c r="E217" i="1"/>
  <c r="D217" i="1"/>
  <c r="H209" i="1"/>
  <c r="G209" i="1"/>
  <c r="F209" i="1"/>
  <c r="E209" i="1"/>
  <c r="D209" i="1"/>
  <c r="H219" i="1"/>
  <c r="G219" i="1"/>
  <c r="F219" i="1"/>
  <c r="E219" i="1"/>
  <c r="D219" i="1"/>
  <c r="H248" i="1"/>
  <c r="G248" i="1"/>
  <c r="F248" i="1"/>
  <c r="E248" i="1"/>
  <c r="D248" i="1"/>
  <c r="H181" i="1"/>
  <c r="G181" i="1"/>
  <c r="F181" i="1"/>
  <c r="E181" i="1"/>
  <c r="D181" i="1"/>
  <c r="H203" i="1"/>
  <c r="G203" i="1"/>
  <c r="F203" i="1"/>
  <c r="E203" i="1"/>
  <c r="D203" i="1"/>
  <c r="H196" i="1"/>
  <c r="G196" i="1"/>
  <c r="F196" i="1"/>
  <c r="E196" i="1"/>
  <c r="D196" i="1"/>
  <c r="H162" i="1"/>
  <c r="F162" i="1"/>
  <c r="E162" i="1"/>
  <c r="D162" i="1"/>
  <c r="H170" i="1"/>
  <c r="G170" i="1"/>
  <c r="F170" i="1"/>
  <c r="E170" i="1"/>
  <c r="D170" i="1"/>
  <c r="H167" i="1"/>
  <c r="G167" i="1"/>
  <c r="F167" i="1"/>
  <c r="E167" i="1"/>
  <c r="D167" i="1"/>
  <c r="H197" i="1"/>
  <c r="G197" i="1"/>
  <c r="F197" i="1"/>
  <c r="E197" i="1"/>
  <c r="D197" i="1"/>
  <c r="H186" i="1"/>
  <c r="G186" i="1"/>
  <c r="F186" i="1"/>
  <c r="E186" i="1"/>
  <c r="D186" i="1"/>
  <c r="H175" i="1"/>
  <c r="F175" i="1"/>
  <c r="E175" i="1"/>
  <c r="D175" i="1"/>
  <c r="H174" i="1"/>
  <c r="G174" i="1"/>
  <c r="F174" i="1"/>
  <c r="E174" i="1"/>
  <c r="D174" i="1"/>
  <c r="H180" i="1"/>
  <c r="G180" i="1"/>
  <c r="F180" i="1"/>
  <c r="E180" i="1"/>
  <c r="D180" i="1"/>
  <c r="H155" i="1"/>
  <c r="F155" i="1"/>
  <c r="E155" i="1"/>
  <c r="D155" i="1"/>
  <c r="H149" i="1"/>
  <c r="F149" i="1"/>
  <c r="E149" i="1"/>
  <c r="D149" i="1"/>
  <c r="H137" i="1"/>
  <c r="G137" i="1"/>
  <c r="F137" i="1"/>
  <c r="E137" i="1"/>
  <c r="D137" i="1"/>
  <c r="H140" i="1"/>
  <c r="G140" i="1"/>
  <c r="F140" i="1"/>
  <c r="E140" i="1"/>
  <c r="D140" i="1"/>
  <c r="H129" i="1"/>
  <c r="G129" i="1"/>
  <c r="F129" i="1"/>
  <c r="E129" i="1"/>
  <c r="D129" i="1"/>
  <c r="H121" i="1"/>
  <c r="G121" i="1"/>
  <c r="F121" i="1"/>
  <c r="E121" i="1"/>
  <c r="D121" i="1"/>
  <c r="H120" i="1"/>
  <c r="G120" i="1"/>
  <c r="F120" i="1"/>
  <c r="E120" i="1"/>
  <c r="D120" i="1"/>
  <c r="H108" i="1"/>
  <c r="G108" i="1"/>
  <c r="F108" i="1"/>
  <c r="E108" i="1"/>
  <c r="D108" i="1"/>
  <c r="H96" i="1"/>
  <c r="F96" i="1"/>
  <c r="E96" i="1"/>
  <c r="D96" i="1"/>
  <c r="H99" i="1"/>
  <c r="F99" i="1"/>
  <c r="E99" i="1"/>
  <c r="D99" i="1"/>
  <c r="H100" i="1"/>
  <c r="F100" i="1"/>
  <c r="E100" i="1"/>
  <c r="D100" i="1"/>
  <c r="H98" i="1"/>
  <c r="F98" i="1"/>
  <c r="E98" i="1"/>
  <c r="D98" i="1"/>
  <c r="H90" i="1"/>
  <c r="F90" i="1"/>
  <c r="E90" i="1"/>
  <c r="D90" i="1"/>
  <c r="H89" i="1"/>
  <c r="F89" i="1"/>
  <c r="E89" i="1"/>
  <c r="D89" i="1"/>
  <c r="H91" i="1"/>
  <c r="F91" i="1"/>
  <c r="E91" i="1"/>
  <c r="D91" i="1"/>
  <c r="H80" i="1"/>
  <c r="G80" i="1"/>
  <c r="F80" i="1"/>
  <c r="E80" i="1"/>
  <c r="D80" i="1"/>
  <c r="H56" i="1"/>
  <c r="G56" i="1"/>
  <c r="F56" i="1"/>
  <c r="E56" i="1"/>
  <c r="D56" i="1"/>
  <c r="H59" i="1"/>
  <c r="G59" i="1"/>
  <c r="F59" i="1"/>
  <c r="E59" i="1"/>
  <c r="D59" i="1"/>
  <c r="H43" i="1"/>
  <c r="G43" i="1"/>
  <c r="F43" i="1"/>
  <c r="E43" i="1"/>
  <c r="D43" i="1"/>
  <c r="H28" i="1"/>
  <c r="G28" i="1"/>
  <c r="F28" i="1"/>
  <c r="E28" i="1"/>
  <c r="D28" i="1"/>
  <c r="H44" i="1"/>
  <c r="G44" i="1"/>
  <c r="F44" i="1"/>
  <c r="E44" i="1"/>
  <c r="D44" i="1"/>
  <c r="H54" i="1"/>
  <c r="G54" i="1"/>
  <c r="F54" i="1"/>
  <c r="E54" i="1"/>
  <c r="D54" i="1"/>
  <c r="H25" i="1"/>
  <c r="G25" i="1"/>
  <c r="F25" i="1"/>
  <c r="E25" i="1"/>
  <c r="D25" i="1"/>
  <c r="H31" i="1"/>
  <c r="G31" i="1"/>
  <c r="F31" i="1"/>
  <c r="E31" i="1"/>
  <c r="D31" i="1"/>
  <c r="H9" i="1"/>
  <c r="G9" i="1"/>
  <c r="F9" i="1"/>
  <c r="E9" i="1"/>
  <c r="D9" i="1"/>
  <c r="H16" i="1"/>
  <c r="G16" i="1"/>
  <c r="F16" i="1"/>
  <c r="E16" i="1"/>
  <c r="D16" i="1"/>
  <c r="H597" i="1"/>
  <c r="F597" i="1"/>
  <c r="E597" i="1"/>
  <c r="D597" i="1"/>
  <c r="H582" i="1"/>
  <c r="F582" i="1"/>
  <c r="E582" i="1"/>
  <c r="D582" i="1"/>
  <c r="H598" i="1"/>
  <c r="F598" i="1"/>
  <c r="E598" i="1"/>
  <c r="D598" i="1"/>
  <c r="H564" i="1"/>
  <c r="F564" i="1"/>
  <c r="E564" i="1"/>
  <c r="D564" i="1"/>
  <c r="H530" i="1"/>
  <c r="F530" i="1"/>
  <c r="E530" i="1"/>
  <c r="D530" i="1"/>
  <c r="H535" i="1"/>
  <c r="F535" i="1"/>
  <c r="E535" i="1"/>
  <c r="D535" i="1"/>
  <c r="H522" i="1"/>
  <c r="F522" i="1"/>
  <c r="E522" i="1"/>
  <c r="D522" i="1"/>
  <c r="H514" i="1"/>
  <c r="F514" i="1"/>
  <c r="E514" i="1"/>
  <c r="D514" i="1"/>
  <c r="H390" i="1"/>
  <c r="F390" i="1"/>
  <c r="E390" i="1"/>
  <c r="D390" i="1"/>
  <c r="H366" i="1"/>
  <c r="G366" i="1"/>
  <c r="F366" i="1"/>
  <c r="E366" i="1"/>
  <c r="D366" i="1"/>
  <c r="H347" i="1"/>
  <c r="G347" i="1"/>
  <c r="F347" i="1"/>
  <c r="E347" i="1"/>
  <c r="D347" i="1"/>
  <c r="H340" i="1"/>
  <c r="G340" i="1"/>
  <c r="F340" i="1"/>
  <c r="E340" i="1"/>
  <c r="D340" i="1"/>
  <c r="H334" i="1"/>
  <c r="G334" i="1"/>
  <c r="F334" i="1"/>
  <c r="E334" i="1"/>
  <c r="D334" i="1"/>
  <c r="H279" i="1"/>
  <c r="G279" i="1"/>
  <c r="F279" i="1"/>
  <c r="E279" i="1"/>
  <c r="D279" i="1"/>
  <c r="H257" i="1"/>
  <c r="G257" i="1"/>
  <c r="F257" i="1"/>
  <c r="E257" i="1"/>
  <c r="D257" i="1"/>
  <c r="H255" i="1"/>
  <c r="G255" i="1"/>
  <c r="F255" i="1"/>
  <c r="E255" i="1"/>
  <c r="D255" i="1"/>
  <c r="H204" i="1"/>
  <c r="G204" i="1"/>
  <c r="F204" i="1"/>
  <c r="E204" i="1"/>
  <c r="D204" i="1"/>
  <c r="H189" i="1"/>
  <c r="G189" i="1"/>
  <c r="F189" i="1"/>
  <c r="E189" i="1"/>
  <c r="D189" i="1"/>
  <c r="H158" i="1"/>
  <c r="F158" i="1"/>
  <c r="E158" i="1"/>
  <c r="D158" i="1"/>
  <c r="H156" i="1"/>
  <c r="F156" i="1"/>
  <c r="E156" i="1"/>
  <c r="D156" i="1"/>
  <c r="H152" i="1"/>
  <c r="F152" i="1"/>
  <c r="E152" i="1"/>
  <c r="D152" i="1"/>
  <c r="H127" i="1"/>
  <c r="G127" i="1"/>
  <c r="F127" i="1"/>
  <c r="E127" i="1"/>
  <c r="D127" i="1"/>
  <c r="H126" i="1"/>
  <c r="G126" i="1"/>
  <c r="F126" i="1"/>
  <c r="E126" i="1"/>
  <c r="D126" i="1"/>
  <c r="H118" i="1"/>
  <c r="G118" i="1"/>
  <c r="F118" i="1"/>
  <c r="E118" i="1"/>
  <c r="D118" i="1"/>
  <c r="H109" i="1"/>
  <c r="G109" i="1"/>
  <c r="F109" i="1"/>
  <c r="E109" i="1"/>
  <c r="D109" i="1"/>
  <c r="H82" i="1"/>
  <c r="G82" i="1"/>
  <c r="F82" i="1"/>
  <c r="E82" i="1"/>
  <c r="D82" i="1"/>
  <c r="H66" i="1"/>
  <c r="G66" i="1"/>
  <c r="F66" i="1"/>
  <c r="E66" i="1"/>
  <c r="D66" i="1"/>
  <c r="H64" i="1"/>
  <c r="G64" i="1"/>
  <c r="F64" i="1"/>
  <c r="E64" i="1"/>
  <c r="D64" i="1"/>
  <c r="H53" i="1"/>
  <c r="G53" i="1"/>
  <c r="F53" i="1"/>
  <c r="E53" i="1"/>
  <c r="D53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<sst xmlns="http://schemas.openxmlformats.org/spreadsheetml/2006/main" count="12" uniqueCount="12">
  <si>
    <t>RNUM</t>
  </si>
  <si>
    <t>REPORT_DATE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</si>
  <si>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</si>
  <si>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</si>
  <si>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</si>
  <si>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</si>
  <si>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</si>
  <si>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</si>
  <si>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CREDITOR _     ID</t>
  </si>
  <si>
    <t xml:space="preserve"> Отчет об остатках на балансовых  и внебалансовых счетах банков второго уровня</t>
  </si>
  <si>
    <t>АО 'ДБ 'АЛЬФА-БАНК'</t>
  </si>
  <si>
    <t>за 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</si>
</sst>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/>
    <xf numFmtId="14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43" fontId="0" fillId="0" borderId="0" xfId="1" applyFont="1"/>
    <xf numFmtId="0" fontId="0" fillId="0" borderId="6" xfId="0" applyBorder="1"/>
    <xf numFmtId="14" fontId="0" fillId="0" borderId="7" xfId="0" applyNumberFormat="1" applyBorder="1"/>
    <xf numFmtId="0" fontId="0" fillId="0" borderId="7" xfId="0" applyBorder="1"/>
    <xf numFmtId="0" fontId="0" fillId="0" borderId="7" xfId="0" applyBorder="1" applyAlignment="1">
      <alignment wrapText="1"/>
    </xf>
    <xf numFmtId="43" fontId="0" fillId="0" borderId="8" xfId="1" applyFont="1" applyBorder="1"/>
    <xf numFmtId="0" fontId="0" fillId="0" borderId="9" xfId="0" applyBorder="1"/>
    <xf numFmtId="43" fontId="0" fillId="0" borderId="10" xfId="1" applyFont="1" applyBorder="1"/>
    <xf numFmtId="0" fontId="0" fillId="0" borderId="11" xfId="0" applyBorder="1"/>
    <xf numFmtId="14" fontId="0" fillId="0" borderId="12" xfId="0" applyNumberFormat="1" applyBorder="1"/>
    <xf numFmtId="0" fontId="0" fillId="0" borderId="12" xfId="0" applyBorder="1"/>
    <xf numFmtId="0" fontId="0" fillId="0" borderId="12" xfId="0" applyBorder="1" applyAlignment="1">
      <alignment wrapText="1"/>
    </xf>
    <xf numFmtId="43" fontId="0" fillId="0" borderId="13" xfId="1" applyFont="1" applyBorder="1"/>
    <xf numFmtId="43" fontId="1" fillId="0" borderId="0" xfId="1" applyFont="1" applyFill="1"/>
    <xf numFmtId="0" fontId="0" fillId="0" borderId="0" xfId="0" applyNumberFormat="1"/>
    <xf numFmtId="164" fontId="0" fillId="0" borderId="0" xfId="0" applyNumberFormat="1"/>
    <xf numFmtId="0" fontId="3" fillId="0" borderId="0" xfId="0" applyFont="1" applyAlignment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08"/>
  <sheetViews>
    <sheetView tabSelected="1" zoomScale="99" zoomScaleNormal="99" workbookViewId="0">
      <selection activeCell="A6" sqref="A6:XFD6"/>
    </sheetView>
  </sheetViews>
  <sheetFormatPr defaultColWidth="4.5703125" defaultRowHeight="11.45" customHeight="1" x14ac:dyDescent="0.25"/>
  <cols>
    <col min="2" max="2" width="20" customWidth="1"/>
    <col min="4" max="4" width="6.85546875" customWidth="1"/>
    <col min="5" max="5" width="4.5703125" style="8"/>
    <col min="9" max="9" width="26.7109375" style="9" customWidth="1"/>
    <col min="11" max="11" width="8.140625" bestFit="1" customWidth="1"/>
    <col min="12" max="12" width="12.140625" bestFit="1" customWidth="1"/>
    <col min="13" max="13" width="6.7109375" bestFit="1" customWidth="1"/>
  </cols>
  <sheetData>
    <row r="2" spans="1:13" ht="11.45" customHeight="1" x14ac:dyDescent="0.25">
      <c r="A2" s="25" t="s">
        <v>9</v>
      </c>
      <c r="B2" s="25"/>
      <c r="C2" s="25"/>
    </row>
    <row r="3" spans="1:13" ht="11.45" customHeight="1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</row>
    <row r="4" spans="1:13" ht="11.45" customHeight="1" x14ac:dyDescent="0.25">
      <c r="A4" s="26" t="s">
        <v>11</v>
      </c>
      <c r="B4" s="26"/>
      <c r="C4" s="26"/>
      <c r="D4" s="26"/>
      <c r="E4" s="26"/>
      <c r="F4" s="26"/>
      <c r="G4" s="26"/>
      <c r="H4" s="26"/>
      <c r="I4" s="26"/>
    </row>
    <row r="5" spans="1:13" ht="11.45" customHeight="1" thickBot="1" x14ac:dyDescent="0.3"/>
    <row r="6" spans="1:13" ht="11.45" customHeight="1" thickBot="1" x14ac:dyDescent="0.3">
      <c r="A6" s="1" t="s">
        <v>0</v>
      </c>
      <c r="B6" s="2" t="s">
        <v>1</v>
      </c>
      <c r="C6" s="3" t="s">
        <v>8</v>
      </c>
      <c r="D6" s="2" t="s">
        <v>2</v>
      </c>
      <c r="E6" s="3" t="s">
        <v>3</v>
      </c>
      <c r="F6" s="2" t="s">
        <v>4</v>
      </c>
      <c r="G6" s="3" t="s">
        <v>5</v>
      </c>
      <c r="H6" s="2" t="s">
        <v>6</v>
      </c>
      <c r="I6" s="4" t="s">
        <v>7</v>
      </c>
    </row>
    <row r="7" spans="1:13" ht="11.45" customHeight="1" x14ac:dyDescent="0.25">
      <c r="A7" s="10">
        <v>398</v>
      </c>
      <c r="B7" s="11">
        <v>44651</v>
      </c>
      <c r="C7" s="12">
        <v>9</v>
      </c>
      <c r="D7" s="12" t="str">
        <f>"1001"</f>
        <v>1001</v>
      </c>
      <c r="E7" s="13" t="str">
        <f>"Наличность в кассе"</f>
        <v>Наличность в кассе</v>
      </c>
      <c r="F7" s="12" t="str">
        <f>"1"</f>
        <v>1</v>
      </c>
      <c r="G7" s="12" t="str">
        <f t="shared" ref="G7:G17" si="0">"3"</f>
        <v>3</v>
      </c>
      <c r="H7" s="12" t="str">
        <f>"1"</f>
        <v>1</v>
      </c>
      <c r="I7" s="14">
        <v>13520019248</v>
      </c>
      <c r="K7" s="23"/>
      <c r="M7" s="24"/>
    </row>
    <row r="8" spans="1:13" ht="11.45" customHeight="1" x14ac:dyDescent="0.25">
      <c r="A8" s="15">
        <v>117</v>
      </c>
      <c r="B8" s="6">
        <v>44651</v>
      </c>
      <c r="C8" s="5">
        <v>9</v>
      </c>
      <c r="D8" s="5" t="str">
        <f>"1001"</f>
        <v>1001</v>
      </c>
      <c r="E8" s="7" t="str">
        <f>"Наличность в кассе"</f>
        <v>Наличность в кассе</v>
      </c>
      <c r="F8" s="5" t="str">
        <f>"2"</f>
        <v>2</v>
      </c>
      <c r="G8" s="5" t="str">
        <f t="shared" si="0"/>
        <v>3</v>
      </c>
      <c r="H8" s="5" t="str">
        <f>"2"</f>
        <v>2</v>
      </c>
      <c r="I8" s="16">
        <v>14357501559.450001</v>
      </c>
      <c r="K8" s="23"/>
      <c r="M8" s="24"/>
    </row>
    <row r="9" spans="1:13" ht="11.45" customHeight="1" x14ac:dyDescent="0.25">
      <c r="A9" s="15">
        <v>32</v>
      </c>
      <c r="B9" s="6">
        <v>44651</v>
      </c>
      <c r="C9" s="5">
        <v>9</v>
      </c>
      <c r="D9" s="5" t="str">
        <f>"1001"</f>
        <v>1001</v>
      </c>
      <c r="E9" s="7" t="str">
        <f>"Наличность в кассе"</f>
        <v>Наличность в кассе</v>
      </c>
      <c r="F9" s="5" t="str">
        <f>"2"</f>
        <v>2</v>
      </c>
      <c r="G9" s="5" t="str">
        <f t="shared" si="0"/>
        <v>3</v>
      </c>
      <c r="H9" s="5" t="str">
        <f>"3"</f>
        <v>3</v>
      </c>
      <c r="I9" s="16">
        <v>415677601.5</v>
      </c>
      <c r="K9" s="23"/>
      <c r="M9" s="24"/>
    </row>
    <row r="10" spans="1:13" ht="11.45" customHeight="1" x14ac:dyDescent="0.25">
      <c r="A10" s="15">
        <v>148</v>
      </c>
      <c r="B10" s="6">
        <v>44651</v>
      </c>
      <c r="C10" s="5">
        <v>9</v>
      </c>
      <c r="D10" s="5" t="str">
        <f>"1002"</f>
        <v>1002</v>
      </c>
      <c r="E10" s="7" t="str">
        <f>"Банкноты и монеты в пути"</f>
        <v>Банкноты и монеты в пути</v>
      </c>
      <c r="F10" s="5" t="str">
        <f>"1"</f>
        <v>1</v>
      </c>
      <c r="G10" s="5" t="str">
        <f t="shared" si="0"/>
        <v>3</v>
      </c>
      <c r="H10" s="5" t="str">
        <f>"1"</f>
        <v>1</v>
      </c>
      <c r="I10" s="16">
        <v>2738558711</v>
      </c>
      <c r="K10" s="23"/>
      <c r="M10" s="24"/>
    </row>
    <row r="11" spans="1:13" ht="11.45" customHeight="1" x14ac:dyDescent="0.25">
      <c r="A11" s="15">
        <v>410</v>
      </c>
      <c r="B11" s="6">
        <v>44651</v>
      </c>
      <c r="C11" s="5">
        <v>9</v>
      </c>
      <c r="D11" s="5" t="str">
        <f>"1002"</f>
        <v>1002</v>
      </c>
      <c r="E11" s="7" t="str">
        <f>"Банкноты и монеты в пути"</f>
        <v>Банкноты и монеты в пути</v>
      </c>
      <c r="F11" s="5" t="str">
        <f>"2"</f>
        <v>2</v>
      </c>
      <c r="G11" s="5" t="str">
        <f t="shared" si="0"/>
        <v>3</v>
      </c>
      <c r="H11" s="5" t="str">
        <f>"2"</f>
        <v>2</v>
      </c>
      <c r="I11" s="16">
        <v>1133055121.4100001</v>
      </c>
      <c r="K11" s="23"/>
      <c r="M11" s="24"/>
    </row>
    <row r="12" spans="1:13" ht="11.45" customHeight="1" x14ac:dyDescent="0.25">
      <c r="A12" s="15">
        <v>147</v>
      </c>
      <c r="B12" s="6">
        <v>44651</v>
      </c>
      <c r="C12" s="5">
        <v>9</v>
      </c>
      <c r="D12" s="5" t="str">
        <f>"1002"</f>
        <v>1002</v>
      </c>
      <c r="E12" s="7" t="str">
        <f>"Банкноты и монеты в пути"</f>
        <v>Банкноты и монеты в пути</v>
      </c>
      <c r="F12" s="5" t="str">
        <f>"2"</f>
        <v>2</v>
      </c>
      <c r="G12" s="5" t="str">
        <f t="shared" si="0"/>
        <v>3</v>
      </c>
      <c r="H12" s="5" t="str">
        <f>"3"</f>
        <v>3</v>
      </c>
      <c r="I12" s="16">
        <v>378322395</v>
      </c>
      <c r="K12" s="23"/>
      <c r="M12" s="24"/>
    </row>
    <row r="13" spans="1:13" ht="11.45" customHeight="1" x14ac:dyDescent="0.25">
      <c r="A13" s="15">
        <v>151</v>
      </c>
      <c r="B13" s="6">
        <v>44651</v>
      </c>
      <c r="C13" s="5">
        <v>9</v>
      </c>
      <c r="D13" s="5" t="str">
        <f>"1005"</f>
        <v>1005</v>
      </c>
      <c r="E13" s="7" t="str">
        <f>"Наличность в банкоматах и электронных терминалах"</f>
        <v>Наличность в банкоматах и электронных терминалах</v>
      </c>
      <c r="F13" s="5" t="str">
        <f>"1"</f>
        <v>1</v>
      </c>
      <c r="G13" s="5" t="str">
        <f t="shared" si="0"/>
        <v>3</v>
      </c>
      <c r="H13" s="5" t="str">
        <f>"1"</f>
        <v>1</v>
      </c>
      <c r="I13" s="16">
        <v>6346049114</v>
      </c>
      <c r="K13" s="23"/>
      <c r="M13" s="24"/>
    </row>
    <row r="14" spans="1:13" ht="11.45" customHeight="1" x14ac:dyDescent="0.25">
      <c r="A14" s="15">
        <v>150</v>
      </c>
      <c r="B14" s="6">
        <v>44651</v>
      </c>
      <c r="C14" s="5">
        <v>9</v>
      </c>
      <c r="D14" s="5" t="str">
        <f>"1005"</f>
        <v>1005</v>
      </c>
      <c r="E14" s="7" t="str">
        <f>"Наличность в банкоматах и электронных терминалах"</f>
        <v>Наличность в банкоматах и электронных терминалах</v>
      </c>
      <c r="F14" s="5" t="str">
        <f>"2"</f>
        <v>2</v>
      </c>
      <c r="G14" s="5" t="str">
        <f t="shared" si="0"/>
        <v>3</v>
      </c>
      <c r="H14" s="5" t="str">
        <f>"2"</f>
        <v>2</v>
      </c>
      <c r="I14" s="16">
        <v>19491758</v>
      </c>
      <c r="K14" s="23"/>
      <c r="M14" s="24"/>
    </row>
    <row r="15" spans="1:13" ht="11.45" customHeight="1" x14ac:dyDescent="0.25">
      <c r="A15" s="15">
        <v>311</v>
      </c>
      <c r="B15" s="6">
        <v>44651</v>
      </c>
      <c r="C15" s="5">
        <v>9</v>
      </c>
      <c r="D15" s="5" t="str">
        <f>"1051"</f>
        <v>1051</v>
      </c>
      <c r="E15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5" s="5" t="str">
        <f t="shared" ref="F15:F21" si="1">"1"</f>
        <v>1</v>
      </c>
      <c r="G15" s="5" t="str">
        <f t="shared" si="0"/>
        <v>3</v>
      </c>
      <c r="H15" s="5" t="str">
        <f>"1"</f>
        <v>1</v>
      </c>
      <c r="I15" s="16">
        <v>10070501290.950001</v>
      </c>
      <c r="K15" s="23"/>
      <c r="M15" s="24"/>
    </row>
    <row r="16" spans="1:13" ht="11.45" customHeight="1" x14ac:dyDescent="0.25">
      <c r="A16" s="15">
        <v>31</v>
      </c>
      <c r="B16" s="6">
        <v>44651</v>
      </c>
      <c r="C16" s="5">
        <v>9</v>
      </c>
      <c r="D16" s="5" t="str">
        <f>"1051"</f>
        <v>1051</v>
      </c>
      <c r="E16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6" s="5" t="str">
        <f t="shared" si="1"/>
        <v>1</v>
      </c>
      <c r="G16" s="5" t="str">
        <f t="shared" si="0"/>
        <v>3</v>
      </c>
      <c r="H16" s="5" t="str">
        <f>"2"</f>
        <v>2</v>
      </c>
      <c r="I16" s="16">
        <v>70721565820.639999</v>
      </c>
      <c r="K16" s="23"/>
      <c r="M16" s="24"/>
    </row>
    <row r="17" spans="1:13" ht="11.45" customHeight="1" x14ac:dyDescent="0.25">
      <c r="A17" s="15">
        <v>446</v>
      </c>
      <c r="B17" s="6">
        <v>44651</v>
      </c>
      <c r="C17" s="5">
        <v>9</v>
      </c>
      <c r="D17" s="5" t="str">
        <f>"1051"</f>
        <v>1051</v>
      </c>
      <c r="E17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7" s="5" t="str">
        <f t="shared" si="1"/>
        <v>1</v>
      </c>
      <c r="G17" s="5" t="str">
        <f t="shared" si="0"/>
        <v>3</v>
      </c>
      <c r="H17" s="5" t="str">
        <f>"3"</f>
        <v>3</v>
      </c>
      <c r="I17" s="16">
        <v>45201000000</v>
      </c>
      <c r="K17" s="23"/>
      <c r="M17" s="24"/>
    </row>
    <row r="18" spans="1:13" ht="11.45" customHeight="1" x14ac:dyDescent="0.25">
      <c r="A18" s="15">
        <v>149</v>
      </c>
      <c r="B18" s="6">
        <v>44651</v>
      </c>
      <c r="C18" s="5">
        <v>9</v>
      </c>
      <c r="D18" s="5" t="str">
        <f t="shared" ref="D18:D23" si="2">"1052"</f>
        <v>1052</v>
      </c>
      <c r="E18" s="7" t="str">
        <f t="shared" ref="E18:E23" si="3">"Корреспондентские счета в других банках"</f>
        <v>Корреспондентские счета в других банках</v>
      </c>
      <c r="F18" s="5" t="str">
        <f t="shared" si="1"/>
        <v>1</v>
      </c>
      <c r="G18" s="5" t="str">
        <f>"4"</f>
        <v>4</v>
      </c>
      <c r="H18" s="5" t="str">
        <f>"1"</f>
        <v>1</v>
      </c>
      <c r="I18" s="16">
        <v>430731567.01999998</v>
      </c>
      <c r="K18" s="23"/>
      <c r="M18" s="24"/>
    </row>
    <row r="19" spans="1:13" ht="11.45" customHeight="1" x14ac:dyDescent="0.25">
      <c r="A19" s="15">
        <v>534</v>
      </c>
      <c r="B19" s="6">
        <v>44651</v>
      </c>
      <c r="C19" s="5">
        <v>9</v>
      </c>
      <c r="D19" s="5" t="str">
        <f t="shared" si="2"/>
        <v>1052</v>
      </c>
      <c r="E19" s="7" t="str">
        <f t="shared" si="3"/>
        <v>Корреспондентские счета в других банках</v>
      </c>
      <c r="F19" s="5" t="str">
        <f t="shared" si="1"/>
        <v>1</v>
      </c>
      <c r="G19" s="5" t="str">
        <f>"4"</f>
        <v>4</v>
      </c>
      <c r="H19" s="5" t="str">
        <f>"2"</f>
        <v>2</v>
      </c>
      <c r="I19" s="16">
        <v>14340996.17</v>
      </c>
      <c r="K19" s="23"/>
      <c r="M19" s="24"/>
    </row>
    <row r="20" spans="1:13" ht="11.45" customHeight="1" x14ac:dyDescent="0.25">
      <c r="A20" s="15">
        <v>153</v>
      </c>
      <c r="B20" s="6">
        <v>44651</v>
      </c>
      <c r="C20" s="5">
        <v>9</v>
      </c>
      <c r="D20" s="5" t="str">
        <f t="shared" si="2"/>
        <v>1052</v>
      </c>
      <c r="E20" s="7" t="str">
        <f t="shared" si="3"/>
        <v>Корреспондентские счета в других банках</v>
      </c>
      <c r="F20" s="5" t="str">
        <f t="shared" si="1"/>
        <v>1</v>
      </c>
      <c r="G20" s="5" t="str">
        <f>"4"</f>
        <v>4</v>
      </c>
      <c r="H20" s="5" t="str">
        <f>"3"</f>
        <v>3</v>
      </c>
      <c r="I20" s="16">
        <v>76431394.760000005</v>
      </c>
      <c r="K20" s="23"/>
      <c r="M20" s="24"/>
    </row>
    <row r="21" spans="1:13" ht="11.45" customHeight="1" x14ac:dyDescent="0.25">
      <c r="A21" s="15">
        <v>411</v>
      </c>
      <c r="B21" s="6">
        <v>44651</v>
      </c>
      <c r="C21" s="5">
        <v>9</v>
      </c>
      <c r="D21" s="5" t="str">
        <f t="shared" si="2"/>
        <v>1052</v>
      </c>
      <c r="E21" s="7" t="str">
        <f t="shared" si="3"/>
        <v>Корреспондентские счета в других банках</v>
      </c>
      <c r="F21" s="5" t="str">
        <f t="shared" si="1"/>
        <v>1</v>
      </c>
      <c r="G21" s="5" t="str">
        <f>"5"</f>
        <v>5</v>
      </c>
      <c r="H21" s="5" t="str">
        <f>"1"</f>
        <v>1</v>
      </c>
      <c r="I21" s="16">
        <v>31791480</v>
      </c>
      <c r="K21" s="23"/>
      <c r="M21" s="24"/>
    </row>
    <row r="22" spans="1:13" ht="11.45" customHeight="1" x14ac:dyDescent="0.25">
      <c r="A22" s="15">
        <v>1</v>
      </c>
      <c r="B22" s="6">
        <v>44651</v>
      </c>
      <c r="C22" s="5">
        <v>9</v>
      </c>
      <c r="D22" s="5" t="str">
        <f t="shared" si="2"/>
        <v>1052</v>
      </c>
      <c r="E22" s="7" t="str">
        <f t="shared" si="3"/>
        <v>Корреспондентские счета в других банках</v>
      </c>
      <c r="F22" s="5" t="str">
        <f>"2"</f>
        <v>2</v>
      </c>
      <c r="G22" s="5" t="str">
        <f t="shared" ref="G22:G29" si="4">"4"</f>
        <v>4</v>
      </c>
      <c r="H22" s="5" t="str">
        <f>"2"</f>
        <v>2</v>
      </c>
      <c r="I22" s="16">
        <v>19949691444.689999</v>
      </c>
      <c r="K22" s="23"/>
      <c r="M22" s="24"/>
    </row>
    <row r="23" spans="1:13" ht="11.45" customHeight="1" x14ac:dyDescent="0.25">
      <c r="A23" s="15">
        <v>562</v>
      </c>
      <c r="B23" s="6">
        <v>44651</v>
      </c>
      <c r="C23" s="5">
        <v>9</v>
      </c>
      <c r="D23" s="5" t="str">
        <f t="shared" si="2"/>
        <v>1052</v>
      </c>
      <c r="E23" s="7" t="str">
        <f t="shared" si="3"/>
        <v>Корреспондентские счета в других банках</v>
      </c>
      <c r="F23" s="5" t="str">
        <f>"2"</f>
        <v>2</v>
      </c>
      <c r="G23" s="5" t="str">
        <f t="shared" si="4"/>
        <v>4</v>
      </c>
      <c r="H23" s="5" t="str">
        <f>"3"</f>
        <v>3</v>
      </c>
      <c r="I23" s="16">
        <v>247742820.84</v>
      </c>
      <c r="K23" s="23"/>
      <c r="M23" s="24"/>
    </row>
    <row r="24" spans="1:13" ht="11.45" customHeight="1" x14ac:dyDescent="0.25">
      <c r="A24" s="15">
        <v>154</v>
      </c>
      <c r="B24" s="6">
        <v>44651</v>
      </c>
      <c r="C24" s="5">
        <v>9</v>
      </c>
      <c r="D24" s="5" t="str">
        <f>"1054"</f>
        <v>1054</v>
      </c>
      <c r="E24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4" s="5" t="str">
        <f>"1"</f>
        <v>1</v>
      </c>
      <c r="G24" s="5" t="str">
        <f t="shared" si="4"/>
        <v>4</v>
      </c>
      <c r="H24" s="5" t="str">
        <f>"1"</f>
        <v>1</v>
      </c>
      <c r="I24" s="16">
        <v>-175743.85</v>
      </c>
      <c r="K24" s="23"/>
      <c r="M24" s="24"/>
    </row>
    <row r="25" spans="1:13" ht="11.45" customHeight="1" x14ac:dyDescent="0.25">
      <c r="A25" s="15">
        <v>34</v>
      </c>
      <c r="B25" s="6">
        <v>44651</v>
      </c>
      <c r="C25" s="5">
        <v>9</v>
      </c>
      <c r="D25" s="5" t="str">
        <f>"1054"</f>
        <v>1054</v>
      </c>
      <c r="E25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5" s="5" t="str">
        <f>"1"</f>
        <v>1</v>
      </c>
      <c r="G25" s="5" t="str">
        <f t="shared" si="4"/>
        <v>4</v>
      </c>
      <c r="H25" s="5" t="str">
        <f>"2"</f>
        <v>2</v>
      </c>
      <c r="I25" s="16">
        <v>-5855.86</v>
      </c>
      <c r="K25" s="23"/>
      <c r="M25" s="24"/>
    </row>
    <row r="26" spans="1:13" ht="11.45" customHeight="1" x14ac:dyDescent="0.25">
      <c r="A26" s="15">
        <v>378</v>
      </c>
      <c r="B26" s="6">
        <v>44651</v>
      </c>
      <c r="C26" s="5">
        <v>9</v>
      </c>
      <c r="D26" s="5" t="str">
        <f>"1054"</f>
        <v>1054</v>
      </c>
      <c r="E26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6" s="5" t="str">
        <f>"1"</f>
        <v>1</v>
      </c>
      <c r="G26" s="5" t="str">
        <f t="shared" si="4"/>
        <v>4</v>
      </c>
      <c r="H26" s="5" t="str">
        <f>"3"</f>
        <v>3</v>
      </c>
      <c r="I26" s="16">
        <v>-31185</v>
      </c>
      <c r="K26" s="23"/>
      <c r="M26" s="24"/>
    </row>
    <row r="27" spans="1:13" ht="11.45" customHeight="1" x14ac:dyDescent="0.25">
      <c r="A27" s="15">
        <v>476</v>
      </c>
      <c r="B27" s="6">
        <v>44651</v>
      </c>
      <c r="C27" s="5">
        <v>9</v>
      </c>
      <c r="D27" s="5" t="str">
        <f>"1054"</f>
        <v>1054</v>
      </c>
      <c r="E27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7" s="5" t="str">
        <f>"2"</f>
        <v>2</v>
      </c>
      <c r="G27" s="5" t="str">
        <f t="shared" si="4"/>
        <v>4</v>
      </c>
      <c r="H27" s="5" t="str">
        <f>"2"</f>
        <v>2</v>
      </c>
      <c r="I27" s="16">
        <v>-212233668.93000001</v>
      </c>
      <c r="K27" s="23"/>
      <c r="M27" s="24"/>
    </row>
    <row r="28" spans="1:13" ht="11.45" customHeight="1" x14ac:dyDescent="0.25">
      <c r="A28" s="15">
        <v>37</v>
      </c>
      <c r="B28" s="6">
        <v>44651</v>
      </c>
      <c r="C28" s="5">
        <v>9</v>
      </c>
      <c r="D28" s="5" t="str">
        <f>"1054"</f>
        <v>1054</v>
      </c>
      <c r="E28" s="7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8" s="5" t="str">
        <f>"2"</f>
        <v>2</v>
      </c>
      <c r="G28" s="5" t="str">
        <f t="shared" si="4"/>
        <v>4</v>
      </c>
      <c r="H28" s="5" t="str">
        <f>"3"</f>
        <v>3</v>
      </c>
      <c r="I28" s="16">
        <v>-30916658.390000001</v>
      </c>
      <c r="K28" s="23"/>
      <c r="M28" s="24"/>
    </row>
    <row r="29" spans="1:13" ht="11.45" customHeight="1" x14ac:dyDescent="0.25">
      <c r="A29" s="15">
        <v>155</v>
      </c>
      <c r="B29" s="6">
        <v>44651</v>
      </c>
      <c r="C29" s="5">
        <v>9</v>
      </c>
      <c r="D29" s="5" t="str">
        <f>"1254"</f>
        <v>1254</v>
      </c>
      <c r="E29" s="7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29" s="5" t="str">
        <f>"1"</f>
        <v>1</v>
      </c>
      <c r="G29" s="5" t="str">
        <f t="shared" si="4"/>
        <v>4</v>
      </c>
      <c r="H29" s="5" t="str">
        <f>"2"</f>
        <v>2</v>
      </c>
      <c r="I29" s="16">
        <v>6994650000</v>
      </c>
      <c r="K29" s="23"/>
      <c r="M29" s="24"/>
    </row>
    <row r="30" spans="1:13" ht="11.45" customHeight="1" x14ac:dyDescent="0.25">
      <c r="A30" s="15">
        <v>341</v>
      </c>
      <c r="B30" s="6">
        <v>44651</v>
      </c>
      <c r="C30" s="5">
        <v>9</v>
      </c>
      <c r="D30" s="5" t="str">
        <f>"1256"</f>
        <v>1256</v>
      </c>
      <c r="E30" s="7" t="str">
        <f>"Условные вклады, размещенные в других банках"</f>
        <v>Условные вклады, размещенные в других банках</v>
      </c>
      <c r="F30" s="5" t="str">
        <f>"1"</f>
        <v>1</v>
      </c>
      <c r="G30" s="5" t="str">
        <f>"3"</f>
        <v>3</v>
      </c>
      <c r="H30" s="5" t="str">
        <f>"1"</f>
        <v>1</v>
      </c>
      <c r="I30" s="16">
        <v>1392740887.6300001</v>
      </c>
      <c r="K30" s="23"/>
      <c r="M30" s="24"/>
    </row>
    <row r="31" spans="1:13" ht="11.45" customHeight="1" x14ac:dyDescent="0.25">
      <c r="A31" s="15">
        <v>33</v>
      </c>
      <c r="B31" s="6">
        <v>44651</v>
      </c>
      <c r="C31" s="5">
        <v>9</v>
      </c>
      <c r="D31" s="5" t="str">
        <f>"1259"</f>
        <v>1259</v>
      </c>
      <c r="E31" s="7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1" s="5" t="str">
        <f>"1"</f>
        <v>1</v>
      </c>
      <c r="G31" s="5" t="str">
        <f>"4"</f>
        <v>4</v>
      </c>
      <c r="H31" s="5" t="str">
        <f>"2"</f>
        <v>2</v>
      </c>
      <c r="I31" s="16">
        <v>-60373649.990000002</v>
      </c>
      <c r="K31" s="23"/>
      <c r="M31" s="24"/>
    </row>
    <row r="32" spans="1:13" ht="11.45" customHeight="1" x14ac:dyDescent="0.25">
      <c r="A32" s="15">
        <v>497</v>
      </c>
      <c r="B32" s="6">
        <v>44651</v>
      </c>
      <c r="C32" s="5">
        <v>9</v>
      </c>
      <c r="D32" s="5" t="str">
        <f>"1264"</f>
        <v>1264</v>
      </c>
      <c r="E32" s="7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32" s="5" t="str">
        <f>"2"</f>
        <v>2</v>
      </c>
      <c r="G32" s="5" t="str">
        <f>"5"</f>
        <v>5</v>
      </c>
      <c r="H32" s="5" t="str">
        <f>"2"</f>
        <v>2</v>
      </c>
      <c r="I32" s="16">
        <v>4557380528.3500004</v>
      </c>
      <c r="K32" s="23"/>
      <c r="M32" s="24"/>
    </row>
    <row r="33" spans="1:13" ht="11.45" customHeight="1" x14ac:dyDescent="0.25">
      <c r="A33" s="15">
        <v>477</v>
      </c>
      <c r="B33" s="6">
        <v>44651</v>
      </c>
      <c r="C33" s="5">
        <v>9</v>
      </c>
      <c r="D33" s="5" t="str">
        <f>"1267"</f>
        <v>1267</v>
      </c>
      <c r="E33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3" s="5" t="str">
        <f>"1"</f>
        <v>1</v>
      </c>
      <c r="G33" s="5" t="str">
        <f>"4"</f>
        <v>4</v>
      </c>
      <c r="H33" s="5" t="str">
        <f>"2"</f>
        <v>2</v>
      </c>
      <c r="I33" s="16">
        <v>601788778.97000003</v>
      </c>
      <c r="K33" s="23"/>
      <c r="M33" s="24"/>
    </row>
    <row r="34" spans="1:13" ht="11.45" customHeight="1" x14ac:dyDescent="0.25">
      <c r="A34" s="15">
        <v>158</v>
      </c>
      <c r="B34" s="6">
        <v>44651</v>
      </c>
      <c r="C34" s="5">
        <v>9</v>
      </c>
      <c r="D34" s="5" t="str">
        <f>"1267"</f>
        <v>1267</v>
      </c>
      <c r="E34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4" s="5" t="str">
        <f>"1"</f>
        <v>1</v>
      </c>
      <c r="G34" s="5" t="str">
        <f>"5"</f>
        <v>5</v>
      </c>
      <c r="H34" s="5" t="str">
        <f>"1"</f>
        <v>1</v>
      </c>
      <c r="I34" s="16">
        <v>53000000</v>
      </c>
      <c r="K34" s="23"/>
      <c r="M34" s="24"/>
    </row>
    <row r="35" spans="1:13" ht="11.45" customHeight="1" x14ac:dyDescent="0.25">
      <c r="A35" s="15">
        <v>340</v>
      </c>
      <c r="B35" s="6">
        <v>44651</v>
      </c>
      <c r="C35" s="5">
        <v>9</v>
      </c>
      <c r="D35" s="5" t="str">
        <f>"1267"</f>
        <v>1267</v>
      </c>
      <c r="E35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5" s="5" t="str">
        <f>"1"</f>
        <v>1</v>
      </c>
      <c r="G35" s="5" t="str">
        <f>"7"</f>
        <v>7</v>
      </c>
      <c r="H35" s="5" t="str">
        <f>"1"</f>
        <v>1</v>
      </c>
      <c r="I35" s="16">
        <v>15000000</v>
      </c>
      <c r="K35" s="23"/>
      <c r="M35" s="24"/>
    </row>
    <row r="36" spans="1:13" ht="11.45" customHeight="1" x14ac:dyDescent="0.25">
      <c r="A36" s="15">
        <v>152</v>
      </c>
      <c r="B36" s="6">
        <v>44651</v>
      </c>
      <c r="C36" s="5">
        <v>9</v>
      </c>
      <c r="D36" s="5" t="str">
        <f>"1267"</f>
        <v>1267</v>
      </c>
      <c r="E36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6" s="5" t="str">
        <f>"2"</f>
        <v>2</v>
      </c>
      <c r="G36" s="5" t="str">
        <f>"4"</f>
        <v>4</v>
      </c>
      <c r="H36" s="5" t="str">
        <f>"2"</f>
        <v>2</v>
      </c>
      <c r="I36" s="16">
        <v>1519651938.26</v>
      </c>
      <c r="K36" s="23"/>
      <c r="M36" s="24"/>
    </row>
    <row r="37" spans="1:13" ht="11.45" customHeight="1" x14ac:dyDescent="0.25">
      <c r="A37" s="15">
        <v>317</v>
      </c>
      <c r="B37" s="6">
        <v>44651</v>
      </c>
      <c r="C37" s="5">
        <v>9</v>
      </c>
      <c r="D37" s="5" t="str">
        <f>"1302"</f>
        <v>1302</v>
      </c>
      <c r="E37" s="7" t="str">
        <f>"Краткосрочные займы, предоставленные другим банкам"</f>
        <v>Краткосрочные займы, предоставленные другим банкам</v>
      </c>
      <c r="F37" s="5" t="str">
        <f>"2"</f>
        <v>2</v>
      </c>
      <c r="G37" s="5" t="str">
        <f>"4"</f>
        <v>4</v>
      </c>
      <c r="H37" s="5" t="str">
        <f>"2"</f>
        <v>2</v>
      </c>
      <c r="I37" s="16">
        <v>5616985724.6499996</v>
      </c>
      <c r="K37" s="23"/>
      <c r="M37" s="24"/>
    </row>
    <row r="38" spans="1:13" ht="11.45" customHeight="1" x14ac:dyDescent="0.25">
      <c r="A38" s="15">
        <v>159</v>
      </c>
      <c r="B38" s="6">
        <v>44651</v>
      </c>
      <c r="C38" s="5">
        <v>9</v>
      </c>
      <c r="D38" s="5" t="str">
        <f>"1302"</f>
        <v>1302</v>
      </c>
      <c r="E38" s="7" t="str">
        <f>"Краткосрочные займы, предоставленные другим банкам"</f>
        <v>Краткосрочные займы, предоставленные другим банкам</v>
      </c>
      <c r="F38" s="5" t="str">
        <f>"2"</f>
        <v>2</v>
      </c>
      <c r="G38" s="5" t="str">
        <f>"4"</f>
        <v>4</v>
      </c>
      <c r="H38" s="5" t="str">
        <f>"3"</f>
        <v>3</v>
      </c>
      <c r="I38" s="16">
        <v>276443729.82999998</v>
      </c>
      <c r="K38" s="23"/>
      <c r="M38" s="24"/>
    </row>
    <row r="39" spans="1:13" ht="11.45" customHeight="1" x14ac:dyDescent="0.25">
      <c r="A39" s="15">
        <v>157</v>
      </c>
      <c r="B39" s="6">
        <v>44651</v>
      </c>
      <c r="C39" s="5">
        <v>9</v>
      </c>
      <c r="D39" s="5" t="str">
        <f>"1319"</f>
        <v>1319</v>
      </c>
      <c r="E39" s="7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39" s="5" t="str">
        <f>"2"</f>
        <v>2</v>
      </c>
      <c r="G39" s="5" t="str">
        <f>"4"</f>
        <v>4</v>
      </c>
      <c r="H39" s="5" t="str">
        <f>"2"</f>
        <v>2</v>
      </c>
      <c r="I39" s="16">
        <v>-35405260.659999996</v>
      </c>
      <c r="K39" s="23"/>
      <c r="M39" s="24"/>
    </row>
    <row r="40" spans="1:13" ht="11.45" customHeight="1" x14ac:dyDescent="0.25">
      <c r="A40" s="15">
        <v>463</v>
      </c>
      <c r="B40" s="6">
        <v>44651</v>
      </c>
      <c r="C40" s="5">
        <v>9</v>
      </c>
      <c r="D40" s="5" t="str">
        <f>"1319"</f>
        <v>1319</v>
      </c>
      <c r="E40" s="7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40" s="5" t="str">
        <f>"2"</f>
        <v>2</v>
      </c>
      <c r="G40" s="5" t="str">
        <f>"4"</f>
        <v>4</v>
      </c>
      <c r="H40" s="5" t="str">
        <f>"3"</f>
        <v>3</v>
      </c>
      <c r="I40" s="16">
        <v>-5517936.8899999997</v>
      </c>
      <c r="K40" s="23"/>
      <c r="M40" s="24"/>
    </row>
    <row r="41" spans="1:13" ht="11.45" customHeight="1" x14ac:dyDescent="0.25">
      <c r="A41" s="15">
        <v>156</v>
      </c>
      <c r="B41" s="6">
        <v>44651</v>
      </c>
      <c r="C41" s="5">
        <v>9</v>
      </c>
      <c r="D41" s="5" t="str">
        <f>"1401"</f>
        <v>1401</v>
      </c>
      <c r="E41" s="7" t="str">
        <f>"Займы овердрафт, предоставленные клиентам"</f>
        <v>Займы овердрафт, предоставленные клиентам</v>
      </c>
      <c r="F41" s="5" t="str">
        <f>"1"</f>
        <v>1</v>
      </c>
      <c r="G41" s="5" t="str">
        <f>"7"</f>
        <v>7</v>
      </c>
      <c r="H41" s="5" t="str">
        <f>"1"</f>
        <v>1</v>
      </c>
      <c r="I41" s="16">
        <v>1441756707.21</v>
      </c>
      <c r="K41" s="23"/>
      <c r="M41" s="24"/>
    </row>
    <row r="42" spans="1:13" ht="11.45" customHeight="1" x14ac:dyDescent="0.25">
      <c r="A42" s="15">
        <v>465</v>
      </c>
      <c r="B42" s="6">
        <v>44651</v>
      </c>
      <c r="C42" s="5">
        <v>9</v>
      </c>
      <c r="D42" s="5" t="str">
        <f>"1401"</f>
        <v>1401</v>
      </c>
      <c r="E42" s="7" t="str">
        <f>"Займы овердрафт, предоставленные клиентам"</f>
        <v>Займы овердрафт, предоставленные клиентам</v>
      </c>
      <c r="F42" s="5" t="str">
        <f>"1"</f>
        <v>1</v>
      </c>
      <c r="G42" s="5" t="str">
        <f>"9"</f>
        <v>9</v>
      </c>
      <c r="H42" s="5" t="str">
        <f>"1"</f>
        <v>1</v>
      </c>
      <c r="I42" s="16">
        <v>17894254.800000001</v>
      </c>
      <c r="K42" s="23"/>
      <c r="M42" s="24"/>
    </row>
    <row r="43" spans="1:13" ht="11.45" customHeight="1" x14ac:dyDescent="0.25">
      <c r="A43" s="15">
        <v>38</v>
      </c>
      <c r="B43" s="6">
        <v>44651</v>
      </c>
      <c r="C43" s="5">
        <v>9</v>
      </c>
      <c r="D43" s="5" t="str">
        <f>"1403"</f>
        <v>1403</v>
      </c>
      <c r="E43" s="7" t="str">
        <f>"Счета по кредитным карточкам клиентов"</f>
        <v>Счета по кредитным карточкам клиентов</v>
      </c>
      <c r="F43" s="5" t="str">
        <f>"1"</f>
        <v>1</v>
      </c>
      <c r="G43" s="5" t="str">
        <f>"9"</f>
        <v>9</v>
      </c>
      <c r="H43" s="5" t="str">
        <f>"1"</f>
        <v>1</v>
      </c>
      <c r="I43" s="16">
        <v>77628451101.169998</v>
      </c>
      <c r="K43" s="23"/>
      <c r="M43" s="24"/>
    </row>
    <row r="44" spans="1:13" ht="11.45" customHeight="1" x14ac:dyDescent="0.25">
      <c r="A44" s="15">
        <v>36</v>
      </c>
      <c r="B44" s="6">
        <v>44651</v>
      </c>
      <c r="C44" s="5">
        <v>9</v>
      </c>
      <c r="D44" s="5" t="str">
        <f>"1403"</f>
        <v>1403</v>
      </c>
      <c r="E44" s="7" t="str">
        <f>"Счета по кредитным карточкам клиентов"</f>
        <v>Счета по кредитным карточкам клиентов</v>
      </c>
      <c r="F44" s="5" t="str">
        <f>"1"</f>
        <v>1</v>
      </c>
      <c r="G44" s="5" t="str">
        <f>"9"</f>
        <v>9</v>
      </c>
      <c r="H44" s="5" t="str">
        <f>"2"</f>
        <v>2</v>
      </c>
      <c r="I44" s="16">
        <v>438495.97</v>
      </c>
      <c r="K44" s="23"/>
      <c r="M44" s="24"/>
    </row>
    <row r="45" spans="1:13" ht="11.45" customHeight="1" x14ac:dyDescent="0.25">
      <c r="A45" s="15">
        <v>412</v>
      </c>
      <c r="B45" s="6">
        <v>44651</v>
      </c>
      <c r="C45" s="5">
        <v>9</v>
      </c>
      <c r="D45" s="5" t="str">
        <f>"1403"</f>
        <v>1403</v>
      </c>
      <c r="E45" s="7" t="str">
        <f>"Счета по кредитным карточкам клиентов"</f>
        <v>Счета по кредитным карточкам клиентов</v>
      </c>
      <c r="F45" s="5" t="str">
        <f>"2"</f>
        <v>2</v>
      </c>
      <c r="G45" s="5" t="str">
        <f>"9"</f>
        <v>9</v>
      </c>
      <c r="H45" s="5" t="str">
        <f>"1"</f>
        <v>1</v>
      </c>
      <c r="I45" s="16">
        <v>15151382.449999999</v>
      </c>
      <c r="K45" s="23"/>
      <c r="M45" s="24"/>
    </row>
    <row r="46" spans="1:13" ht="11.45" customHeight="1" x14ac:dyDescent="0.25">
      <c r="A46" s="15">
        <v>342</v>
      </c>
      <c r="B46" s="6">
        <v>44651</v>
      </c>
      <c r="C46" s="5">
        <v>9</v>
      </c>
      <c r="D46" s="5" t="str">
        <f>"1407"</f>
        <v>1407</v>
      </c>
      <c r="E46" s="7" t="str">
        <f>"Факторинг клиентам"</f>
        <v>Факторинг клиентам</v>
      </c>
      <c r="F46" s="5" t="str">
        <f>"1"</f>
        <v>1</v>
      </c>
      <c r="G46" s="5" t="str">
        <f>"7"</f>
        <v>7</v>
      </c>
      <c r="H46" s="5" t="str">
        <f>"1"</f>
        <v>1</v>
      </c>
      <c r="I46" s="16">
        <v>39194545445.330002</v>
      </c>
      <c r="K46" s="23"/>
      <c r="M46" s="24"/>
    </row>
    <row r="47" spans="1:13" ht="11.45" customHeight="1" x14ac:dyDescent="0.25">
      <c r="A47" s="15">
        <v>595</v>
      </c>
      <c r="B47" s="6">
        <v>44651</v>
      </c>
      <c r="C47" s="5">
        <v>9</v>
      </c>
      <c r="D47" s="5" t="str">
        <f>"1407"</f>
        <v>1407</v>
      </c>
      <c r="E47" s="7" t="str">
        <f>"Факторинг клиентам"</f>
        <v>Факторинг клиентам</v>
      </c>
      <c r="F47" s="5" t="str">
        <f>"1"</f>
        <v>1</v>
      </c>
      <c r="G47" s="5" t="str">
        <f>"9"</f>
        <v>9</v>
      </c>
      <c r="H47" s="5" t="str">
        <f>"1"</f>
        <v>1</v>
      </c>
      <c r="I47" s="16">
        <v>36877054</v>
      </c>
      <c r="K47" s="23"/>
      <c r="M47" s="24"/>
    </row>
    <row r="48" spans="1:13" ht="11.45" customHeight="1" x14ac:dyDescent="0.25">
      <c r="A48" s="15">
        <v>404</v>
      </c>
      <c r="B48" s="6">
        <v>44651</v>
      </c>
      <c r="C48" s="5">
        <v>9</v>
      </c>
      <c r="D48" s="5" t="str">
        <f>"1407"</f>
        <v>1407</v>
      </c>
      <c r="E48" s="7" t="str">
        <f>"Факторинг клиентам"</f>
        <v>Факторинг клиентам</v>
      </c>
      <c r="F48" s="5" t="str">
        <f>"2"</f>
        <v>2</v>
      </c>
      <c r="G48" s="5" t="str">
        <f>"7"</f>
        <v>7</v>
      </c>
      <c r="H48" s="5" t="str">
        <f>"3"</f>
        <v>3</v>
      </c>
      <c r="I48" s="16">
        <v>14728768.99</v>
      </c>
      <c r="K48" s="23"/>
      <c r="M48" s="24"/>
    </row>
    <row r="49" spans="1:13" ht="11.45" customHeight="1" x14ac:dyDescent="0.25">
      <c r="A49" s="15">
        <v>343</v>
      </c>
      <c r="B49" s="6">
        <v>44651</v>
      </c>
      <c r="C49" s="5">
        <v>9</v>
      </c>
      <c r="D49" s="5" t="str">
        <f t="shared" ref="D49:D54" si="5">"1411"</f>
        <v>1411</v>
      </c>
      <c r="E49" s="7" t="str">
        <f t="shared" ref="E49:E54" si="6">"Краткосрочные займы, предоставленные клиентам"</f>
        <v>Краткосрочные займы, предоставленные клиентам</v>
      </c>
      <c r="F49" s="5" t="str">
        <f>"1"</f>
        <v>1</v>
      </c>
      <c r="G49" s="5" t="str">
        <f>"6"</f>
        <v>6</v>
      </c>
      <c r="H49" s="5" t="str">
        <f>"1"</f>
        <v>1</v>
      </c>
      <c r="I49" s="16">
        <v>8430649610.29</v>
      </c>
      <c r="K49" s="23"/>
      <c r="M49" s="24"/>
    </row>
    <row r="50" spans="1:13" ht="11.45" customHeight="1" x14ac:dyDescent="0.25">
      <c r="A50" s="15">
        <v>413</v>
      </c>
      <c r="B50" s="6">
        <v>44651</v>
      </c>
      <c r="C50" s="5">
        <v>9</v>
      </c>
      <c r="D50" s="5" t="str">
        <f t="shared" si="5"/>
        <v>1411</v>
      </c>
      <c r="E50" s="7" t="str">
        <f t="shared" si="6"/>
        <v>Краткосрочные займы, предоставленные клиентам</v>
      </c>
      <c r="F50" s="5" t="str">
        <f>"1"</f>
        <v>1</v>
      </c>
      <c r="G50" s="5" t="str">
        <f>"7"</f>
        <v>7</v>
      </c>
      <c r="H50" s="5" t="str">
        <f>"1"</f>
        <v>1</v>
      </c>
      <c r="I50" s="16">
        <v>99113042243.029999</v>
      </c>
      <c r="K50" s="23"/>
      <c r="M50" s="24"/>
    </row>
    <row r="51" spans="1:13" ht="11.45" customHeight="1" x14ac:dyDescent="0.25">
      <c r="A51" s="15">
        <v>160</v>
      </c>
      <c r="B51" s="6">
        <v>44651</v>
      </c>
      <c r="C51" s="5">
        <v>9</v>
      </c>
      <c r="D51" s="5" t="str">
        <f t="shared" si="5"/>
        <v>1411</v>
      </c>
      <c r="E51" s="7" t="str">
        <f t="shared" si="6"/>
        <v>Краткосрочные займы, предоставленные клиентам</v>
      </c>
      <c r="F51" s="5" t="str">
        <f>"1"</f>
        <v>1</v>
      </c>
      <c r="G51" s="5" t="str">
        <f>"7"</f>
        <v>7</v>
      </c>
      <c r="H51" s="5" t="str">
        <f>"2"</f>
        <v>2</v>
      </c>
      <c r="I51" s="16">
        <v>18134834323.939999</v>
      </c>
      <c r="K51" s="23"/>
      <c r="M51" s="24"/>
    </row>
    <row r="52" spans="1:13" ht="11.45" customHeight="1" x14ac:dyDescent="0.25">
      <c r="A52" s="15">
        <v>584</v>
      </c>
      <c r="B52" s="6">
        <v>44651</v>
      </c>
      <c r="C52" s="5">
        <v>9</v>
      </c>
      <c r="D52" s="5" t="str">
        <f t="shared" si="5"/>
        <v>1411</v>
      </c>
      <c r="E52" s="7" t="str">
        <f t="shared" si="6"/>
        <v>Краткосрочные займы, предоставленные клиентам</v>
      </c>
      <c r="F52" s="5" t="str">
        <f>"1"</f>
        <v>1</v>
      </c>
      <c r="G52" s="5" t="str">
        <f>"9"</f>
        <v>9</v>
      </c>
      <c r="H52" s="5" t="str">
        <f>"1"</f>
        <v>1</v>
      </c>
      <c r="I52" s="16">
        <v>14667267415.360001</v>
      </c>
      <c r="K52" s="23"/>
      <c r="M52" s="24"/>
    </row>
    <row r="53" spans="1:13" ht="11.45" customHeight="1" x14ac:dyDescent="0.25">
      <c r="A53" s="15">
        <v>2</v>
      </c>
      <c r="B53" s="6">
        <v>44651</v>
      </c>
      <c r="C53" s="5">
        <v>9</v>
      </c>
      <c r="D53" s="5" t="str">
        <f t="shared" si="5"/>
        <v>1411</v>
      </c>
      <c r="E53" s="7" t="str">
        <f t="shared" si="6"/>
        <v>Краткосрочные займы, предоставленные клиентам</v>
      </c>
      <c r="F53" s="5" t="str">
        <f>"1"</f>
        <v>1</v>
      </c>
      <c r="G53" s="5" t="str">
        <f>"9"</f>
        <v>9</v>
      </c>
      <c r="H53" s="5" t="str">
        <f>"3"</f>
        <v>3</v>
      </c>
      <c r="I53" s="16">
        <v>873999999.98000002</v>
      </c>
      <c r="K53" s="23"/>
      <c r="M53" s="24"/>
    </row>
    <row r="54" spans="1:13" ht="11.45" customHeight="1" x14ac:dyDescent="0.25">
      <c r="A54" s="15">
        <v>35</v>
      </c>
      <c r="B54" s="6">
        <v>44651</v>
      </c>
      <c r="C54" s="5">
        <v>9</v>
      </c>
      <c r="D54" s="5" t="str">
        <f t="shared" si="5"/>
        <v>1411</v>
      </c>
      <c r="E54" s="7" t="str">
        <f t="shared" si="6"/>
        <v>Краткосрочные займы, предоставленные клиентам</v>
      </c>
      <c r="F54" s="5" t="str">
        <f>"2"</f>
        <v>2</v>
      </c>
      <c r="G54" s="5" t="str">
        <f>"9"</f>
        <v>9</v>
      </c>
      <c r="H54" s="5" t="str">
        <f>"1"</f>
        <v>1</v>
      </c>
      <c r="I54" s="16">
        <v>1500000</v>
      </c>
      <c r="K54" s="23"/>
      <c r="M54" s="24"/>
    </row>
    <row r="55" spans="1:13" ht="11.45" customHeight="1" x14ac:dyDescent="0.25">
      <c r="A55" s="15">
        <v>161</v>
      </c>
      <c r="B55" s="6">
        <v>44651</v>
      </c>
      <c r="C55" s="5">
        <v>9</v>
      </c>
      <c r="D55" s="5" t="str">
        <f t="shared" ref="D55:D60" si="7">"1417"</f>
        <v>1417</v>
      </c>
      <c r="E55" s="7" t="str">
        <f t="shared" ref="E55:E60" si="8">"Долгосрочные займы, предоставленные клиентам"</f>
        <v>Долгосрочные займы, предоставленные клиентам</v>
      </c>
      <c r="F55" s="5" t="str">
        <f t="shared" ref="F55:F69" si="9">"1"</f>
        <v>1</v>
      </c>
      <c r="G55" s="5" t="str">
        <f>"5"</f>
        <v>5</v>
      </c>
      <c r="H55" s="5" t="str">
        <f>"1"</f>
        <v>1</v>
      </c>
      <c r="I55" s="16">
        <v>5000000000</v>
      </c>
      <c r="K55" s="23"/>
      <c r="M55" s="24"/>
    </row>
    <row r="56" spans="1:13" ht="11.45" customHeight="1" x14ac:dyDescent="0.25">
      <c r="A56" s="15">
        <v>40</v>
      </c>
      <c r="B56" s="6">
        <v>44651</v>
      </c>
      <c r="C56" s="5">
        <v>9</v>
      </c>
      <c r="D56" s="5" t="str">
        <f t="shared" si="7"/>
        <v>1417</v>
      </c>
      <c r="E56" s="7" t="str">
        <f t="shared" si="8"/>
        <v>Долгосрочные займы, предоставленные клиентам</v>
      </c>
      <c r="F56" s="5" t="str">
        <f t="shared" si="9"/>
        <v>1</v>
      </c>
      <c r="G56" s="5" t="str">
        <f>"6"</f>
        <v>6</v>
      </c>
      <c r="H56" s="5" t="str">
        <f>"1"</f>
        <v>1</v>
      </c>
      <c r="I56" s="16">
        <v>1040000000</v>
      </c>
      <c r="K56" s="23"/>
      <c r="M56" s="24"/>
    </row>
    <row r="57" spans="1:13" ht="11.45" customHeight="1" x14ac:dyDescent="0.25">
      <c r="A57" s="15">
        <v>164</v>
      </c>
      <c r="B57" s="6">
        <v>44651</v>
      </c>
      <c r="C57" s="5">
        <v>9</v>
      </c>
      <c r="D57" s="5" t="str">
        <f t="shared" si="7"/>
        <v>1417</v>
      </c>
      <c r="E57" s="7" t="str">
        <f t="shared" si="8"/>
        <v>Долгосрочные займы, предоставленные клиентам</v>
      </c>
      <c r="F57" s="5" t="str">
        <f t="shared" si="9"/>
        <v>1</v>
      </c>
      <c r="G57" s="5" t="str">
        <f>"7"</f>
        <v>7</v>
      </c>
      <c r="H57" s="5" t="str">
        <f>"1"</f>
        <v>1</v>
      </c>
      <c r="I57" s="16">
        <v>57966847445.669998</v>
      </c>
      <c r="K57" s="23"/>
      <c r="M57" s="24"/>
    </row>
    <row r="58" spans="1:13" ht="11.45" customHeight="1" x14ac:dyDescent="0.25">
      <c r="A58" s="15">
        <v>162</v>
      </c>
      <c r="B58" s="6">
        <v>44651</v>
      </c>
      <c r="C58" s="5">
        <v>9</v>
      </c>
      <c r="D58" s="5" t="str">
        <f t="shared" si="7"/>
        <v>1417</v>
      </c>
      <c r="E58" s="7" t="str">
        <f t="shared" si="8"/>
        <v>Долгосрочные займы, предоставленные клиентам</v>
      </c>
      <c r="F58" s="5" t="str">
        <f t="shared" si="9"/>
        <v>1</v>
      </c>
      <c r="G58" s="5" t="str">
        <f>"7"</f>
        <v>7</v>
      </c>
      <c r="H58" s="5" t="str">
        <f>"2"</f>
        <v>2</v>
      </c>
      <c r="I58" s="16">
        <v>16600423931.540001</v>
      </c>
      <c r="K58" s="23"/>
      <c r="M58" s="24"/>
    </row>
    <row r="59" spans="1:13" ht="11.45" customHeight="1" x14ac:dyDescent="0.25">
      <c r="A59" s="15">
        <v>39</v>
      </c>
      <c r="B59" s="6">
        <v>44651</v>
      </c>
      <c r="C59" s="5">
        <v>9</v>
      </c>
      <c r="D59" s="5" t="str">
        <f t="shared" si="7"/>
        <v>1417</v>
      </c>
      <c r="E59" s="7" t="str">
        <f t="shared" si="8"/>
        <v>Долгосрочные займы, предоставленные клиентам</v>
      </c>
      <c r="F59" s="5" t="str">
        <f t="shared" si="9"/>
        <v>1</v>
      </c>
      <c r="G59" s="5" t="str">
        <f>"7"</f>
        <v>7</v>
      </c>
      <c r="H59" s="5" t="str">
        <f>"3"</f>
        <v>3</v>
      </c>
      <c r="I59" s="16">
        <v>565203925.44000006</v>
      </c>
      <c r="K59" s="23"/>
      <c r="M59" s="24"/>
    </row>
    <row r="60" spans="1:13" ht="11.45" customHeight="1" x14ac:dyDescent="0.25">
      <c r="A60" s="15">
        <v>414</v>
      </c>
      <c r="B60" s="6">
        <v>44651</v>
      </c>
      <c r="C60" s="5">
        <v>9</v>
      </c>
      <c r="D60" s="5" t="str">
        <f t="shared" si="7"/>
        <v>1417</v>
      </c>
      <c r="E60" s="7" t="str">
        <f t="shared" si="8"/>
        <v>Долгосрочные займы, предоставленные клиентам</v>
      </c>
      <c r="F60" s="5" t="str">
        <f t="shared" si="9"/>
        <v>1</v>
      </c>
      <c r="G60" s="5" t="str">
        <f>"9"</f>
        <v>9</v>
      </c>
      <c r="H60" s="5" t="str">
        <f>"1"</f>
        <v>1</v>
      </c>
      <c r="I60" s="16">
        <v>201660802415.85001</v>
      </c>
      <c r="K60" s="23"/>
      <c r="M60" s="24"/>
    </row>
    <row r="61" spans="1:13" ht="11.45" customHeight="1" x14ac:dyDescent="0.25">
      <c r="A61" s="15">
        <v>499</v>
      </c>
      <c r="B61" s="6">
        <v>44651</v>
      </c>
      <c r="C61" s="5">
        <v>9</v>
      </c>
      <c r="D61" s="5" t="str">
        <f>"1424"</f>
        <v>1424</v>
      </c>
      <c r="E61" s="7" t="str">
        <f>"Просроченная задолженность клиентов по займам"</f>
        <v>Просроченная задолженность клиентов по займам</v>
      </c>
      <c r="F61" s="5" t="str">
        <f t="shared" si="9"/>
        <v>1</v>
      </c>
      <c r="G61" s="5" t="str">
        <f>"7"</f>
        <v>7</v>
      </c>
      <c r="H61" s="5" t="str">
        <f>"1"</f>
        <v>1</v>
      </c>
      <c r="I61" s="16">
        <v>1417249767.01</v>
      </c>
      <c r="K61" s="23"/>
      <c r="M61" s="24"/>
    </row>
    <row r="62" spans="1:13" ht="11.45" customHeight="1" x14ac:dyDescent="0.25">
      <c r="A62" s="15">
        <v>586</v>
      </c>
      <c r="B62" s="6">
        <v>44651</v>
      </c>
      <c r="C62" s="5">
        <v>9</v>
      </c>
      <c r="D62" s="5" t="str">
        <f>"1424"</f>
        <v>1424</v>
      </c>
      <c r="E62" s="7" t="str">
        <f>"Просроченная задолженность клиентов по займам"</f>
        <v>Просроченная задолженность клиентов по займам</v>
      </c>
      <c r="F62" s="5" t="str">
        <f t="shared" si="9"/>
        <v>1</v>
      </c>
      <c r="G62" s="5" t="str">
        <f>"9"</f>
        <v>9</v>
      </c>
      <c r="H62" s="5" t="str">
        <f>"1"</f>
        <v>1</v>
      </c>
      <c r="I62" s="16">
        <v>2842986759.4699998</v>
      </c>
      <c r="K62" s="23"/>
      <c r="M62" s="24"/>
    </row>
    <row r="63" spans="1:13" ht="11.45" customHeight="1" x14ac:dyDescent="0.25">
      <c r="A63" s="15">
        <v>478</v>
      </c>
      <c r="B63" s="6">
        <v>44651</v>
      </c>
      <c r="C63" s="5">
        <v>9</v>
      </c>
      <c r="D63" s="5" t="str">
        <f t="shared" ref="D63:D71" si="10">"1428"</f>
        <v>1428</v>
      </c>
      <c r="E63" s="7" t="str">
        <f t="shared" ref="E63:E71" si="11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63" s="5" t="str">
        <f t="shared" si="9"/>
        <v>1</v>
      </c>
      <c r="G63" s="5" t="str">
        <f>"6"</f>
        <v>6</v>
      </c>
      <c r="H63" s="5" t="str">
        <f>"1"</f>
        <v>1</v>
      </c>
      <c r="I63" s="16">
        <v>-90175529.219999999</v>
      </c>
      <c r="K63" s="23"/>
      <c r="M63" s="24"/>
    </row>
    <row r="64" spans="1:13" ht="11.45" customHeight="1" x14ac:dyDescent="0.25">
      <c r="A64" s="15">
        <v>3</v>
      </c>
      <c r="B64" s="6">
        <v>44651</v>
      </c>
      <c r="C64" s="5">
        <v>9</v>
      </c>
      <c r="D64" s="5" t="str">
        <f t="shared" si="10"/>
        <v>1428</v>
      </c>
      <c r="E64" s="7" t="str">
        <f t="shared" si="11"/>
        <v>Резервы (провизии) по займам и финансовому лизингу, предоставленным клиентам</v>
      </c>
      <c r="F64" s="5" t="str">
        <f t="shared" si="9"/>
        <v>1</v>
      </c>
      <c r="G64" s="5" t="str">
        <f>"7"</f>
        <v>7</v>
      </c>
      <c r="H64" s="5" t="str">
        <f>"1"</f>
        <v>1</v>
      </c>
      <c r="I64" s="16">
        <v>-3678831405.6999998</v>
      </c>
      <c r="K64" s="23"/>
      <c r="M64" s="24"/>
    </row>
    <row r="65" spans="1:13" ht="11.45" customHeight="1" x14ac:dyDescent="0.25">
      <c r="A65" s="15">
        <v>464</v>
      </c>
      <c r="B65" s="6">
        <v>44651</v>
      </c>
      <c r="C65" s="5">
        <v>9</v>
      </c>
      <c r="D65" s="5" t="str">
        <f t="shared" si="10"/>
        <v>1428</v>
      </c>
      <c r="E65" s="7" t="str">
        <f t="shared" si="11"/>
        <v>Резервы (провизии) по займам и финансовому лизингу, предоставленным клиентам</v>
      </c>
      <c r="F65" s="5" t="str">
        <f t="shared" si="9"/>
        <v>1</v>
      </c>
      <c r="G65" s="5" t="str">
        <f>"7"</f>
        <v>7</v>
      </c>
      <c r="H65" s="5" t="str">
        <f>"2"</f>
        <v>2</v>
      </c>
      <c r="I65" s="16">
        <v>-77459211.069999993</v>
      </c>
      <c r="K65" s="23"/>
      <c r="M65" s="24"/>
    </row>
    <row r="66" spans="1:13" ht="11.45" customHeight="1" x14ac:dyDescent="0.25">
      <c r="A66" s="15">
        <v>4</v>
      </c>
      <c r="B66" s="6">
        <v>44651</v>
      </c>
      <c r="C66" s="5">
        <v>9</v>
      </c>
      <c r="D66" s="5" t="str">
        <f t="shared" si="10"/>
        <v>1428</v>
      </c>
      <c r="E66" s="7" t="str">
        <f t="shared" si="11"/>
        <v>Резервы (провизии) по займам и финансовому лизингу, предоставленным клиентам</v>
      </c>
      <c r="F66" s="5" t="str">
        <f t="shared" si="9"/>
        <v>1</v>
      </c>
      <c r="G66" s="5" t="str">
        <f>"7"</f>
        <v>7</v>
      </c>
      <c r="H66" s="5" t="str">
        <f>"3"</f>
        <v>3</v>
      </c>
      <c r="I66" s="16">
        <v>-380172.59</v>
      </c>
      <c r="K66" s="23"/>
      <c r="M66" s="24"/>
    </row>
    <row r="67" spans="1:13" ht="11.45" customHeight="1" x14ac:dyDescent="0.25">
      <c r="A67" s="15">
        <v>498</v>
      </c>
      <c r="B67" s="6">
        <v>44651</v>
      </c>
      <c r="C67" s="5">
        <v>9</v>
      </c>
      <c r="D67" s="5" t="str">
        <f t="shared" si="10"/>
        <v>1428</v>
      </c>
      <c r="E67" s="7" t="str">
        <f t="shared" si="11"/>
        <v>Резервы (провизии) по займам и финансовому лизингу, предоставленным клиентам</v>
      </c>
      <c r="F67" s="5" t="str">
        <f t="shared" si="9"/>
        <v>1</v>
      </c>
      <c r="G67" s="5" t="str">
        <f>"9"</f>
        <v>9</v>
      </c>
      <c r="H67" s="5" t="str">
        <f>"1"</f>
        <v>1</v>
      </c>
      <c r="I67" s="16">
        <v>-19733304617.75</v>
      </c>
      <c r="K67" s="23"/>
      <c r="M67" s="24"/>
    </row>
    <row r="68" spans="1:13" ht="11.45" customHeight="1" x14ac:dyDescent="0.25">
      <c r="A68" s="15">
        <v>312</v>
      </c>
      <c r="B68" s="6">
        <v>44651</v>
      </c>
      <c r="C68" s="5">
        <v>9</v>
      </c>
      <c r="D68" s="5" t="str">
        <f t="shared" si="10"/>
        <v>1428</v>
      </c>
      <c r="E68" s="7" t="str">
        <f t="shared" si="11"/>
        <v>Резервы (провизии) по займам и финансовому лизингу, предоставленным клиентам</v>
      </c>
      <c r="F68" s="5" t="str">
        <f t="shared" si="9"/>
        <v>1</v>
      </c>
      <c r="G68" s="5" t="str">
        <f>"9"</f>
        <v>9</v>
      </c>
      <c r="H68" s="5" t="str">
        <f>"2"</f>
        <v>2</v>
      </c>
      <c r="I68" s="16">
        <v>-1061.8599999999999</v>
      </c>
      <c r="K68" s="23"/>
      <c r="M68" s="24"/>
    </row>
    <row r="69" spans="1:13" ht="11.45" customHeight="1" x14ac:dyDescent="0.25">
      <c r="A69" s="15">
        <v>563</v>
      </c>
      <c r="B69" s="6">
        <v>44651</v>
      </c>
      <c r="C69" s="5">
        <v>9</v>
      </c>
      <c r="D69" s="5" t="str">
        <f t="shared" si="10"/>
        <v>1428</v>
      </c>
      <c r="E69" s="7" t="str">
        <f t="shared" si="11"/>
        <v>Резервы (провизии) по займам и финансовому лизингу, предоставленным клиентам</v>
      </c>
      <c r="F69" s="5" t="str">
        <f t="shared" si="9"/>
        <v>1</v>
      </c>
      <c r="G69" s="5" t="str">
        <f>"9"</f>
        <v>9</v>
      </c>
      <c r="H69" s="5" t="str">
        <f>"3"</f>
        <v>3</v>
      </c>
      <c r="I69" s="16">
        <v>-59751.21</v>
      </c>
      <c r="K69" s="23"/>
      <c r="M69" s="24"/>
    </row>
    <row r="70" spans="1:13" ht="11.45" customHeight="1" x14ac:dyDescent="0.25">
      <c r="A70" s="15">
        <v>163</v>
      </c>
      <c r="B70" s="6">
        <v>44651</v>
      </c>
      <c r="C70" s="5">
        <v>9</v>
      </c>
      <c r="D70" s="5" t="str">
        <f t="shared" si="10"/>
        <v>1428</v>
      </c>
      <c r="E70" s="7" t="str">
        <f t="shared" si="11"/>
        <v>Резервы (провизии) по займам и финансовому лизингу, предоставленным клиентам</v>
      </c>
      <c r="F70" s="5" t="str">
        <f>"2"</f>
        <v>2</v>
      </c>
      <c r="G70" s="5" t="str">
        <f>"7"</f>
        <v>7</v>
      </c>
      <c r="H70" s="5" t="str">
        <f>"3"</f>
        <v>3</v>
      </c>
      <c r="I70" s="16">
        <v>-21723.73</v>
      </c>
      <c r="K70" s="23"/>
      <c r="M70" s="24"/>
    </row>
    <row r="71" spans="1:13" ht="11.45" customHeight="1" x14ac:dyDescent="0.25">
      <c r="A71" s="15">
        <v>559</v>
      </c>
      <c r="B71" s="6">
        <v>44651</v>
      </c>
      <c r="C71" s="5">
        <v>9</v>
      </c>
      <c r="D71" s="5" t="str">
        <f t="shared" si="10"/>
        <v>1428</v>
      </c>
      <c r="E71" s="7" t="str">
        <f t="shared" si="11"/>
        <v>Резервы (провизии) по займам и финансовому лизингу, предоставленным клиентам</v>
      </c>
      <c r="F71" s="5" t="str">
        <f>"2"</f>
        <v>2</v>
      </c>
      <c r="G71" s="5" t="str">
        <f>"9"</f>
        <v>9</v>
      </c>
      <c r="H71" s="5" t="str">
        <f t="shared" ref="H71:H78" si="12">"1"</f>
        <v>1</v>
      </c>
      <c r="I71" s="16">
        <v>-145634.70000000001</v>
      </c>
      <c r="K71" s="23"/>
      <c r="M71" s="24"/>
    </row>
    <row r="72" spans="1:13" ht="11.45" customHeight="1" x14ac:dyDescent="0.25">
      <c r="A72" s="15">
        <v>596</v>
      </c>
      <c r="B72" s="6">
        <v>44651</v>
      </c>
      <c r="C72" s="5">
        <v>9</v>
      </c>
      <c r="D72" s="5" t="str">
        <f>"1434"</f>
        <v>1434</v>
      </c>
      <c r="E72" s="7" t="str">
        <f>"Дисконт по займам, предоставленным клиентам"</f>
        <v>Дисконт по займам, предоставленным клиентам</v>
      </c>
      <c r="F72" s="5" t="str">
        <f>"1"</f>
        <v>1</v>
      </c>
      <c r="G72" s="5" t="str">
        <f>"7"</f>
        <v>7</v>
      </c>
      <c r="H72" s="5" t="str">
        <f t="shared" si="12"/>
        <v>1</v>
      </c>
      <c r="I72" s="16">
        <v>-141572048.25999999</v>
      </c>
      <c r="K72" s="23"/>
      <c r="M72" s="24"/>
    </row>
    <row r="73" spans="1:13" ht="11.45" customHeight="1" x14ac:dyDescent="0.25">
      <c r="A73" s="15">
        <v>344</v>
      </c>
      <c r="B73" s="6">
        <v>44651</v>
      </c>
      <c r="C73" s="5">
        <v>9</v>
      </c>
      <c r="D73" s="5" t="str">
        <f>"1434"</f>
        <v>1434</v>
      </c>
      <c r="E73" s="7" t="str">
        <f>"Дисконт по займам, предоставленным клиентам"</f>
        <v>Дисконт по займам, предоставленным клиентам</v>
      </c>
      <c r="F73" s="5" t="str">
        <f>"1"</f>
        <v>1</v>
      </c>
      <c r="G73" s="5" t="str">
        <f>"9"</f>
        <v>9</v>
      </c>
      <c r="H73" s="5" t="str">
        <f t="shared" si="12"/>
        <v>1</v>
      </c>
      <c r="I73" s="16">
        <v>-6441119674.5</v>
      </c>
      <c r="K73" s="23"/>
      <c r="M73" s="24"/>
    </row>
    <row r="74" spans="1:13" ht="11.45" customHeight="1" x14ac:dyDescent="0.25">
      <c r="A74" s="15">
        <v>389</v>
      </c>
      <c r="B74" s="6">
        <v>44651</v>
      </c>
      <c r="C74" s="5">
        <v>9</v>
      </c>
      <c r="D74" s="5" t="str">
        <f>"1434"</f>
        <v>1434</v>
      </c>
      <c r="E74" s="7" t="str">
        <f>"Дисконт по займам, предоставленным клиентам"</f>
        <v>Дисконт по займам, предоставленным клиентам</v>
      </c>
      <c r="F74" s="5" t="str">
        <f>"2"</f>
        <v>2</v>
      </c>
      <c r="G74" s="5" t="str">
        <f>"9"</f>
        <v>9</v>
      </c>
      <c r="H74" s="5" t="str">
        <f t="shared" si="12"/>
        <v>1</v>
      </c>
      <c r="I74" s="16">
        <v>-895.23</v>
      </c>
      <c r="K74" s="23"/>
      <c r="M74" s="24"/>
    </row>
    <row r="75" spans="1:13" ht="11.45" customHeight="1" x14ac:dyDescent="0.25">
      <c r="A75" s="15">
        <v>170</v>
      </c>
      <c r="B75" s="6">
        <v>44651</v>
      </c>
      <c r="C75" s="5">
        <v>9</v>
      </c>
      <c r="D75" s="5" t="str">
        <f>"1452"</f>
        <v>1452</v>
      </c>
      <c r="E75" s="7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5" s="5" t="str">
        <f t="shared" ref="F75:F85" si="13">"1"</f>
        <v>1</v>
      </c>
      <c r="G75" s="5" t="str">
        <f>"5"</f>
        <v>5</v>
      </c>
      <c r="H75" s="5" t="str">
        <f t="shared" si="12"/>
        <v>1</v>
      </c>
      <c r="I75" s="16">
        <v>9501000000</v>
      </c>
      <c r="K75" s="23"/>
      <c r="M75" s="24"/>
    </row>
    <row r="76" spans="1:13" ht="11.45" customHeight="1" x14ac:dyDescent="0.25">
      <c r="A76" s="15">
        <v>165</v>
      </c>
      <c r="B76" s="6">
        <v>44651</v>
      </c>
      <c r="C76" s="5">
        <v>9</v>
      </c>
      <c r="D76" s="5" t="str">
        <f>"1453"</f>
        <v>1453</v>
      </c>
      <c r="E76" s="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6" s="5" t="str">
        <f t="shared" si="13"/>
        <v>1</v>
      </c>
      <c r="G76" s="5" t="str">
        <f>"5"</f>
        <v>5</v>
      </c>
      <c r="H76" s="5" t="str">
        <f t="shared" si="12"/>
        <v>1</v>
      </c>
      <c r="I76" s="16">
        <v>-34543137.18</v>
      </c>
      <c r="K76" s="23"/>
      <c r="M76" s="24"/>
    </row>
    <row r="77" spans="1:13" ht="11.45" customHeight="1" x14ac:dyDescent="0.25">
      <c r="A77" s="15">
        <v>167</v>
      </c>
      <c r="B77" s="6">
        <v>44651</v>
      </c>
      <c r="C77" s="5">
        <v>9</v>
      </c>
      <c r="D77" s="5" t="str">
        <f>"1457"</f>
        <v>1457</v>
      </c>
      <c r="E77" s="7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77" s="5" t="str">
        <f t="shared" si="13"/>
        <v>1</v>
      </c>
      <c r="G77" s="5" t="str">
        <f>"5"</f>
        <v>5</v>
      </c>
      <c r="H77" s="5" t="str">
        <f t="shared" si="12"/>
        <v>1</v>
      </c>
      <c r="I77" s="16">
        <v>-313392983.81999999</v>
      </c>
      <c r="K77" s="23"/>
      <c r="M77" s="24"/>
    </row>
    <row r="78" spans="1:13" ht="11.45" customHeight="1" x14ac:dyDescent="0.25">
      <c r="A78" s="15">
        <v>318</v>
      </c>
      <c r="B78" s="6">
        <v>44651</v>
      </c>
      <c r="C78" s="5">
        <v>9</v>
      </c>
      <c r="D78" s="5" t="str">
        <f>"1476"</f>
        <v>1476</v>
      </c>
      <c r="E78" s="7" t="str">
        <f>"Прочие инвестиции"</f>
        <v>Прочие инвестиции</v>
      </c>
      <c r="F78" s="5" t="str">
        <f t="shared" si="13"/>
        <v>1</v>
      </c>
      <c r="G78" s="5" t="str">
        <f>"5"</f>
        <v>5</v>
      </c>
      <c r="H78" s="5" t="str">
        <f t="shared" si="12"/>
        <v>1</v>
      </c>
      <c r="I78" s="16">
        <v>200000</v>
      </c>
      <c r="K78" s="23"/>
      <c r="M78" s="24"/>
    </row>
    <row r="79" spans="1:13" ht="11.45" customHeight="1" x14ac:dyDescent="0.25">
      <c r="A79" s="15">
        <v>166</v>
      </c>
      <c r="B79" s="6">
        <v>44651</v>
      </c>
      <c r="C79" s="5">
        <v>9</v>
      </c>
      <c r="D79" s="5" t="str">
        <f>"1481"</f>
        <v>1481</v>
      </c>
      <c r="E79" s="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79" s="5" t="str">
        <f t="shared" si="13"/>
        <v>1</v>
      </c>
      <c r="G79" s="5" t="str">
        <f>"1"</f>
        <v>1</v>
      </c>
      <c r="H79" s="5" t="str">
        <f>"2"</f>
        <v>2</v>
      </c>
      <c r="I79" s="16">
        <v>42628581997.300003</v>
      </c>
      <c r="K79" s="23"/>
      <c r="M79" s="24"/>
    </row>
    <row r="80" spans="1:13" ht="11.45" customHeight="1" x14ac:dyDescent="0.25">
      <c r="A80" s="15">
        <v>41</v>
      </c>
      <c r="B80" s="6">
        <v>44651</v>
      </c>
      <c r="C80" s="5">
        <v>9</v>
      </c>
      <c r="D80" s="5" t="str">
        <f>"1482"</f>
        <v>1482</v>
      </c>
      <c r="E80" s="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80" s="5" t="str">
        <f t="shared" si="13"/>
        <v>1</v>
      </c>
      <c r="G80" s="5" t="str">
        <f>"1"</f>
        <v>1</v>
      </c>
      <c r="H80" s="5" t="str">
        <f>"2"</f>
        <v>2</v>
      </c>
      <c r="I80" s="16">
        <v>-41350076.549999997</v>
      </c>
      <c r="K80" s="23"/>
      <c r="M80" s="24"/>
    </row>
    <row r="81" spans="1:13" ht="11.45" customHeight="1" x14ac:dyDescent="0.25">
      <c r="A81" s="15">
        <v>345</v>
      </c>
      <c r="B81" s="6">
        <v>44651</v>
      </c>
      <c r="C81" s="5">
        <v>9</v>
      </c>
      <c r="D81" s="5" t="str">
        <f>"1483"</f>
        <v>1483</v>
      </c>
      <c r="E81" s="7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81" s="5" t="str">
        <f t="shared" si="13"/>
        <v>1</v>
      </c>
      <c r="G81" s="5" t="str">
        <f>"1"</f>
        <v>1</v>
      </c>
      <c r="H81" s="5" t="str">
        <f>"2"</f>
        <v>2</v>
      </c>
      <c r="I81" s="16">
        <v>2335555248.5</v>
      </c>
      <c r="K81" s="23"/>
      <c r="M81" s="24"/>
    </row>
    <row r="82" spans="1:13" ht="11.45" customHeight="1" x14ac:dyDescent="0.25">
      <c r="A82" s="15">
        <v>5</v>
      </c>
      <c r="B82" s="6">
        <v>44651</v>
      </c>
      <c r="C82" s="5">
        <v>9</v>
      </c>
      <c r="D82" s="5" t="str">
        <f>"1492"</f>
        <v>1492</v>
      </c>
      <c r="E82" s="7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82" s="5" t="str">
        <f t="shared" si="13"/>
        <v>1</v>
      </c>
      <c r="G82" s="5" t="str">
        <f>"7"</f>
        <v>7</v>
      </c>
      <c r="H82" s="5" t="str">
        <f>"1"</f>
        <v>1</v>
      </c>
      <c r="I82" s="16">
        <v>-21231412.989999998</v>
      </c>
      <c r="K82" s="23"/>
      <c r="M82" s="24"/>
    </row>
    <row r="83" spans="1:13" ht="11.45" customHeight="1" x14ac:dyDescent="0.25">
      <c r="A83" s="15">
        <v>415</v>
      </c>
      <c r="B83" s="6">
        <v>44651</v>
      </c>
      <c r="C83" s="5">
        <v>9</v>
      </c>
      <c r="D83" s="5" t="str">
        <f>"1495"</f>
        <v>1495</v>
      </c>
      <c r="E83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83" s="5" t="str">
        <f t="shared" si="13"/>
        <v>1</v>
      </c>
      <c r="G83" s="5" t="str">
        <f>"4"</f>
        <v>4</v>
      </c>
      <c r="H83" s="5" t="str">
        <f>"2"</f>
        <v>2</v>
      </c>
      <c r="I83" s="16">
        <v>-245279.06</v>
      </c>
      <c r="K83" s="23"/>
      <c r="M83" s="24"/>
    </row>
    <row r="84" spans="1:13" ht="11.45" customHeight="1" x14ac:dyDescent="0.25">
      <c r="A84" s="15">
        <v>585</v>
      </c>
      <c r="B84" s="6">
        <v>44651</v>
      </c>
      <c r="C84" s="5">
        <v>9</v>
      </c>
      <c r="D84" s="5" t="str">
        <f>"1495"</f>
        <v>1495</v>
      </c>
      <c r="E84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84" s="5" t="str">
        <f t="shared" si="13"/>
        <v>1</v>
      </c>
      <c r="G84" s="5" t="str">
        <f>"5"</f>
        <v>5</v>
      </c>
      <c r="H84" s="5" t="str">
        <f>"1"</f>
        <v>1</v>
      </c>
      <c r="I84" s="16">
        <v>-142822</v>
      </c>
      <c r="K84" s="23"/>
      <c r="M84" s="24"/>
    </row>
    <row r="85" spans="1:13" ht="11.45" customHeight="1" x14ac:dyDescent="0.25">
      <c r="A85" s="15">
        <v>172</v>
      </c>
      <c r="B85" s="6">
        <v>44651</v>
      </c>
      <c r="C85" s="5">
        <v>9</v>
      </c>
      <c r="D85" s="5" t="str">
        <f>"1495"</f>
        <v>1495</v>
      </c>
      <c r="E85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85" s="5" t="str">
        <f t="shared" si="13"/>
        <v>1</v>
      </c>
      <c r="G85" s="5" t="str">
        <f>"7"</f>
        <v>7</v>
      </c>
      <c r="H85" s="5" t="str">
        <f>"1"</f>
        <v>1</v>
      </c>
      <c r="I85" s="16">
        <v>-6465279.5300000003</v>
      </c>
      <c r="K85" s="23"/>
      <c r="M85" s="24"/>
    </row>
    <row r="86" spans="1:13" ht="11.45" customHeight="1" x14ac:dyDescent="0.25">
      <c r="A86" s="15">
        <v>564</v>
      </c>
      <c r="B86" s="6">
        <v>44651</v>
      </c>
      <c r="C86" s="5">
        <v>9</v>
      </c>
      <c r="D86" s="5" t="str">
        <f>"1495"</f>
        <v>1495</v>
      </c>
      <c r="E86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86" s="5" t="str">
        <f>"2"</f>
        <v>2</v>
      </c>
      <c r="G86" s="5" t="str">
        <f>"4"</f>
        <v>4</v>
      </c>
      <c r="H86" s="5" t="str">
        <f>"2"</f>
        <v>2</v>
      </c>
      <c r="I86" s="16">
        <v>-12920.73</v>
      </c>
      <c r="K86" s="23"/>
      <c r="M86" s="24"/>
    </row>
    <row r="87" spans="1:13" ht="11.45" customHeight="1" x14ac:dyDescent="0.25">
      <c r="A87" s="15">
        <v>173</v>
      </c>
      <c r="B87" s="6">
        <v>44651</v>
      </c>
      <c r="C87" s="5">
        <v>9</v>
      </c>
      <c r="D87" s="5" t="str">
        <f>"1495"</f>
        <v>1495</v>
      </c>
      <c r="E87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87" s="5" t="str">
        <f>"2"</f>
        <v>2</v>
      </c>
      <c r="G87" s="5" t="str">
        <f>"5"</f>
        <v>5</v>
      </c>
      <c r="H87" s="5" t="str">
        <f>"2"</f>
        <v>2</v>
      </c>
      <c r="I87" s="16">
        <v>-155869246.91</v>
      </c>
      <c r="K87" s="23"/>
      <c r="M87" s="24"/>
    </row>
    <row r="88" spans="1:13" ht="11.45" customHeight="1" x14ac:dyDescent="0.25">
      <c r="A88" s="15">
        <v>379</v>
      </c>
      <c r="B88" s="6">
        <v>44651</v>
      </c>
      <c r="C88" s="5">
        <v>9</v>
      </c>
      <c r="D88" s="5" t="str">
        <f>"1551"</f>
        <v>1551</v>
      </c>
      <c r="E88" s="7" t="str">
        <f>"Расчеты с другими банками"</f>
        <v>Расчеты с другими банками</v>
      </c>
      <c r="F88" s="5" t="str">
        <f>"1"</f>
        <v>1</v>
      </c>
      <c r="G88" s="5" t="str">
        <f>"4"</f>
        <v>4</v>
      </c>
      <c r="H88" s="5" t="str">
        <f>"1"</f>
        <v>1</v>
      </c>
      <c r="I88" s="16">
        <v>603106</v>
      </c>
      <c r="K88" s="23"/>
      <c r="M88" s="24"/>
    </row>
    <row r="89" spans="1:13" ht="11.45" customHeight="1" x14ac:dyDescent="0.25">
      <c r="A89" s="15">
        <v>43</v>
      </c>
      <c r="B89" s="6">
        <v>44651</v>
      </c>
      <c r="C89" s="5">
        <v>9</v>
      </c>
      <c r="D89" s="5" t="str">
        <f>"1602"</f>
        <v>1602</v>
      </c>
      <c r="E89" s="7" t="str">
        <f>"Прочие запасы"</f>
        <v>Прочие запасы</v>
      </c>
      <c r="F89" s="5" t="str">
        <f>""</f>
        <v/>
      </c>
      <c r="G89" s="5"/>
      <c r="H89" s="5" t="str">
        <f>""</f>
        <v/>
      </c>
      <c r="I89" s="16">
        <v>233975226.47999999</v>
      </c>
      <c r="K89" s="23"/>
      <c r="M89" s="24"/>
    </row>
    <row r="90" spans="1:13" ht="11.45" customHeight="1" x14ac:dyDescent="0.25">
      <c r="A90" s="15">
        <v>44</v>
      </c>
      <c r="B90" s="6">
        <v>44651</v>
      </c>
      <c r="C90" s="5">
        <v>9</v>
      </c>
      <c r="D90" s="5" t="str">
        <f>"1610"</f>
        <v>1610</v>
      </c>
      <c r="E90" s="7" t="str">
        <f>"Долгосрочные активы, предназначенные для продажи"</f>
        <v>Долгосрочные активы, предназначенные для продажи</v>
      </c>
      <c r="F90" s="5" t="str">
        <f>""</f>
        <v/>
      </c>
      <c r="G90" s="5"/>
      <c r="H90" s="5" t="str">
        <f>""</f>
        <v/>
      </c>
      <c r="I90" s="16">
        <v>1243110641.75</v>
      </c>
      <c r="K90" s="23"/>
      <c r="M90" s="24"/>
    </row>
    <row r="91" spans="1:13" ht="11.45" customHeight="1" x14ac:dyDescent="0.25">
      <c r="A91" s="15">
        <v>42</v>
      </c>
      <c r="B91" s="6">
        <v>44651</v>
      </c>
      <c r="C91" s="5">
        <v>9</v>
      </c>
      <c r="D91" s="5" t="str">
        <f>"1651"</f>
        <v>1651</v>
      </c>
      <c r="E91" s="7" t="str">
        <f>"Строящиеся (устанавливаемые) основные средства"</f>
        <v>Строящиеся (устанавливаемые) основные средства</v>
      </c>
      <c r="F91" s="5" t="str">
        <f>""</f>
        <v/>
      </c>
      <c r="G91" s="5"/>
      <c r="H91" s="5" t="str">
        <f>""</f>
        <v/>
      </c>
      <c r="I91" s="16">
        <v>59063715</v>
      </c>
      <c r="K91" s="23"/>
      <c r="M91" s="24"/>
    </row>
    <row r="92" spans="1:13" ht="11.45" customHeight="1" x14ac:dyDescent="0.25">
      <c r="A92" s="15">
        <v>168</v>
      </c>
      <c r="B92" s="6">
        <v>44651</v>
      </c>
      <c r="C92" s="5">
        <v>9</v>
      </c>
      <c r="D92" s="5" t="str">
        <f>"1652"</f>
        <v>1652</v>
      </c>
      <c r="E92" s="7" t="str">
        <f>"Земля, здания и сооружения"</f>
        <v>Земля, здания и сооружения</v>
      </c>
      <c r="F92" s="5" t="str">
        <f>""</f>
        <v/>
      </c>
      <c r="G92" s="5"/>
      <c r="H92" s="5" t="str">
        <f>""</f>
        <v/>
      </c>
      <c r="I92" s="16">
        <v>3097530486.9899998</v>
      </c>
      <c r="K92" s="23"/>
      <c r="M92" s="24"/>
    </row>
    <row r="93" spans="1:13" ht="11.45" customHeight="1" x14ac:dyDescent="0.25">
      <c r="A93" s="15">
        <v>169</v>
      </c>
      <c r="B93" s="6">
        <v>44651</v>
      </c>
      <c r="C93" s="5">
        <v>9</v>
      </c>
      <c r="D93" s="5" t="str">
        <f>"1653"</f>
        <v>1653</v>
      </c>
      <c r="E93" s="7" t="str">
        <f>"Компьютерное оборудование"</f>
        <v>Компьютерное оборудование</v>
      </c>
      <c r="F93" s="5" t="str">
        <f>""</f>
        <v/>
      </c>
      <c r="G93" s="5"/>
      <c r="H93" s="5" t="str">
        <f>""</f>
        <v/>
      </c>
      <c r="I93" s="16">
        <v>8293636248.1499996</v>
      </c>
      <c r="K93" s="23"/>
      <c r="M93" s="24"/>
    </row>
    <row r="94" spans="1:13" ht="11.45" customHeight="1" x14ac:dyDescent="0.25">
      <c r="A94" s="15">
        <v>175</v>
      </c>
      <c r="B94" s="6">
        <v>44651</v>
      </c>
      <c r="C94" s="5">
        <v>9</v>
      </c>
      <c r="D94" s="5" t="str">
        <f>"1654"</f>
        <v>1654</v>
      </c>
      <c r="E94" s="7" t="str">
        <f>"Прочие основные средства"</f>
        <v>Прочие основные средства</v>
      </c>
      <c r="F94" s="5" t="str">
        <f>""</f>
        <v/>
      </c>
      <c r="G94" s="5"/>
      <c r="H94" s="5" t="str">
        <f>""</f>
        <v/>
      </c>
      <c r="I94" s="16">
        <v>4361474707.0500002</v>
      </c>
      <c r="K94" s="23"/>
      <c r="M94" s="24"/>
    </row>
    <row r="95" spans="1:13" ht="11.45" customHeight="1" x14ac:dyDescent="0.25">
      <c r="A95" s="15">
        <v>171</v>
      </c>
      <c r="B95" s="6">
        <v>44651</v>
      </c>
      <c r="C95" s="5">
        <v>9</v>
      </c>
      <c r="D95" s="5" t="str">
        <f>"1655"</f>
        <v>1655</v>
      </c>
      <c r="E95" s="7" t="str">
        <f>"Активы в форме права пользования"</f>
        <v>Активы в форме права пользования</v>
      </c>
      <c r="F95" s="5" t="str">
        <f>""</f>
        <v/>
      </c>
      <c r="G95" s="5"/>
      <c r="H95" s="5" t="str">
        <f>""</f>
        <v/>
      </c>
      <c r="I95" s="16">
        <v>6813046017.3100004</v>
      </c>
      <c r="K95" s="23"/>
      <c r="M95" s="24"/>
    </row>
    <row r="96" spans="1:13" ht="11.45" customHeight="1" x14ac:dyDescent="0.25">
      <c r="A96" s="15">
        <v>48</v>
      </c>
      <c r="B96" s="6">
        <v>44651</v>
      </c>
      <c r="C96" s="5">
        <v>9</v>
      </c>
      <c r="D96" s="5" t="str">
        <f>"1657"</f>
        <v>1657</v>
      </c>
      <c r="E96" s="7" t="str">
        <f>"Капитальные затраты по активам в форме права пользования"</f>
        <v>Капитальные затраты по активам в форме права пользования</v>
      </c>
      <c r="F96" s="5" t="str">
        <f>""</f>
        <v/>
      </c>
      <c r="G96" s="5"/>
      <c r="H96" s="5" t="str">
        <f>""</f>
        <v/>
      </c>
      <c r="I96" s="16">
        <v>762528309</v>
      </c>
      <c r="K96" s="23"/>
      <c r="M96" s="24"/>
    </row>
    <row r="97" spans="1:13" ht="11.45" customHeight="1" x14ac:dyDescent="0.25">
      <c r="A97" s="15">
        <v>500</v>
      </c>
      <c r="B97" s="6">
        <v>44651</v>
      </c>
      <c r="C97" s="5">
        <v>9</v>
      </c>
      <c r="D97" s="5" t="str">
        <f>"1658"</f>
        <v>1658</v>
      </c>
      <c r="E97" s="7" t="str">
        <f>"Транспортные средства"</f>
        <v>Транспортные средства</v>
      </c>
      <c r="F97" s="5" t="str">
        <f>""</f>
        <v/>
      </c>
      <c r="G97" s="5"/>
      <c r="H97" s="5" t="str">
        <f>""</f>
        <v/>
      </c>
      <c r="I97" s="16">
        <v>37975716</v>
      </c>
      <c r="K97" s="23"/>
      <c r="M97" s="24"/>
    </row>
    <row r="98" spans="1:13" ht="11.45" customHeight="1" x14ac:dyDescent="0.25">
      <c r="A98" s="15">
        <v>45</v>
      </c>
      <c r="B98" s="6">
        <v>44651</v>
      </c>
      <c r="C98" s="5">
        <v>9</v>
      </c>
      <c r="D98" s="5" t="str">
        <f>"1659"</f>
        <v>1659</v>
      </c>
      <c r="E98" s="7" t="str">
        <f>"Нематериальные активы"</f>
        <v>Нематериальные активы</v>
      </c>
      <c r="F98" s="5" t="str">
        <f>""</f>
        <v/>
      </c>
      <c r="G98" s="5"/>
      <c r="H98" s="5" t="str">
        <f>""</f>
        <v/>
      </c>
      <c r="I98" s="16">
        <v>10887009505.08</v>
      </c>
      <c r="K98" s="23"/>
      <c r="M98" s="24"/>
    </row>
    <row r="99" spans="1:13" ht="11.45" customHeight="1" x14ac:dyDescent="0.25">
      <c r="A99" s="15">
        <v>47</v>
      </c>
      <c r="B99" s="6">
        <v>44651</v>
      </c>
      <c r="C99" s="5">
        <v>9</v>
      </c>
      <c r="D99" s="5" t="str">
        <f>"1660"</f>
        <v>1660</v>
      </c>
      <c r="E99" s="7" t="str">
        <f>"Создаваемые (разрабатываемые) нематериальные активы"</f>
        <v>Создаваемые (разрабатываемые) нематериальные активы</v>
      </c>
      <c r="F99" s="5" t="str">
        <f>""</f>
        <v/>
      </c>
      <c r="G99" s="5"/>
      <c r="H99" s="5" t="str">
        <f>""</f>
        <v/>
      </c>
      <c r="I99" s="16">
        <v>28325998.190000001</v>
      </c>
      <c r="K99" s="23"/>
      <c r="M99" s="24"/>
    </row>
    <row r="100" spans="1:13" ht="11.45" customHeight="1" x14ac:dyDescent="0.25">
      <c r="A100" s="15">
        <v>46</v>
      </c>
      <c r="B100" s="6">
        <v>44651</v>
      </c>
      <c r="C100" s="5">
        <v>9</v>
      </c>
      <c r="D100" s="5" t="str">
        <f>"1692"</f>
        <v>1692</v>
      </c>
      <c r="E100" s="7" t="str">
        <f>"Начисленная амортизация по зданиям и сооружениям"</f>
        <v>Начисленная амортизация по зданиям и сооружениям</v>
      </c>
      <c r="F100" s="5" t="str">
        <f>""</f>
        <v/>
      </c>
      <c r="G100" s="5"/>
      <c r="H100" s="5" t="str">
        <f>""</f>
        <v/>
      </c>
      <c r="I100" s="16">
        <v>-91618841.280000001</v>
      </c>
      <c r="K100" s="23"/>
      <c r="M100" s="24"/>
    </row>
    <row r="101" spans="1:13" ht="11.45" customHeight="1" x14ac:dyDescent="0.25">
      <c r="A101" s="15">
        <v>346</v>
      </c>
      <c r="B101" s="6">
        <v>44651</v>
      </c>
      <c r="C101" s="5">
        <v>9</v>
      </c>
      <c r="D101" s="5" t="str">
        <f>"1693"</f>
        <v>1693</v>
      </c>
      <c r="E101" s="7" t="str">
        <f>"Начисленная амортизация по компьютерному оборудованию"</f>
        <v>Начисленная амортизация по компьютерному оборудованию</v>
      </c>
      <c r="F101" s="5" t="str">
        <f>""</f>
        <v/>
      </c>
      <c r="G101" s="5"/>
      <c r="H101" s="5" t="str">
        <f>""</f>
        <v/>
      </c>
      <c r="I101" s="16">
        <v>-4330524982.8699999</v>
      </c>
      <c r="K101" s="23"/>
      <c r="M101" s="24"/>
    </row>
    <row r="102" spans="1:13" ht="11.45" customHeight="1" x14ac:dyDescent="0.25">
      <c r="A102" s="15">
        <v>347</v>
      </c>
      <c r="B102" s="6">
        <v>44651</v>
      </c>
      <c r="C102" s="5">
        <v>9</v>
      </c>
      <c r="D102" s="5" t="str">
        <f>"1694"</f>
        <v>1694</v>
      </c>
      <c r="E102" s="7" t="str">
        <f>"Начисленная амортизация по прочим основным средствам"</f>
        <v>Начисленная амортизация по прочим основным средствам</v>
      </c>
      <c r="F102" s="5" t="str">
        <f>""</f>
        <v/>
      </c>
      <c r="G102" s="5"/>
      <c r="H102" s="5" t="str">
        <f>""</f>
        <v/>
      </c>
      <c r="I102" s="16">
        <v>-2227361716.9200001</v>
      </c>
      <c r="K102" s="23"/>
      <c r="M102" s="24"/>
    </row>
    <row r="103" spans="1:13" ht="11.45" customHeight="1" x14ac:dyDescent="0.25">
      <c r="A103" s="15">
        <v>176</v>
      </c>
      <c r="B103" s="6">
        <v>44651</v>
      </c>
      <c r="C103" s="5">
        <v>9</v>
      </c>
      <c r="D103" s="5" t="str">
        <f>"1695"</f>
        <v>1695</v>
      </c>
      <c r="E103" s="7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03" s="5" t="str">
        <f>""</f>
        <v/>
      </c>
      <c r="G103" s="5"/>
      <c r="H103" s="5" t="str">
        <f>""</f>
        <v/>
      </c>
      <c r="I103" s="16">
        <v>-2765696129.4400001</v>
      </c>
      <c r="K103" s="23"/>
      <c r="M103" s="24"/>
    </row>
    <row r="104" spans="1:13" ht="11.45" customHeight="1" x14ac:dyDescent="0.25">
      <c r="A104" s="15">
        <v>174</v>
      </c>
      <c r="B104" s="6">
        <v>44651</v>
      </c>
      <c r="C104" s="5">
        <v>9</v>
      </c>
      <c r="D104" s="5" t="str">
        <f>"1697"</f>
        <v>1697</v>
      </c>
      <c r="E104" s="7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04" s="5" t="str">
        <f>""</f>
        <v/>
      </c>
      <c r="G104" s="5"/>
      <c r="H104" s="5" t="str">
        <f>""</f>
        <v/>
      </c>
      <c r="I104" s="16">
        <v>-618295740.82000005</v>
      </c>
      <c r="K104" s="23"/>
      <c r="M104" s="24"/>
    </row>
    <row r="105" spans="1:13" ht="11.45" customHeight="1" x14ac:dyDescent="0.25">
      <c r="A105" s="15">
        <v>416</v>
      </c>
      <c r="B105" s="6">
        <v>44651</v>
      </c>
      <c r="C105" s="5">
        <v>9</v>
      </c>
      <c r="D105" s="5" t="str">
        <f>"1698"</f>
        <v>1698</v>
      </c>
      <c r="E105" s="7" t="str">
        <f>"Начисленная амортизация по транспортным средствам"</f>
        <v>Начисленная амортизация по транспортным средствам</v>
      </c>
      <c r="F105" s="5" t="str">
        <f>""</f>
        <v/>
      </c>
      <c r="G105" s="5"/>
      <c r="H105" s="5" t="str">
        <f>""</f>
        <v/>
      </c>
      <c r="I105" s="16">
        <v>-27624156.77</v>
      </c>
      <c r="K105" s="23"/>
      <c r="M105" s="24"/>
    </row>
    <row r="106" spans="1:13" ht="11.45" customHeight="1" x14ac:dyDescent="0.25">
      <c r="A106" s="15">
        <v>390</v>
      </c>
      <c r="B106" s="6">
        <v>44651</v>
      </c>
      <c r="C106" s="5">
        <v>9</v>
      </c>
      <c r="D106" s="5" t="str">
        <f>"1699"</f>
        <v>1699</v>
      </c>
      <c r="E106" s="7" t="str">
        <f>"Начисленная амортизация по нематериальным активам"</f>
        <v>Начисленная амортизация по нематериальным активам</v>
      </c>
      <c r="F106" s="5" t="str">
        <f>""</f>
        <v/>
      </c>
      <c r="G106" s="5"/>
      <c r="H106" s="5" t="str">
        <f>""</f>
        <v/>
      </c>
      <c r="I106" s="16">
        <v>-4088265513.3099999</v>
      </c>
      <c r="K106" s="23"/>
      <c r="M106" s="24"/>
    </row>
    <row r="107" spans="1:13" ht="11.45" customHeight="1" x14ac:dyDescent="0.25">
      <c r="A107" s="15">
        <v>417</v>
      </c>
      <c r="B107" s="6">
        <v>44651</v>
      </c>
      <c r="C107" s="5">
        <v>9</v>
      </c>
      <c r="D107" s="5" t="str">
        <f>"1705"</f>
        <v>1705</v>
      </c>
      <c r="E107" s="7" t="str">
        <f>"Начисленные доходы по корреспондентским счетам"</f>
        <v>Начисленные доходы по корреспондентским счетам</v>
      </c>
      <c r="F107" s="5" t="str">
        <f>"2"</f>
        <v>2</v>
      </c>
      <c r="G107" s="5" t="str">
        <f>"4"</f>
        <v>4</v>
      </c>
      <c r="H107" s="5" t="str">
        <f>"2"</f>
        <v>2</v>
      </c>
      <c r="I107" s="16">
        <v>1675255.98</v>
      </c>
      <c r="K107" s="23"/>
      <c r="M107" s="24"/>
    </row>
    <row r="108" spans="1:13" ht="11.45" customHeight="1" x14ac:dyDescent="0.25">
      <c r="A108" s="15">
        <v>49</v>
      </c>
      <c r="B108" s="6">
        <v>44651</v>
      </c>
      <c r="C108" s="5">
        <v>9</v>
      </c>
      <c r="D108" s="5" t="str">
        <f>"1705"</f>
        <v>1705</v>
      </c>
      <c r="E108" s="7" t="str">
        <f>"Начисленные доходы по корреспондентским счетам"</f>
        <v>Начисленные доходы по корреспондентским счетам</v>
      </c>
      <c r="F108" s="5" t="str">
        <f>"2"</f>
        <v>2</v>
      </c>
      <c r="G108" s="5" t="str">
        <f>"4"</f>
        <v>4</v>
      </c>
      <c r="H108" s="5" t="str">
        <f>"3"</f>
        <v>3</v>
      </c>
      <c r="I108" s="16">
        <v>6336167.5999999996</v>
      </c>
      <c r="K108" s="23"/>
      <c r="M108" s="24"/>
    </row>
    <row r="109" spans="1:13" ht="11.45" customHeight="1" x14ac:dyDescent="0.25">
      <c r="A109" s="15">
        <v>6</v>
      </c>
      <c r="B109" s="6">
        <v>44651</v>
      </c>
      <c r="C109" s="5">
        <v>9</v>
      </c>
      <c r="D109" s="5" t="str">
        <f>"1725"</f>
        <v>1725</v>
      </c>
      <c r="E109" s="7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09" s="5" t="str">
        <f>"1"</f>
        <v>1</v>
      </c>
      <c r="G109" s="5" t="str">
        <f>"4"</f>
        <v>4</v>
      </c>
      <c r="H109" s="5" t="str">
        <f>"2"</f>
        <v>2</v>
      </c>
      <c r="I109" s="16">
        <v>89764675</v>
      </c>
      <c r="K109" s="23"/>
      <c r="M109" s="24"/>
    </row>
    <row r="110" spans="1:13" ht="11.45" customHeight="1" x14ac:dyDescent="0.25">
      <c r="A110" s="15">
        <v>560</v>
      </c>
      <c r="B110" s="6">
        <v>44651</v>
      </c>
      <c r="C110" s="5">
        <v>9</v>
      </c>
      <c r="D110" s="5" t="str">
        <f>"1728"</f>
        <v>1728</v>
      </c>
      <c r="E110" s="7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10" s="5" t="str">
        <f>"2"</f>
        <v>2</v>
      </c>
      <c r="G110" s="5" t="str">
        <f>"5"</f>
        <v>5</v>
      </c>
      <c r="H110" s="5" t="str">
        <f>"2"</f>
        <v>2</v>
      </c>
      <c r="I110" s="16">
        <v>118932533.37</v>
      </c>
      <c r="K110" s="23"/>
      <c r="M110" s="24"/>
    </row>
    <row r="111" spans="1:13" ht="11.45" customHeight="1" x14ac:dyDescent="0.25">
      <c r="A111" s="15">
        <v>320</v>
      </c>
      <c r="B111" s="6">
        <v>44651</v>
      </c>
      <c r="C111" s="5">
        <v>9</v>
      </c>
      <c r="D111" s="5" t="str">
        <f>"1730"</f>
        <v>1730</v>
      </c>
      <c r="E111" s="7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11" s="5" t="str">
        <f>"2"</f>
        <v>2</v>
      </c>
      <c r="G111" s="5" t="str">
        <f>"4"</f>
        <v>4</v>
      </c>
      <c r="H111" s="5" t="str">
        <f>"2"</f>
        <v>2</v>
      </c>
      <c r="I111" s="16">
        <v>59578065</v>
      </c>
      <c r="K111" s="23"/>
      <c r="M111" s="24"/>
    </row>
    <row r="112" spans="1:13" ht="11.45" customHeight="1" x14ac:dyDescent="0.25">
      <c r="A112" s="15">
        <v>319</v>
      </c>
      <c r="B112" s="6">
        <v>44651</v>
      </c>
      <c r="C112" s="5">
        <v>9</v>
      </c>
      <c r="D112" s="5" t="str">
        <f>"1730"</f>
        <v>1730</v>
      </c>
      <c r="E112" s="7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12" s="5" t="str">
        <f>"2"</f>
        <v>2</v>
      </c>
      <c r="G112" s="5" t="str">
        <f>"4"</f>
        <v>4</v>
      </c>
      <c r="H112" s="5" t="str">
        <f>"3"</f>
        <v>3</v>
      </c>
      <c r="I112" s="16">
        <v>4536990.6500000004</v>
      </c>
      <c r="K112" s="23"/>
      <c r="M112" s="24"/>
    </row>
    <row r="113" spans="1:13" ht="11.45" customHeight="1" x14ac:dyDescent="0.25">
      <c r="A113" s="15">
        <v>526</v>
      </c>
      <c r="B113" s="6">
        <v>44651</v>
      </c>
      <c r="C113" s="5">
        <v>9</v>
      </c>
      <c r="D113" s="5" t="str">
        <f t="shared" ref="D113:D122" si="14">"1740"</f>
        <v>1740</v>
      </c>
      <c r="E113" s="7" t="str">
        <f t="shared" ref="E113:E122" si="15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13" s="5" t="str">
        <f t="shared" ref="F113:F120" si="16">"1"</f>
        <v>1</v>
      </c>
      <c r="G113" s="5" t="str">
        <f>"5"</f>
        <v>5</v>
      </c>
      <c r="H113" s="5" t="str">
        <f>"1"</f>
        <v>1</v>
      </c>
      <c r="I113" s="16">
        <v>38194444.43</v>
      </c>
      <c r="K113" s="23"/>
      <c r="M113" s="24"/>
    </row>
    <row r="114" spans="1:13" ht="11.45" customHeight="1" x14ac:dyDescent="0.25">
      <c r="A114" s="15">
        <v>565</v>
      </c>
      <c r="B114" s="6">
        <v>44651</v>
      </c>
      <c r="C114" s="5">
        <v>9</v>
      </c>
      <c r="D114" s="5" t="str">
        <f t="shared" si="14"/>
        <v>1740</v>
      </c>
      <c r="E114" s="7" t="str">
        <f t="shared" si="15"/>
        <v>Начисленные доходы по займам и финансовому лизингу, предоставленным клиентам</v>
      </c>
      <c r="F114" s="5" t="str">
        <f t="shared" si="16"/>
        <v>1</v>
      </c>
      <c r="G114" s="5" t="str">
        <f>"6"</f>
        <v>6</v>
      </c>
      <c r="H114" s="5" t="str">
        <f>"1"</f>
        <v>1</v>
      </c>
      <c r="I114" s="16">
        <v>27375616.82</v>
      </c>
      <c r="K114" s="23"/>
      <c r="M114" s="24"/>
    </row>
    <row r="115" spans="1:13" ht="11.45" customHeight="1" x14ac:dyDescent="0.25">
      <c r="A115" s="15">
        <v>177</v>
      </c>
      <c r="B115" s="6">
        <v>44651</v>
      </c>
      <c r="C115" s="5">
        <v>9</v>
      </c>
      <c r="D115" s="5" t="str">
        <f t="shared" si="14"/>
        <v>1740</v>
      </c>
      <c r="E115" s="7" t="str">
        <f t="shared" si="15"/>
        <v>Начисленные доходы по займам и финансовому лизингу, предоставленным клиентам</v>
      </c>
      <c r="F115" s="5" t="str">
        <f t="shared" si="16"/>
        <v>1</v>
      </c>
      <c r="G115" s="5" t="str">
        <f>"7"</f>
        <v>7</v>
      </c>
      <c r="H115" s="5" t="str">
        <f>"1"</f>
        <v>1</v>
      </c>
      <c r="I115" s="16">
        <v>1408238900.52</v>
      </c>
      <c r="K115" s="23"/>
      <c r="M115" s="24"/>
    </row>
    <row r="116" spans="1:13" ht="11.45" customHeight="1" x14ac:dyDescent="0.25">
      <c r="A116" s="15">
        <v>313</v>
      </c>
      <c r="B116" s="6">
        <v>44651</v>
      </c>
      <c r="C116" s="5">
        <v>9</v>
      </c>
      <c r="D116" s="5" t="str">
        <f t="shared" si="14"/>
        <v>1740</v>
      </c>
      <c r="E116" s="7" t="str">
        <f t="shared" si="15"/>
        <v>Начисленные доходы по займам и финансовому лизингу, предоставленным клиентам</v>
      </c>
      <c r="F116" s="5" t="str">
        <f t="shared" si="16"/>
        <v>1</v>
      </c>
      <c r="G116" s="5" t="str">
        <f>"7"</f>
        <v>7</v>
      </c>
      <c r="H116" s="5" t="str">
        <f>"2"</f>
        <v>2</v>
      </c>
      <c r="I116" s="16">
        <v>53234098.780000001</v>
      </c>
      <c r="K116" s="23"/>
      <c r="M116" s="24"/>
    </row>
    <row r="117" spans="1:13" ht="11.45" customHeight="1" x14ac:dyDescent="0.25">
      <c r="A117" s="15">
        <v>587</v>
      </c>
      <c r="B117" s="6">
        <v>44651</v>
      </c>
      <c r="C117" s="5">
        <v>9</v>
      </c>
      <c r="D117" s="5" t="str">
        <f t="shared" si="14"/>
        <v>1740</v>
      </c>
      <c r="E117" s="7" t="str">
        <f t="shared" si="15"/>
        <v>Начисленные доходы по займам и финансовому лизингу, предоставленным клиентам</v>
      </c>
      <c r="F117" s="5" t="str">
        <f t="shared" si="16"/>
        <v>1</v>
      </c>
      <c r="G117" s="5" t="str">
        <f>"7"</f>
        <v>7</v>
      </c>
      <c r="H117" s="5" t="str">
        <f>"3"</f>
        <v>3</v>
      </c>
      <c r="I117" s="16">
        <v>1111789.01</v>
      </c>
      <c r="K117" s="23"/>
      <c r="M117" s="24"/>
    </row>
    <row r="118" spans="1:13" ht="11.45" customHeight="1" x14ac:dyDescent="0.25">
      <c r="A118" s="15">
        <v>7</v>
      </c>
      <c r="B118" s="6">
        <v>44651</v>
      </c>
      <c r="C118" s="5">
        <v>9</v>
      </c>
      <c r="D118" s="5" t="str">
        <f t="shared" si="14"/>
        <v>1740</v>
      </c>
      <c r="E118" s="7" t="str">
        <f t="shared" si="15"/>
        <v>Начисленные доходы по займам и финансовому лизингу, предоставленным клиентам</v>
      </c>
      <c r="F118" s="5" t="str">
        <f t="shared" si="16"/>
        <v>1</v>
      </c>
      <c r="G118" s="5" t="str">
        <f>"9"</f>
        <v>9</v>
      </c>
      <c r="H118" s="5" t="str">
        <f>"1"</f>
        <v>1</v>
      </c>
      <c r="I118" s="16">
        <v>2892112205.5100002</v>
      </c>
      <c r="K118" s="23"/>
      <c r="M118" s="24"/>
    </row>
    <row r="119" spans="1:13" ht="11.45" customHeight="1" x14ac:dyDescent="0.25">
      <c r="A119" s="15">
        <v>418</v>
      </c>
      <c r="B119" s="6">
        <v>44651</v>
      </c>
      <c r="C119" s="5">
        <v>9</v>
      </c>
      <c r="D119" s="5" t="str">
        <f t="shared" si="14"/>
        <v>1740</v>
      </c>
      <c r="E119" s="7" t="str">
        <f t="shared" si="15"/>
        <v>Начисленные доходы по займам и финансовому лизингу, предоставленным клиентам</v>
      </c>
      <c r="F119" s="5" t="str">
        <f t="shared" si="16"/>
        <v>1</v>
      </c>
      <c r="G119" s="5" t="str">
        <f>"9"</f>
        <v>9</v>
      </c>
      <c r="H119" s="5" t="str">
        <f>"2"</f>
        <v>2</v>
      </c>
      <c r="I119" s="16">
        <v>1351.93</v>
      </c>
      <c r="K119" s="23"/>
      <c r="M119" s="24"/>
    </row>
    <row r="120" spans="1:13" ht="11.45" customHeight="1" x14ac:dyDescent="0.25">
      <c r="A120" s="15">
        <v>50</v>
      </c>
      <c r="B120" s="6">
        <v>44651</v>
      </c>
      <c r="C120" s="5">
        <v>9</v>
      </c>
      <c r="D120" s="5" t="str">
        <f t="shared" si="14"/>
        <v>1740</v>
      </c>
      <c r="E120" s="7" t="str">
        <f t="shared" si="15"/>
        <v>Начисленные доходы по займам и финансовому лизингу, предоставленным клиентам</v>
      </c>
      <c r="F120" s="5" t="str">
        <f t="shared" si="16"/>
        <v>1</v>
      </c>
      <c r="G120" s="5" t="str">
        <f>"9"</f>
        <v>9</v>
      </c>
      <c r="H120" s="5" t="str">
        <f>"3"</f>
        <v>3</v>
      </c>
      <c r="I120" s="16">
        <v>1767395.87</v>
      </c>
      <c r="K120" s="23"/>
      <c r="M120" s="24"/>
    </row>
    <row r="121" spans="1:13" ht="11.45" customHeight="1" x14ac:dyDescent="0.25">
      <c r="A121" s="15">
        <v>51</v>
      </c>
      <c r="B121" s="6">
        <v>44651</v>
      </c>
      <c r="C121" s="5">
        <v>9</v>
      </c>
      <c r="D121" s="5" t="str">
        <f t="shared" si="14"/>
        <v>1740</v>
      </c>
      <c r="E121" s="7" t="str">
        <f t="shared" si="15"/>
        <v>Начисленные доходы по займам и финансовому лизингу, предоставленным клиентам</v>
      </c>
      <c r="F121" s="5" t="str">
        <f>"2"</f>
        <v>2</v>
      </c>
      <c r="G121" s="5" t="str">
        <f>"7"</f>
        <v>7</v>
      </c>
      <c r="H121" s="5" t="str">
        <f>"3"</f>
        <v>3</v>
      </c>
      <c r="I121" s="16">
        <v>271561.68</v>
      </c>
      <c r="K121" s="23"/>
      <c r="M121" s="24"/>
    </row>
    <row r="122" spans="1:13" ht="11.45" customHeight="1" x14ac:dyDescent="0.25">
      <c r="A122" s="15">
        <v>178</v>
      </c>
      <c r="B122" s="6">
        <v>44651</v>
      </c>
      <c r="C122" s="5">
        <v>9</v>
      </c>
      <c r="D122" s="5" t="str">
        <f t="shared" si="14"/>
        <v>1740</v>
      </c>
      <c r="E122" s="7" t="str">
        <f t="shared" si="15"/>
        <v>Начисленные доходы по займам и финансовому лизингу, предоставленным клиентам</v>
      </c>
      <c r="F122" s="5" t="str">
        <f>"2"</f>
        <v>2</v>
      </c>
      <c r="G122" s="5" t="str">
        <f>"9"</f>
        <v>9</v>
      </c>
      <c r="H122" s="5" t="str">
        <f>"1"</f>
        <v>1</v>
      </c>
      <c r="I122" s="16">
        <v>14244.97</v>
      </c>
      <c r="K122" s="23"/>
      <c r="M122" s="24"/>
    </row>
    <row r="123" spans="1:13" ht="11.45" customHeight="1" x14ac:dyDescent="0.25">
      <c r="A123" s="15">
        <v>588</v>
      </c>
      <c r="B123" s="6">
        <v>44651</v>
      </c>
      <c r="C123" s="5">
        <v>9</v>
      </c>
      <c r="D123" s="5" t="str">
        <f>"1741"</f>
        <v>1741</v>
      </c>
      <c r="E123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3" s="5" t="str">
        <f t="shared" ref="F123:F132" si="17">"1"</f>
        <v>1</v>
      </c>
      <c r="G123" s="5" t="str">
        <f>"7"</f>
        <v>7</v>
      </c>
      <c r="H123" s="5" t="str">
        <f>"1"</f>
        <v>1</v>
      </c>
      <c r="I123" s="16">
        <v>175949745.15000001</v>
      </c>
      <c r="K123" s="23"/>
      <c r="M123" s="24"/>
    </row>
    <row r="124" spans="1:13" ht="11.45" customHeight="1" x14ac:dyDescent="0.25">
      <c r="A124" s="15">
        <v>535</v>
      </c>
      <c r="B124" s="6">
        <v>44651</v>
      </c>
      <c r="C124" s="5">
        <v>9</v>
      </c>
      <c r="D124" s="5" t="str">
        <f>"1741"</f>
        <v>1741</v>
      </c>
      <c r="E124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4" s="5" t="str">
        <f t="shared" si="17"/>
        <v>1</v>
      </c>
      <c r="G124" s="5" t="str">
        <f>"9"</f>
        <v>9</v>
      </c>
      <c r="H124" s="5" t="str">
        <f>"1"</f>
        <v>1</v>
      </c>
      <c r="I124" s="16">
        <v>2137512365.8699999</v>
      </c>
      <c r="K124" s="23"/>
      <c r="M124" s="24"/>
    </row>
    <row r="125" spans="1:13" ht="11.45" customHeight="1" x14ac:dyDescent="0.25">
      <c r="A125" s="15">
        <v>181</v>
      </c>
      <c r="B125" s="6">
        <v>44651</v>
      </c>
      <c r="C125" s="5">
        <v>9</v>
      </c>
      <c r="D125" s="5" t="str">
        <f>"1745"</f>
        <v>1745</v>
      </c>
      <c r="E125" s="7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25" s="5" t="str">
        <f t="shared" si="17"/>
        <v>1</v>
      </c>
      <c r="G125" s="5" t="str">
        <f>"1"</f>
        <v>1</v>
      </c>
      <c r="H125" s="5" t="str">
        <f>"2"</f>
        <v>2</v>
      </c>
      <c r="I125" s="16">
        <v>668205550.09000003</v>
      </c>
      <c r="K125" s="23"/>
      <c r="M125" s="24"/>
    </row>
    <row r="126" spans="1:13" ht="11.45" customHeight="1" x14ac:dyDescent="0.25">
      <c r="A126" s="15">
        <v>8</v>
      </c>
      <c r="B126" s="6">
        <v>44651</v>
      </c>
      <c r="C126" s="5">
        <v>9</v>
      </c>
      <c r="D126" s="5" t="str">
        <f>"1746"</f>
        <v>1746</v>
      </c>
      <c r="E126" s="7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26" s="5" t="str">
        <f t="shared" si="17"/>
        <v>1</v>
      </c>
      <c r="G126" s="5" t="str">
        <f>"5"</f>
        <v>5</v>
      </c>
      <c r="H126" s="5" t="str">
        <f>"1"</f>
        <v>1</v>
      </c>
      <c r="I126" s="16">
        <v>363545208.32999998</v>
      </c>
      <c r="K126" s="23"/>
      <c r="M126" s="24"/>
    </row>
    <row r="127" spans="1:13" ht="11.45" customHeight="1" x14ac:dyDescent="0.25">
      <c r="A127" s="15">
        <v>9</v>
      </c>
      <c r="B127" s="6">
        <v>44651</v>
      </c>
      <c r="C127" s="5">
        <v>9</v>
      </c>
      <c r="D127" s="5" t="str">
        <f t="shared" ref="D127:D135" si="18">"1793"</f>
        <v>1793</v>
      </c>
      <c r="E127" s="7" t="str">
        <f t="shared" ref="E127:E135" si="19">"Расходы будущих периодов"</f>
        <v>Расходы будущих периодов</v>
      </c>
      <c r="F127" s="5" t="str">
        <f t="shared" si="17"/>
        <v>1</v>
      </c>
      <c r="G127" s="5" t="str">
        <f>"4"</f>
        <v>4</v>
      </c>
      <c r="H127" s="5" t="str">
        <f>"1"</f>
        <v>1</v>
      </c>
      <c r="I127" s="16">
        <v>33693400</v>
      </c>
      <c r="K127" s="23"/>
      <c r="M127" s="24"/>
    </row>
    <row r="128" spans="1:13" ht="11.45" customHeight="1" x14ac:dyDescent="0.25">
      <c r="A128" s="15">
        <v>536</v>
      </c>
      <c r="B128" s="6">
        <v>44651</v>
      </c>
      <c r="C128" s="5">
        <v>9</v>
      </c>
      <c r="D128" s="5" t="str">
        <f t="shared" si="18"/>
        <v>1793</v>
      </c>
      <c r="E128" s="7" t="str">
        <f t="shared" si="19"/>
        <v>Расходы будущих периодов</v>
      </c>
      <c r="F128" s="5" t="str">
        <f t="shared" si="17"/>
        <v>1</v>
      </c>
      <c r="G128" s="5" t="str">
        <f>"4"</f>
        <v>4</v>
      </c>
      <c r="H128" s="5" t="str">
        <f>"2"</f>
        <v>2</v>
      </c>
      <c r="I128" s="16">
        <v>2098395</v>
      </c>
      <c r="K128" s="23"/>
      <c r="M128" s="24"/>
    </row>
    <row r="129" spans="1:13" ht="11.45" customHeight="1" x14ac:dyDescent="0.25">
      <c r="A129" s="15">
        <v>52</v>
      </c>
      <c r="B129" s="6">
        <v>44651</v>
      </c>
      <c r="C129" s="5">
        <v>9</v>
      </c>
      <c r="D129" s="5" t="str">
        <f t="shared" si="18"/>
        <v>1793</v>
      </c>
      <c r="E129" s="7" t="str">
        <f t="shared" si="19"/>
        <v>Расходы будущих периодов</v>
      </c>
      <c r="F129" s="5" t="str">
        <f t="shared" si="17"/>
        <v>1</v>
      </c>
      <c r="G129" s="5" t="str">
        <f>"5"</f>
        <v>5</v>
      </c>
      <c r="H129" s="5" t="str">
        <f t="shared" ref="H129:H139" si="20">"1"</f>
        <v>1</v>
      </c>
      <c r="I129" s="16">
        <v>40156315.719999999</v>
      </c>
      <c r="K129" s="23"/>
      <c r="M129" s="24"/>
    </row>
    <row r="130" spans="1:13" ht="11.45" customHeight="1" x14ac:dyDescent="0.25">
      <c r="A130" s="15">
        <v>180</v>
      </c>
      <c r="B130" s="6">
        <v>44651</v>
      </c>
      <c r="C130" s="5">
        <v>9</v>
      </c>
      <c r="D130" s="5" t="str">
        <f t="shared" si="18"/>
        <v>1793</v>
      </c>
      <c r="E130" s="7" t="str">
        <f t="shared" si="19"/>
        <v>Расходы будущих периодов</v>
      </c>
      <c r="F130" s="5" t="str">
        <f t="shared" si="17"/>
        <v>1</v>
      </c>
      <c r="G130" s="5" t="str">
        <f>"7"</f>
        <v>7</v>
      </c>
      <c r="H130" s="5" t="str">
        <f t="shared" si="20"/>
        <v>1</v>
      </c>
      <c r="I130" s="16">
        <v>725847422.25</v>
      </c>
      <c r="K130" s="23"/>
      <c r="M130" s="24"/>
    </row>
    <row r="131" spans="1:13" ht="11.45" customHeight="1" x14ac:dyDescent="0.25">
      <c r="A131" s="15">
        <v>182</v>
      </c>
      <c r="B131" s="6">
        <v>44651</v>
      </c>
      <c r="C131" s="5">
        <v>9</v>
      </c>
      <c r="D131" s="5" t="str">
        <f t="shared" si="18"/>
        <v>1793</v>
      </c>
      <c r="E131" s="7" t="str">
        <f t="shared" si="19"/>
        <v>Расходы будущих периодов</v>
      </c>
      <c r="F131" s="5" t="str">
        <f t="shared" si="17"/>
        <v>1</v>
      </c>
      <c r="G131" s="5" t="str">
        <f>"8"</f>
        <v>8</v>
      </c>
      <c r="H131" s="5" t="str">
        <f t="shared" si="20"/>
        <v>1</v>
      </c>
      <c r="I131" s="16">
        <v>8035667.4800000004</v>
      </c>
      <c r="K131" s="23"/>
      <c r="M131" s="24"/>
    </row>
    <row r="132" spans="1:13" ht="11.45" customHeight="1" x14ac:dyDescent="0.25">
      <c r="A132" s="15">
        <v>179</v>
      </c>
      <c r="B132" s="6">
        <v>44651</v>
      </c>
      <c r="C132" s="5">
        <v>9</v>
      </c>
      <c r="D132" s="5" t="str">
        <f t="shared" si="18"/>
        <v>1793</v>
      </c>
      <c r="E132" s="7" t="str">
        <f t="shared" si="19"/>
        <v>Расходы будущих периодов</v>
      </c>
      <c r="F132" s="5" t="str">
        <f t="shared" si="17"/>
        <v>1</v>
      </c>
      <c r="G132" s="5" t="str">
        <f>"9"</f>
        <v>9</v>
      </c>
      <c r="H132" s="5" t="str">
        <f t="shared" si="20"/>
        <v>1</v>
      </c>
      <c r="I132" s="16">
        <v>237311.84</v>
      </c>
      <c r="K132" s="23"/>
      <c r="M132" s="24"/>
    </row>
    <row r="133" spans="1:13" ht="11.45" customHeight="1" x14ac:dyDescent="0.25">
      <c r="A133" s="15">
        <v>479</v>
      </c>
      <c r="B133" s="6">
        <v>44651</v>
      </c>
      <c r="C133" s="5">
        <v>9</v>
      </c>
      <c r="D133" s="5" t="str">
        <f t="shared" si="18"/>
        <v>1793</v>
      </c>
      <c r="E133" s="7" t="str">
        <f t="shared" si="19"/>
        <v>Расходы будущих периодов</v>
      </c>
      <c r="F133" s="5" t="str">
        <f>"2"</f>
        <v>2</v>
      </c>
      <c r="G133" s="5" t="str">
        <f>"4"</f>
        <v>4</v>
      </c>
      <c r="H133" s="5" t="str">
        <f t="shared" si="20"/>
        <v>1</v>
      </c>
      <c r="I133" s="16">
        <v>337500</v>
      </c>
      <c r="K133" s="23"/>
      <c r="M133" s="24"/>
    </row>
    <row r="134" spans="1:13" ht="11.45" customHeight="1" x14ac:dyDescent="0.25">
      <c r="A134" s="15">
        <v>380</v>
      </c>
      <c r="B134" s="6">
        <v>44651</v>
      </c>
      <c r="C134" s="5">
        <v>9</v>
      </c>
      <c r="D134" s="5" t="str">
        <f t="shared" si="18"/>
        <v>1793</v>
      </c>
      <c r="E134" s="7" t="str">
        <f t="shared" si="19"/>
        <v>Расходы будущих периодов</v>
      </c>
      <c r="F134" s="5" t="str">
        <f>"2"</f>
        <v>2</v>
      </c>
      <c r="G134" s="5" t="str">
        <f>"7"</f>
        <v>7</v>
      </c>
      <c r="H134" s="5" t="str">
        <f t="shared" si="20"/>
        <v>1</v>
      </c>
      <c r="I134" s="16">
        <v>268457581.48000002</v>
      </c>
      <c r="K134" s="23"/>
      <c r="M134" s="24"/>
    </row>
    <row r="135" spans="1:13" ht="11.45" customHeight="1" x14ac:dyDescent="0.25">
      <c r="A135" s="15">
        <v>466</v>
      </c>
      <c r="B135" s="6">
        <v>44651</v>
      </c>
      <c r="C135" s="5">
        <v>9</v>
      </c>
      <c r="D135" s="5" t="str">
        <f t="shared" si="18"/>
        <v>1793</v>
      </c>
      <c r="E135" s="7" t="str">
        <f t="shared" si="19"/>
        <v>Расходы будущих периодов</v>
      </c>
      <c r="F135" s="5" t="str">
        <f>"2"</f>
        <v>2</v>
      </c>
      <c r="G135" s="5" t="str">
        <f>"9"</f>
        <v>9</v>
      </c>
      <c r="H135" s="5" t="str">
        <f t="shared" si="20"/>
        <v>1</v>
      </c>
      <c r="I135" s="16">
        <v>24595.119999999999</v>
      </c>
      <c r="K135" s="23"/>
      <c r="M135" s="24"/>
    </row>
    <row r="136" spans="1:13" ht="11.45" customHeight="1" x14ac:dyDescent="0.25">
      <c r="A136" s="15">
        <v>185</v>
      </c>
      <c r="B136" s="6">
        <v>44651</v>
      </c>
      <c r="C136" s="5">
        <v>9</v>
      </c>
      <c r="D136" s="5" t="str">
        <f>"1799"</f>
        <v>1799</v>
      </c>
      <c r="E136" s="7" t="str">
        <f>"Прочие предоплаты"</f>
        <v>Прочие предоплаты</v>
      </c>
      <c r="F136" s="5" t="str">
        <f>"1"</f>
        <v>1</v>
      </c>
      <c r="G136" s="5" t="str">
        <f>"7"</f>
        <v>7</v>
      </c>
      <c r="H136" s="5" t="str">
        <f t="shared" si="20"/>
        <v>1</v>
      </c>
      <c r="I136" s="16">
        <v>238060849.08000001</v>
      </c>
      <c r="K136" s="23"/>
      <c r="M136" s="24"/>
    </row>
    <row r="137" spans="1:13" ht="11.45" customHeight="1" x14ac:dyDescent="0.25">
      <c r="A137" s="15">
        <v>54</v>
      </c>
      <c r="B137" s="6">
        <v>44651</v>
      </c>
      <c r="C137" s="5">
        <v>9</v>
      </c>
      <c r="D137" s="5" t="str">
        <f>"1799"</f>
        <v>1799</v>
      </c>
      <c r="E137" s="7" t="str">
        <f>"Прочие предоплаты"</f>
        <v>Прочие предоплаты</v>
      </c>
      <c r="F137" s="5" t="str">
        <f>"1"</f>
        <v>1</v>
      </c>
      <c r="G137" s="5" t="str">
        <f>"9"</f>
        <v>9</v>
      </c>
      <c r="H137" s="5" t="str">
        <f t="shared" si="20"/>
        <v>1</v>
      </c>
      <c r="I137" s="16">
        <v>25211600</v>
      </c>
      <c r="K137" s="23"/>
      <c r="M137" s="24"/>
    </row>
    <row r="138" spans="1:13" ht="11.45" customHeight="1" x14ac:dyDescent="0.25">
      <c r="A138" s="15">
        <v>501</v>
      </c>
      <c r="B138" s="6">
        <v>44651</v>
      </c>
      <c r="C138" s="5">
        <v>9</v>
      </c>
      <c r="D138" s="5" t="str">
        <f>"1799"</f>
        <v>1799</v>
      </c>
      <c r="E138" s="7" t="str">
        <f>"Прочие предоплаты"</f>
        <v>Прочие предоплаты</v>
      </c>
      <c r="F138" s="5" t="str">
        <f>"2"</f>
        <v>2</v>
      </c>
      <c r="G138" s="5" t="str">
        <f>"4"</f>
        <v>4</v>
      </c>
      <c r="H138" s="5" t="str">
        <f t="shared" si="20"/>
        <v>1</v>
      </c>
      <c r="I138" s="16">
        <v>201707</v>
      </c>
      <c r="K138" s="23"/>
      <c r="M138" s="24"/>
    </row>
    <row r="139" spans="1:13" ht="11.45" customHeight="1" x14ac:dyDescent="0.25">
      <c r="A139" s="15">
        <v>589</v>
      </c>
      <c r="B139" s="6">
        <v>44651</v>
      </c>
      <c r="C139" s="5">
        <v>9</v>
      </c>
      <c r="D139" s="5" t="str">
        <f>"1799"</f>
        <v>1799</v>
      </c>
      <c r="E139" s="7" t="str">
        <f>"Прочие предоплаты"</f>
        <v>Прочие предоплаты</v>
      </c>
      <c r="F139" s="5" t="str">
        <f>"2"</f>
        <v>2</v>
      </c>
      <c r="G139" s="5" t="str">
        <f>"7"</f>
        <v>7</v>
      </c>
      <c r="H139" s="5" t="str">
        <f t="shared" si="20"/>
        <v>1</v>
      </c>
      <c r="I139" s="16">
        <v>41817648.049999997</v>
      </c>
      <c r="K139" s="23"/>
      <c r="M139" s="24"/>
    </row>
    <row r="140" spans="1:13" ht="11.45" customHeight="1" x14ac:dyDescent="0.25">
      <c r="A140" s="15">
        <v>53</v>
      </c>
      <c r="B140" s="6">
        <v>44651</v>
      </c>
      <c r="C140" s="5">
        <v>9</v>
      </c>
      <c r="D140" s="5" t="str">
        <f>"1799"</f>
        <v>1799</v>
      </c>
      <c r="E140" s="7" t="str">
        <f>"Прочие предоплаты"</f>
        <v>Прочие предоплаты</v>
      </c>
      <c r="F140" s="5" t="str">
        <f>"2"</f>
        <v>2</v>
      </c>
      <c r="G140" s="5" t="str">
        <f>"7"</f>
        <v>7</v>
      </c>
      <c r="H140" s="5" t="str">
        <f>"2"</f>
        <v>2</v>
      </c>
      <c r="I140" s="16">
        <v>4707310.8499999996</v>
      </c>
      <c r="K140" s="23"/>
      <c r="M140" s="24"/>
    </row>
    <row r="141" spans="1:13" ht="11.45" customHeight="1" x14ac:dyDescent="0.25">
      <c r="A141" s="15">
        <v>566</v>
      </c>
      <c r="B141" s="6">
        <v>44651</v>
      </c>
      <c r="C141" s="5">
        <v>9</v>
      </c>
      <c r="D141" s="5" t="str">
        <f>"1811"</f>
        <v>1811</v>
      </c>
      <c r="E141" s="7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41" s="5" t="str">
        <f>"1"</f>
        <v>1</v>
      </c>
      <c r="G141" s="5"/>
      <c r="H141" s="5" t="str">
        <f t="shared" ref="H141:H147" si="21">"1"</f>
        <v>1</v>
      </c>
      <c r="I141" s="16">
        <v>102228.44</v>
      </c>
      <c r="K141" s="23"/>
      <c r="M141" s="24"/>
    </row>
    <row r="142" spans="1:13" ht="11.45" customHeight="1" x14ac:dyDescent="0.25">
      <c r="A142" s="15">
        <v>183</v>
      </c>
      <c r="B142" s="6">
        <v>44651</v>
      </c>
      <c r="C142" s="5">
        <v>9</v>
      </c>
      <c r="D142" s="5" t="str">
        <f>"1813"</f>
        <v>1813</v>
      </c>
      <c r="E142" s="7" t="str">
        <f>"Начисленные комиссионные доходы за услуги по купле-продаже ценных бумаг"</f>
        <v>Начисленные комиссионные доходы за услуги по купле-продаже ценных бумаг</v>
      </c>
      <c r="F142" s="5" t="str">
        <f>"1"</f>
        <v>1</v>
      </c>
      <c r="G142" s="5"/>
      <c r="H142" s="5" t="str">
        <f t="shared" si="21"/>
        <v>1</v>
      </c>
      <c r="I142" s="16">
        <v>5227969.8</v>
      </c>
      <c r="K142" s="23"/>
      <c r="M142" s="24"/>
    </row>
    <row r="143" spans="1:13" ht="11.45" customHeight="1" x14ac:dyDescent="0.25">
      <c r="A143" s="15">
        <v>567</v>
      </c>
      <c r="B143" s="6">
        <v>44651</v>
      </c>
      <c r="C143" s="5">
        <v>9</v>
      </c>
      <c r="D143" s="5" t="str">
        <f>"1816"</f>
        <v>1816</v>
      </c>
      <c r="E143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43" s="5" t="str">
        <f>"1"</f>
        <v>1</v>
      </c>
      <c r="G143" s="5"/>
      <c r="H143" s="5" t="str">
        <f t="shared" si="21"/>
        <v>1</v>
      </c>
      <c r="I143" s="16">
        <v>982028.39</v>
      </c>
      <c r="K143" s="23"/>
      <c r="M143" s="24"/>
    </row>
    <row r="144" spans="1:13" ht="11.45" customHeight="1" x14ac:dyDescent="0.25">
      <c r="A144" s="15">
        <v>348</v>
      </c>
      <c r="B144" s="6">
        <v>44651</v>
      </c>
      <c r="C144" s="5">
        <v>9</v>
      </c>
      <c r="D144" s="5" t="str">
        <f>"1816"</f>
        <v>1816</v>
      </c>
      <c r="E144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44" s="5" t="str">
        <f>"2"</f>
        <v>2</v>
      </c>
      <c r="G144" s="5"/>
      <c r="H144" s="5" t="str">
        <f t="shared" si="21"/>
        <v>1</v>
      </c>
      <c r="I144" s="16">
        <v>130000</v>
      </c>
      <c r="K144" s="23"/>
      <c r="M144" s="24"/>
    </row>
    <row r="145" spans="1:13" ht="11.45" customHeight="1" x14ac:dyDescent="0.25">
      <c r="A145" s="15">
        <v>189</v>
      </c>
      <c r="B145" s="6">
        <v>44651</v>
      </c>
      <c r="C145" s="5">
        <v>9</v>
      </c>
      <c r="D145" s="5" t="str">
        <f>"1817"</f>
        <v>1817</v>
      </c>
      <c r="E145" s="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45" s="5" t="str">
        <f t="shared" ref="F145:F150" si="22">"1"</f>
        <v>1</v>
      </c>
      <c r="G145" s="5"/>
      <c r="H145" s="5" t="str">
        <f t="shared" si="21"/>
        <v>1</v>
      </c>
      <c r="I145" s="16">
        <v>617449648.63</v>
      </c>
      <c r="K145" s="23"/>
      <c r="M145" s="24"/>
    </row>
    <row r="146" spans="1:13" ht="11.45" customHeight="1" x14ac:dyDescent="0.25">
      <c r="A146" s="15">
        <v>186</v>
      </c>
      <c r="B146" s="6">
        <v>44651</v>
      </c>
      <c r="C146" s="5">
        <v>9</v>
      </c>
      <c r="D146" s="5" t="str">
        <f>"1818"</f>
        <v>1818</v>
      </c>
      <c r="E146" s="7" t="str">
        <f>"Начисленные прочие комиссионные доходы"</f>
        <v>Начисленные прочие комиссионные доходы</v>
      </c>
      <c r="F146" s="5" t="str">
        <f t="shared" si="22"/>
        <v>1</v>
      </c>
      <c r="G146" s="5"/>
      <c r="H146" s="5" t="str">
        <f t="shared" si="21"/>
        <v>1</v>
      </c>
      <c r="I146" s="16">
        <v>450401.13</v>
      </c>
      <c r="K146" s="23"/>
      <c r="M146" s="24"/>
    </row>
    <row r="147" spans="1:13" ht="11.45" customHeight="1" x14ac:dyDescent="0.25">
      <c r="A147" s="15">
        <v>187</v>
      </c>
      <c r="B147" s="6">
        <v>44651</v>
      </c>
      <c r="C147" s="5">
        <v>9</v>
      </c>
      <c r="D147" s="5" t="str">
        <f>"1821"</f>
        <v>1821</v>
      </c>
      <c r="E147" s="7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147" s="5" t="str">
        <f t="shared" si="22"/>
        <v>1</v>
      </c>
      <c r="G147" s="5"/>
      <c r="H147" s="5" t="str">
        <f t="shared" si="21"/>
        <v>1</v>
      </c>
      <c r="I147" s="16">
        <v>31375</v>
      </c>
      <c r="K147" s="23"/>
      <c r="M147" s="24"/>
    </row>
    <row r="148" spans="1:13" ht="11.45" customHeight="1" x14ac:dyDescent="0.25">
      <c r="A148" s="15">
        <v>188</v>
      </c>
      <c r="B148" s="6">
        <v>44651</v>
      </c>
      <c r="C148" s="5">
        <v>9</v>
      </c>
      <c r="D148" s="5" t="str">
        <f>"1822"</f>
        <v>1822</v>
      </c>
      <c r="E148" s="7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148" s="5" t="str">
        <f t="shared" si="22"/>
        <v>1</v>
      </c>
      <c r="G148" s="5"/>
      <c r="H148" s="5" t="str">
        <f>"2"</f>
        <v>2</v>
      </c>
      <c r="I148" s="16">
        <v>1039299.63</v>
      </c>
      <c r="K148" s="23"/>
      <c r="M148" s="24"/>
    </row>
    <row r="149" spans="1:13" ht="11.45" customHeight="1" x14ac:dyDescent="0.25">
      <c r="A149" s="15">
        <v>55</v>
      </c>
      <c r="B149" s="6">
        <v>44651</v>
      </c>
      <c r="C149" s="5">
        <v>9</v>
      </c>
      <c r="D149" s="5" t="str">
        <f>"1822"</f>
        <v>1822</v>
      </c>
      <c r="E149" s="7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149" s="5" t="str">
        <f t="shared" si="22"/>
        <v>1</v>
      </c>
      <c r="G149" s="5"/>
      <c r="H149" s="5" t="str">
        <f>"3"</f>
        <v>3</v>
      </c>
      <c r="I149" s="16">
        <v>1174860.92</v>
      </c>
      <c r="K149" s="23"/>
      <c r="M149" s="24"/>
    </row>
    <row r="150" spans="1:13" ht="11.45" customHeight="1" x14ac:dyDescent="0.25">
      <c r="A150" s="15">
        <v>419</v>
      </c>
      <c r="B150" s="6">
        <v>44651</v>
      </c>
      <c r="C150" s="5">
        <v>9</v>
      </c>
      <c r="D150" s="5" t="str">
        <f>"1831"</f>
        <v>1831</v>
      </c>
      <c r="E150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50" s="5" t="str">
        <f t="shared" si="22"/>
        <v>1</v>
      </c>
      <c r="G150" s="5"/>
      <c r="H150" s="5" t="str">
        <f>"1"</f>
        <v>1</v>
      </c>
      <c r="I150" s="16">
        <v>8752247.5700000003</v>
      </c>
      <c r="K150" s="23"/>
      <c r="M150" s="24"/>
    </row>
    <row r="151" spans="1:13" ht="11.45" customHeight="1" x14ac:dyDescent="0.25">
      <c r="A151" s="15">
        <v>321</v>
      </c>
      <c r="B151" s="6">
        <v>44651</v>
      </c>
      <c r="C151" s="5">
        <v>9</v>
      </c>
      <c r="D151" s="5" t="str">
        <f>"1831"</f>
        <v>1831</v>
      </c>
      <c r="E151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51" s="5" t="str">
        <f>"2"</f>
        <v>2</v>
      </c>
      <c r="G151" s="5"/>
      <c r="H151" s="5" t="str">
        <f>"1"</f>
        <v>1</v>
      </c>
      <c r="I151" s="16">
        <v>20800</v>
      </c>
      <c r="K151" s="23"/>
      <c r="M151" s="24"/>
    </row>
    <row r="152" spans="1:13" ht="11.45" customHeight="1" x14ac:dyDescent="0.25">
      <c r="A152" s="15">
        <v>10</v>
      </c>
      <c r="B152" s="6">
        <v>44651</v>
      </c>
      <c r="C152" s="5">
        <v>9</v>
      </c>
      <c r="D152" s="5" t="str">
        <f>"1836"</f>
        <v>1836</v>
      </c>
      <c r="E152" s="7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152" s="5" t="str">
        <f>"1"</f>
        <v>1</v>
      </c>
      <c r="G152" s="5"/>
      <c r="H152" s="5" t="str">
        <f>"1"</f>
        <v>1</v>
      </c>
      <c r="I152" s="16">
        <v>1950336.45</v>
      </c>
      <c r="K152" s="23"/>
      <c r="M152" s="24"/>
    </row>
    <row r="153" spans="1:13" ht="11.45" customHeight="1" x14ac:dyDescent="0.25">
      <c r="A153" s="15">
        <v>184</v>
      </c>
      <c r="B153" s="6">
        <v>44651</v>
      </c>
      <c r="C153" s="5">
        <v>9</v>
      </c>
      <c r="D153" s="5" t="str">
        <f>"1836"</f>
        <v>1836</v>
      </c>
      <c r="E153" s="7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153" s="5" t="str">
        <f>"1"</f>
        <v>1</v>
      </c>
      <c r="G153" s="5"/>
      <c r="H153" s="5" t="str">
        <f>"2"</f>
        <v>2</v>
      </c>
      <c r="I153" s="16">
        <v>13588.27</v>
      </c>
      <c r="K153" s="23"/>
      <c r="M153" s="24"/>
    </row>
    <row r="154" spans="1:13" ht="11.45" customHeight="1" x14ac:dyDescent="0.25">
      <c r="A154" s="15">
        <v>591</v>
      </c>
      <c r="B154" s="6">
        <v>44651</v>
      </c>
      <c r="C154" s="5">
        <v>9</v>
      </c>
      <c r="D154" s="5" t="str">
        <f>"1837"</f>
        <v>1837</v>
      </c>
      <c r="E154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4" s="5" t="str">
        <f>"1"</f>
        <v>1</v>
      </c>
      <c r="G154" s="5"/>
      <c r="H154" s="5" t="str">
        <f>"1"</f>
        <v>1</v>
      </c>
      <c r="I154" s="16">
        <v>796641366.16999996</v>
      </c>
      <c r="K154" s="23"/>
      <c r="M154" s="24"/>
    </row>
    <row r="155" spans="1:13" ht="11.45" customHeight="1" x14ac:dyDescent="0.25">
      <c r="A155" s="15">
        <v>56</v>
      </c>
      <c r="B155" s="6">
        <v>44651</v>
      </c>
      <c r="C155" s="5">
        <v>9</v>
      </c>
      <c r="D155" s="5" t="str">
        <f>"1837"</f>
        <v>1837</v>
      </c>
      <c r="E155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5" s="5" t="str">
        <f>"1"</f>
        <v>1</v>
      </c>
      <c r="G155" s="5"/>
      <c r="H155" s="5" t="str">
        <f>"2"</f>
        <v>2</v>
      </c>
      <c r="I155" s="16">
        <v>18044.439999999999</v>
      </c>
      <c r="K155" s="23"/>
      <c r="M155" s="24"/>
    </row>
    <row r="156" spans="1:13" ht="11.45" customHeight="1" x14ac:dyDescent="0.25">
      <c r="A156" s="15">
        <v>11</v>
      </c>
      <c r="B156" s="6">
        <v>44651</v>
      </c>
      <c r="C156" s="5">
        <v>9</v>
      </c>
      <c r="D156" s="5" t="str">
        <f>"1837"</f>
        <v>1837</v>
      </c>
      <c r="E156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6" s="5" t="str">
        <f>"1"</f>
        <v>1</v>
      </c>
      <c r="G156" s="5"/>
      <c r="H156" s="5" t="str">
        <f>"3"</f>
        <v>3</v>
      </c>
      <c r="I156" s="16">
        <v>16640.87</v>
      </c>
      <c r="K156" s="23"/>
      <c r="M156" s="24"/>
    </row>
    <row r="157" spans="1:13" ht="11.45" customHeight="1" x14ac:dyDescent="0.25">
      <c r="A157" s="15">
        <v>349</v>
      </c>
      <c r="B157" s="6">
        <v>44651</v>
      </c>
      <c r="C157" s="5">
        <v>9</v>
      </c>
      <c r="D157" s="5" t="str">
        <f>"1837"</f>
        <v>1837</v>
      </c>
      <c r="E157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7" s="5" t="str">
        <f>"2"</f>
        <v>2</v>
      </c>
      <c r="G157" s="5"/>
      <c r="H157" s="5" t="str">
        <f>"1"</f>
        <v>1</v>
      </c>
      <c r="I157" s="16">
        <v>11389047.98</v>
      </c>
      <c r="K157" s="23"/>
      <c r="M157" s="24"/>
    </row>
    <row r="158" spans="1:13" ht="11.45" customHeight="1" x14ac:dyDescent="0.25">
      <c r="A158" s="15">
        <v>12</v>
      </c>
      <c r="B158" s="6">
        <v>44651</v>
      </c>
      <c r="C158" s="5">
        <v>9</v>
      </c>
      <c r="D158" s="5" t="str">
        <f>"1838"</f>
        <v>1838</v>
      </c>
      <c r="E158" s="7" t="str">
        <f>"Просроченные прочие комиссионные доходы"</f>
        <v>Просроченные прочие комиссионные доходы</v>
      </c>
      <c r="F158" s="5" t="str">
        <f>"1"</f>
        <v>1</v>
      </c>
      <c r="G158" s="5"/>
      <c r="H158" s="5" t="str">
        <f>"1"</f>
        <v>1</v>
      </c>
      <c r="I158" s="16">
        <v>15364125.220000001</v>
      </c>
      <c r="K158" s="23"/>
      <c r="M158" s="24"/>
    </row>
    <row r="159" spans="1:13" ht="11.45" customHeight="1" x14ac:dyDescent="0.25">
      <c r="A159" s="15">
        <v>569</v>
      </c>
      <c r="B159" s="6">
        <v>44651</v>
      </c>
      <c r="C159" s="5">
        <v>9</v>
      </c>
      <c r="D159" s="5" t="str">
        <f>"1838"</f>
        <v>1838</v>
      </c>
      <c r="E159" s="7" t="str">
        <f>"Просроченные прочие комиссионные доходы"</f>
        <v>Просроченные прочие комиссионные доходы</v>
      </c>
      <c r="F159" s="5" t="str">
        <f>"1"</f>
        <v>1</v>
      </c>
      <c r="G159" s="5"/>
      <c r="H159" s="5" t="str">
        <f>"2"</f>
        <v>2</v>
      </c>
      <c r="I159" s="16">
        <v>228.49</v>
      </c>
      <c r="K159" s="23"/>
      <c r="M159" s="24"/>
    </row>
    <row r="160" spans="1:13" ht="11.45" customHeight="1" x14ac:dyDescent="0.25">
      <c r="A160" s="15">
        <v>193</v>
      </c>
      <c r="B160" s="6">
        <v>44651</v>
      </c>
      <c r="C160" s="5">
        <v>9</v>
      </c>
      <c r="D160" s="5" t="str">
        <f>"1838"</f>
        <v>1838</v>
      </c>
      <c r="E160" s="7" t="str">
        <f>"Просроченные прочие комиссионные доходы"</f>
        <v>Просроченные прочие комиссионные доходы</v>
      </c>
      <c r="F160" s="5" t="str">
        <f>"1"</f>
        <v>1</v>
      </c>
      <c r="G160" s="5"/>
      <c r="H160" s="5" t="str">
        <f>"3"</f>
        <v>3</v>
      </c>
      <c r="I160" s="16">
        <v>632.99</v>
      </c>
      <c r="K160" s="23"/>
      <c r="M160" s="24"/>
    </row>
    <row r="161" spans="1:13" ht="11.45" customHeight="1" x14ac:dyDescent="0.25">
      <c r="A161" s="15">
        <v>322</v>
      </c>
      <c r="B161" s="6">
        <v>44651</v>
      </c>
      <c r="C161" s="5">
        <v>9</v>
      </c>
      <c r="D161" s="5" t="str">
        <f>"1838"</f>
        <v>1838</v>
      </c>
      <c r="E161" s="7" t="str">
        <f>"Просроченные прочие комиссионные доходы"</f>
        <v>Просроченные прочие комиссионные доходы</v>
      </c>
      <c r="F161" s="5" t="str">
        <f>"2"</f>
        <v>2</v>
      </c>
      <c r="G161" s="5"/>
      <c r="H161" s="5" t="str">
        <f>"1"</f>
        <v>1</v>
      </c>
      <c r="I161" s="16">
        <v>18900</v>
      </c>
      <c r="K161" s="23"/>
      <c r="M161" s="24"/>
    </row>
    <row r="162" spans="1:13" ht="11.45" customHeight="1" x14ac:dyDescent="0.25">
      <c r="A162" s="15">
        <v>64</v>
      </c>
      <c r="B162" s="6">
        <v>44651</v>
      </c>
      <c r="C162" s="5">
        <v>9</v>
      </c>
      <c r="D162" s="5" t="str">
        <f>"1841"</f>
        <v>1841</v>
      </c>
      <c r="E162" s="7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62" s="5" t="str">
        <f>"1"</f>
        <v>1</v>
      </c>
      <c r="G162" s="5"/>
      <c r="H162" s="5" t="str">
        <f>"1"</f>
        <v>1</v>
      </c>
      <c r="I162" s="16">
        <v>5460878.4199999999</v>
      </c>
      <c r="K162" s="23"/>
      <c r="M162" s="24"/>
    </row>
    <row r="163" spans="1:13" ht="11.45" customHeight="1" x14ac:dyDescent="0.25">
      <c r="A163" s="15">
        <v>195</v>
      </c>
      <c r="B163" s="6">
        <v>44651</v>
      </c>
      <c r="C163" s="5">
        <v>9</v>
      </c>
      <c r="D163" s="5" t="str">
        <f>"1841"</f>
        <v>1841</v>
      </c>
      <c r="E163" s="7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63" s="5" t="str">
        <f>"1"</f>
        <v>1</v>
      </c>
      <c r="G163" s="5"/>
      <c r="H163" s="5" t="str">
        <f>"3"</f>
        <v>3</v>
      </c>
      <c r="I163" s="16">
        <v>1282.96</v>
      </c>
      <c r="K163" s="23"/>
      <c r="M163" s="24"/>
    </row>
    <row r="164" spans="1:13" ht="11.45" customHeight="1" x14ac:dyDescent="0.25">
      <c r="A164" s="15">
        <v>197</v>
      </c>
      <c r="B164" s="6">
        <v>44651</v>
      </c>
      <c r="C164" s="5">
        <v>9</v>
      </c>
      <c r="D164" s="5" t="str">
        <f>"1845"</f>
        <v>1845</v>
      </c>
      <c r="E164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4" s="5" t="str">
        <f>"1"</f>
        <v>1</v>
      </c>
      <c r="G164" s="5"/>
      <c r="H164" s="5" t="str">
        <f>"1"</f>
        <v>1</v>
      </c>
      <c r="I164" s="16">
        <v>-383000000</v>
      </c>
      <c r="K164" s="23"/>
      <c r="M164" s="24"/>
    </row>
    <row r="165" spans="1:13" ht="11.45" customHeight="1" x14ac:dyDescent="0.25">
      <c r="A165" s="15">
        <v>481</v>
      </c>
      <c r="B165" s="6">
        <v>44651</v>
      </c>
      <c r="C165" s="5">
        <v>9</v>
      </c>
      <c r="D165" s="5" t="str">
        <f>"1851"</f>
        <v>1851</v>
      </c>
      <c r="E165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65" s="5" t="str">
        <f>"1"</f>
        <v>1</v>
      </c>
      <c r="G165" s="5" t="str">
        <f>"1"</f>
        <v>1</v>
      </c>
      <c r="H165" s="5" t="str">
        <f>"1"</f>
        <v>1</v>
      </c>
      <c r="I165" s="16">
        <v>1632624736.7</v>
      </c>
      <c r="K165" s="23"/>
      <c r="M165" s="24"/>
    </row>
    <row r="166" spans="1:13" ht="11.45" customHeight="1" x14ac:dyDescent="0.25">
      <c r="A166" s="15">
        <v>405</v>
      </c>
      <c r="B166" s="6">
        <v>44651</v>
      </c>
      <c r="C166" s="5">
        <v>9</v>
      </c>
      <c r="D166" s="5" t="str">
        <f>"1854"</f>
        <v>1854</v>
      </c>
      <c r="E166" s="7" t="str">
        <f>"Расчеты с работниками"</f>
        <v>Расчеты с работниками</v>
      </c>
      <c r="F166" s="5" t="str">
        <f>""</f>
        <v/>
      </c>
      <c r="G166" s="5"/>
      <c r="H166" s="5" t="str">
        <f>""</f>
        <v/>
      </c>
      <c r="I166" s="16">
        <v>82067571.859999999</v>
      </c>
      <c r="K166" s="23"/>
      <c r="M166" s="24"/>
    </row>
    <row r="167" spans="1:13" ht="11.45" customHeight="1" x14ac:dyDescent="0.25">
      <c r="A167" s="15">
        <v>62</v>
      </c>
      <c r="B167" s="6">
        <v>44651</v>
      </c>
      <c r="C167" s="5">
        <v>9</v>
      </c>
      <c r="D167" s="5" t="str">
        <f>"1855"</f>
        <v>1855</v>
      </c>
      <c r="E167" s="7" t="str">
        <f>"Дебиторы по документарным расчетам"</f>
        <v>Дебиторы по документарным расчетам</v>
      </c>
      <c r="F167" s="5" t="str">
        <f>"1"</f>
        <v>1</v>
      </c>
      <c r="G167" s="5" t="str">
        <f>"7"</f>
        <v>7</v>
      </c>
      <c r="H167" s="5" t="str">
        <f>"2"</f>
        <v>2</v>
      </c>
      <c r="I167" s="16">
        <v>211651636.61000001</v>
      </c>
      <c r="K167" s="23"/>
      <c r="M167" s="24"/>
    </row>
    <row r="168" spans="1:13" ht="11.45" customHeight="1" x14ac:dyDescent="0.25">
      <c r="A168" s="15">
        <v>350</v>
      </c>
      <c r="B168" s="6">
        <v>44651</v>
      </c>
      <c r="C168" s="5">
        <v>9</v>
      </c>
      <c r="D168" s="5" t="str">
        <f>"1855"</f>
        <v>1855</v>
      </c>
      <c r="E168" s="7" t="str">
        <f>"Дебиторы по документарным расчетам"</f>
        <v>Дебиторы по документарным расчетам</v>
      </c>
      <c r="F168" s="5" t="str">
        <f>"2"</f>
        <v>2</v>
      </c>
      <c r="G168" s="5" t="str">
        <f>"4"</f>
        <v>4</v>
      </c>
      <c r="H168" s="5" t="str">
        <f>"1"</f>
        <v>1</v>
      </c>
      <c r="I168" s="16">
        <v>2255593.5299999998</v>
      </c>
      <c r="K168" s="23"/>
      <c r="M168" s="24"/>
    </row>
    <row r="169" spans="1:13" ht="11.45" customHeight="1" x14ac:dyDescent="0.25">
      <c r="A169" s="15">
        <v>421</v>
      </c>
      <c r="B169" s="6">
        <v>44651</v>
      </c>
      <c r="C169" s="5">
        <v>9</v>
      </c>
      <c r="D169" s="5" t="str">
        <f>"1855"</f>
        <v>1855</v>
      </c>
      <c r="E169" s="7" t="str">
        <f>"Дебиторы по документарным расчетам"</f>
        <v>Дебиторы по документарным расчетам</v>
      </c>
      <c r="F169" s="5" t="str">
        <f>"2"</f>
        <v>2</v>
      </c>
      <c r="G169" s="5" t="str">
        <f>"4"</f>
        <v>4</v>
      </c>
      <c r="H169" s="5" t="str">
        <f>"2"</f>
        <v>2</v>
      </c>
      <c r="I169" s="16">
        <v>128015198.31</v>
      </c>
      <c r="K169" s="23"/>
      <c r="M169" s="24"/>
    </row>
    <row r="170" spans="1:13" ht="11.45" customHeight="1" x14ac:dyDescent="0.25">
      <c r="A170" s="15">
        <v>63</v>
      </c>
      <c r="B170" s="6">
        <v>44651</v>
      </c>
      <c r="C170" s="5">
        <v>9</v>
      </c>
      <c r="D170" s="5" t="str">
        <f>"1855"</f>
        <v>1855</v>
      </c>
      <c r="E170" s="7" t="str">
        <f>"Дебиторы по документарным расчетам"</f>
        <v>Дебиторы по документарным расчетам</v>
      </c>
      <c r="F170" s="5" t="str">
        <f>"2"</f>
        <v>2</v>
      </c>
      <c r="G170" s="5" t="str">
        <f>"4"</f>
        <v>4</v>
      </c>
      <c r="H170" s="5" t="str">
        <f>"3"</f>
        <v>3</v>
      </c>
      <c r="I170" s="16">
        <v>43071138</v>
      </c>
      <c r="K170" s="23"/>
      <c r="M170" s="24"/>
    </row>
    <row r="171" spans="1:13" ht="11.45" customHeight="1" x14ac:dyDescent="0.25">
      <c r="A171" s="15">
        <v>191</v>
      </c>
      <c r="B171" s="6">
        <v>44651</v>
      </c>
      <c r="C171" s="5">
        <v>9</v>
      </c>
      <c r="D171" s="5" t="str">
        <f>"1856"</f>
        <v>1856</v>
      </c>
      <c r="E171" s="7" t="str">
        <f>"Дебиторы по капитальным вложениям"</f>
        <v>Дебиторы по капитальным вложениям</v>
      </c>
      <c r="F171" s="5" t="str">
        <f>"1"</f>
        <v>1</v>
      </c>
      <c r="G171" s="5" t="str">
        <f>"6"</f>
        <v>6</v>
      </c>
      <c r="H171" s="5" t="str">
        <f>"1"</f>
        <v>1</v>
      </c>
      <c r="I171" s="16">
        <v>45374.559999999998</v>
      </c>
      <c r="K171" s="23"/>
      <c r="M171" s="24"/>
    </row>
    <row r="172" spans="1:13" ht="11.45" customHeight="1" x14ac:dyDescent="0.25">
      <c r="A172" s="15">
        <v>199</v>
      </c>
      <c r="B172" s="6">
        <v>44651</v>
      </c>
      <c r="C172" s="5">
        <v>9</v>
      </c>
      <c r="D172" s="5" t="str">
        <f>"1856"</f>
        <v>1856</v>
      </c>
      <c r="E172" s="7" t="str">
        <f>"Дебиторы по капитальным вложениям"</f>
        <v>Дебиторы по капитальным вложениям</v>
      </c>
      <c r="F172" s="5" t="str">
        <f>"1"</f>
        <v>1</v>
      </c>
      <c r="G172" s="5" t="str">
        <f>"7"</f>
        <v>7</v>
      </c>
      <c r="H172" s="5" t="str">
        <f>"1"</f>
        <v>1</v>
      </c>
      <c r="I172" s="16">
        <v>455765605.56</v>
      </c>
      <c r="K172" s="23"/>
      <c r="M172" s="24"/>
    </row>
    <row r="173" spans="1:13" ht="11.45" customHeight="1" x14ac:dyDescent="0.25">
      <c r="A173" s="15">
        <v>190</v>
      </c>
      <c r="B173" s="6">
        <v>44651</v>
      </c>
      <c r="C173" s="5">
        <v>9</v>
      </c>
      <c r="D173" s="5" t="str">
        <f>"1856"</f>
        <v>1856</v>
      </c>
      <c r="E173" s="7" t="str">
        <f>"Дебиторы по капитальным вложениям"</f>
        <v>Дебиторы по капитальным вложениям</v>
      </c>
      <c r="F173" s="5" t="str">
        <f>"2"</f>
        <v>2</v>
      </c>
      <c r="G173" s="5" t="str">
        <f>"5"</f>
        <v>5</v>
      </c>
      <c r="H173" s="5" t="str">
        <f>"1"</f>
        <v>1</v>
      </c>
      <c r="I173" s="16">
        <v>76425298.230000004</v>
      </c>
      <c r="K173" s="23"/>
      <c r="M173" s="24"/>
    </row>
    <row r="174" spans="1:13" ht="11.45" customHeight="1" x14ac:dyDescent="0.25">
      <c r="A174" s="15">
        <v>58</v>
      </c>
      <c r="B174" s="6">
        <v>44651</v>
      </c>
      <c r="C174" s="5">
        <v>9</v>
      </c>
      <c r="D174" s="5" t="str">
        <f>"1856"</f>
        <v>1856</v>
      </c>
      <c r="E174" s="7" t="str">
        <f>"Дебиторы по капитальным вложениям"</f>
        <v>Дебиторы по капитальным вложениям</v>
      </c>
      <c r="F174" s="5" t="str">
        <f>"2"</f>
        <v>2</v>
      </c>
      <c r="G174" s="5" t="str">
        <f>"7"</f>
        <v>7</v>
      </c>
      <c r="H174" s="5" t="str">
        <f>"1"</f>
        <v>1</v>
      </c>
      <c r="I174" s="16">
        <v>78273900.680000007</v>
      </c>
      <c r="K174" s="23"/>
      <c r="M174" s="24"/>
    </row>
    <row r="175" spans="1:13" ht="11.45" customHeight="1" x14ac:dyDescent="0.25">
      <c r="A175" s="15">
        <v>59</v>
      </c>
      <c r="B175" s="6">
        <v>44651</v>
      </c>
      <c r="C175" s="5">
        <v>9</v>
      </c>
      <c r="D175" s="5" t="str">
        <f>"1857"</f>
        <v>1857</v>
      </c>
      <c r="E175" s="7" t="str">
        <f>"Отложенные налоговые активы"</f>
        <v>Отложенные налоговые активы</v>
      </c>
      <c r="F175" s="5" t="str">
        <f>""</f>
        <v/>
      </c>
      <c r="G175" s="5"/>
      <c r="H175" s="5" t="str">
        <f>""</f>
        <v/>
      </c>
      <c r="I175" s="16">
        <v>2481637181</v>
      </c>
      <c r="K175" s="23"/>
      <c r="M175" s="24"/>
    </row>
    <row r="176" spans="1:13" ht="11.45" customHeight="1" x14ac:dyDescent="0.25">
      <c r="A176" s="15">
        <v>192</v>
      </c>
      <c r="B176" s="6">
        <v>44651</v>
      </c>
      <c r="C176" s="5">
        <v>9</v>
      </c>
      <c r="D176" s="5" t="str">
        <f t="shared" ref="D176:D189" si="23">"1860"</f>
        <v>1860</v>
      </c>
      <c r="E176" s="7" t="str">
        <f t="shared" ref="E176:E189" si="24">"Прочие дебиторы по банковской деятельности"</f>
        <v>Прочие дебиторы по банковской деятельности</v>
      </c>
      <c r="F176" s="5" t="str">
        <f t="shared" ref="F176:F186" si="25">"1"</f>
        <v>1</v>
      </c>
      <c r="G176" s="5" t="str">
        <f>"3"</f>
        <v>3</v>
      </c>
      <c r="H176" s="5" t="str">
        <f>"1"</f>
        <v>1</v>
      </c>
      <c r="I176" s="16">
        <v>3044</v>
      </c>
      <c r="K176" s="23"/>
      <c r="M176" s="24"/>
    </row>
    <row r="177" spans="1:13" ht="11.45" customHeight="1" x14ac:dyDescent="0.25">
      <c r="A177" s="15">
        <v>203</v>
      </c>
      <c r="B177" s="6">
        <v>44651</v>
      </c>
      <c r="C177" s="5">
        <v>9</v>
      </c>
      <c r="D177" s="5" t="str">
        <f t="shared" si="23"/>
        <v>1860</v>
      </c>
      <c r="E177" s="7" t="str">
        <f t="shared" si="24"/>
        <v>Прочие дебиторы по банковской деятельности</v>
      </c>
      <c r="F177" s="5" t="str">
        <f t="shared" si="25"/>
        <v>1</v>
      </c>
      <c r="G177" s="5" t="str">
        <f>"4"</f>
        <v>4</v>
      </c>
      <c r="H177" s="5" t="str">
        <f>"1"</f>
        <v>1</v>
      </c>
      <c r="I177" s="16">
        <v>9304622004.3299999</v>
      </c>
      <c r="K177" s="23"/>
      <c r="M177" s="24"/>
    </row>
    <row r="178" spans="1:13" ht="11.45" customHeight="1" x14ac:dyDescent="0.25">
      <c r="A178" s="15">
        <v>568</v>
      </c>
      <c r="B178" s="6">
        <v>44651</v>
      </c>
      <c r="C178" s="5">
        <v>9</v>
      </c>
      <c r="D178" s="5" t="str">
        <f t="shared" si="23"/>
        <v>1860</v>
      </c>
      <c r="E178" s="7" t="str">
        <f t="shared" si="24"/>
        <v>Прочие дебиторы по банковской деятельности</v>
      </c>
      <c r="F178" s="5" t="str">
        <f t="shared" si="25"/>
        <v>1</v>
      </c>
      <c r="G178" s="5" t="str">
        <f>"4"</f>
        <v>4</v>
      </c>
      <c r="H178" s="5" t="str">
        <f>"2"</f>
        <v>2</v>
      </c>
      <c r="I178" s="16">
        <v>29897635.27</v>
      </c>
      <c r="K178" s="23"/>
      <c r="M178" s="24"/>
    </row>
    <row r="179" spans="1:13" ht="11.45" customHeight="1" x14ac:dyDescent="0.25">
      <c r="A179" s="15">
        <v>395</v>
      </c>
      <c r="B179" s="6">
        <v>44651</v>
      </c>
      <c r="C179" s="5">
        <v>9</v>
      </c>
      <c r="D179" s="5" t="str">
        <f t="shared" si="23"/>
        <v>1860</v>
      </c>
      <c r="E179" s="7" t="str">
        <f t="shared" si="24"/>
        <v>Прочие дебиторы по банковской деятельности</v>
      </c>
      <c r="F179" s="5" t="str">
        <f t="shared" si="25"/>
        <v>1</v>
      </c>
      <c r="G179" s="5" t="str">
        <f>"4"</f>
        <v>4</v>
      </c>
      <c r="H179" s="5" t="str">
        <f>"3"</f>
        <v>3</v>
      </c>
      <c r="I179" s="16">
        <v>292022.34999999998</v>
      </c>
      <c r="K179" s="23"/>
      <c r="M179" s="24"/>
    </row>
    <row r="180" spans="1:13" ht="11.45" customHeight="1" x14ac:dyDescent="0.25">
      <c r="A180" s="15">
        <v>57</v>
      </c>
      <c r="B180" s="6">
        <v>44651</v>
      </c>
      <c r="C180" s="5">
        <v>9</v>
      </c>
      <c r="D180" s="5" t="str">
        <f t="shared" si="23"/>
        <v>1860</v>
      </c>
      <c r="E180" s="7" t="str">
        <f t="shared" si="24"/>
        <v>Прочие дебиторы по банковской деятельности</v>
      </c>
      <c r="F180" s="5" t="str">
        <f t="shared" si="25"/>
        <v>1</v>
      </c>
      <c r="G180" s="5" t="str">
        <f>"5"</f>
        <v>5</v>
      </c>
      <c r="H180" s="5" t="str">
        <f>"1"</f>
        <v>1</v>
      </c>
      <c r="I180" s="16">
        <v>7126303059.6400003</v>
      </c>
      <c r="K180" s="23"/>
      <c r="M180" s="24"/>
    </row>
    <row r="181" spans="1:13" ht="11.45" customHeight="1" x14ac:dyDescent="0.25">
      <c r="A181" s="15">
        <v>67</v>
      </c>
      <c r="B181" s="6">
        <v>44651</v>
      </c>
      <c r="C181" s="5">
        <v>9</v>
      </c>
      <c r="D181" s="5" t="str">
        <f t="shared" si="23"/>
        <v>1860</v>
      </c>
      <c r="E181" s="7" t="str">
        <f t="shared" si="24"/>
        <v>Прочие дебиторы по банковской деятельности</v>
      </c>
      <c r="F181" s="5" t="str">
        <f t="shared" si="25"/>
        <v>1</v>
      </c>
      <c r="G181" s="5" t="str">
        <f>"5"</f>
        <v>5</v>
      </c>
      <c r="H181" s="5" t="str">
        <f>"2"</f>
        <v>2</v>
      </c>
      <c r="I181" s="16">
        <v>2332184904.3800001</v>
      </c>
      <c r="K181" s="23"/>
      <c r="M181" s="24"/>
    </row>
    <row r="182" spans="1:13" ht="11.45" customHeight="1" x14ac:dyDescent="0.25">
      <c r="A182" s="15">
        <v>202</v>
      </c>
      <c r="B182" s="6">
        <v>44651</v>
      </c>
      <c r="C182" s="5">
        <v>9</v>
      </c>
      <c r="D182" s="5" t="str">
        <f t="shared" si="23"/>
        <v>1860</v>
      </c>
      <c r="E182" s="7" t="str">
        <f t="shared" si="24"/>
        <v>Прочие дебиторы по банковской деятельности</v>
      </c>
      <c r="F182" s="5" t="str">
        <f t="shared" si="25"/>
        <v>1</v>
      </c>
      <c r="G182" s="5" t="str">
        <f>"6"</f>
        <v>6</v>
      </c>
      <c r="H182" s="5" t="str">
        <f>"1"</f>
        <v>1</v>
      </c>
      <c r="I182" s="16">
        <v>1793850</v>
      </c>
      <c r="K182" s="23"/>
      <c r="M182" s="24"/>
    </row>
    <row r="183" spans="1:13" ht="11.45" customHeight="1" x14ac:dyDescent="0.25">
      <c r="A183" s="15">
        <v>420</v>
      </c>
      <c r="B183" s="6">
        <v>44651</v>
      </c>
      <c r="C183" s="5">
        <v>9</v>
      </c>
      <c r="D183" s="5" t="str">
        <f t="shared" si="23"/>
        <v>1860</v>
      </c>
      <c r="E183" s="7" t="str">
        <f t="shared" si="24"/>
        <v>Прочие дебиторы по банковской деятельности</v>
      </c>
      <c r="F183" s="5" t="str">
        <f t="shared" si="25"/>
        <v>1</v>
      </c>
      <c r="G183" s="5" t="str">
        <f>"7"</f>
        <v>7</v>
      </c>
      <c r="H183" s="5" t="str">
        <f>"1"</f>
        <v>1</v>
      </c>
      <c r="I183" s="16">
        <v>1385414719.0799999</v>
      </c>
      <c r="K183" s="23"/>
      <c r="M183" s="24"/>
    </row>
    <row r="184" spans="1:13" ht="11.45" customHeight="1" x14ac:dyDescent="0.25">
      <c r="A184" s="15">
        <v>351</v>
      </c>
      <c r="B184" s="6">
        <v>44651</v>
      </c>
      <c r="C184" s="5">
        <v>9</v>
      </c>
      <c r="D184" s="5" t="str">
        <f t="shared" si="23"/>
        <v>1860</v>
      </c>
      <c r="E184" s="7" t="str">
        <f t="shared" si="24"/>
        <v>Прочие дебиторы по банковской деятельности</v>
      </c>
      <c r="F184" s="5" t="str">
        <f t="shared" si="25"/>
        <v>1</v>
      </c>
      <c r="G184" s="5" t="str">
        <f>"8"</f>
        <v>8</v>
      </c>
      <c r="H184" s="5" t="str">
        <f>"1"</f>
        <v>1</v>
      </c>
      <c r="I184" s="16">
        <v>505</v>
      </c>
      <c r="K184" s="23"/>
      <c r="M184" s="24"/>
    </row>
    <row r="185" spans="1:13" ht="11.45" customHeight="1" x14ac:dyDescent="0.25">
      <c r="A185" s="15">
        <v>502</v>
      </c>
      <c r="B185" s="6">
        <v>44651</v>
      </c>
      <c r="C185" s="5">
        <v>9</v>
      </c>
      <c r="D185" s="5" t="str">
        <f t="shared" si="23"/>
        <v>1860</v>
      </c>
      <c r="E185" s="7" t="str">
        <f t="shared" si="24"/>
        <v>Прочие дебиторы по банковской деятельности</v>
      </c>
      <c r="F185" s="5" t="str">
        <f t="shared" si="25"/>
        <v>1</v>
      </c>
      <c r="G185" s="5" t="str">
        <f>"9"</f>
        <v>9</v>
      </c>
      <c r="H185" s="5" t="str">
        <f>"1"</f>
        <v>1</v>
      </c>
      <c r="I185" s="16">
        <v>2165885442.3699999</v>
      </c>
      <c r="K185" s="23"/>
      <c r="M185" s="24"/>
    </row>
    <row r="186" spans="1:13" ht="11.45" customHeight="1" x14ac:dyDescent="0.25">
      <c r="A186" s="15">
        <v>60</v>
      </c>
      <c r="B186" s="6">
        <v>44651</v>
      </c>
      <c r="C186" s="5">
        <v>9</v>
      </c>
      <c r="D186" s="5" t="str">
        <f t="shared" si="23"/>
        <v>1860</v>
      </c>
      <c r="E186" s="7" t="str">
        <f t="shared" si="24"/>
        <v>Прочие дебиторы по банковской деятельности</v>
      </c>
      <c r="F186" s="5" t="str">
        <f t="shared" si="25"/>
        <v>1</v>
      </c>
      <c r="G186" s="5" t="str">
        <f>"9"</f>
        <v>9</v>
      </c>
      <c r="H186" s="5" t="str">
        <f>"2"</f>
        <v>2</v>
      </c>
      <c r="I186" s="16">
        <v>5271700.9000000004</v>
      </c>
      <c r="K186" s="23"/>
      <c r="M186" s="24"/>
    </row>
    <row r="187" spans="1:13" ht="11.45" customHeight="1" x14ac:dyDescent="0.25">
      <c r="A187" s="15">
        <v>204</v>
      </c>
      <c r="B187" s="6">
        <v>44651</v>
      </c>
      <c r="C187" s="5">
        <v>9</v>
      </c>
      <c r="D187" s="5" t="str">
        <f t="shared" si="23"/>
        <v>1860</v>
      </c>
      <c r="E187" s="7" t="str">
        <f t="shared" si="24"/>
        <v>Прочие дебиторы по банковской деятельности</v>
      </c>
      <c r="F187" s="5" t="str">
        <f>"2"</f>
        <v>2</v>
      </c>
      <c r="G187" s="5" t="str">
        <f>"4"</f>
        <v>4</v>
      </c>
      <c r="H187" s="5" t="str">
        <f>"2"</f>
        <v>2</v>
      </c>
      <c r="I187" s="16">
        <v>3315072000</v>
      </c>
      <c r="K187" s="23"/>
      <c r="M187" s="24"/>
    </row>
    <row r="188" spans="1:13" ht="11.45" customHeight="1" x14ac:dyDescent="0.25">
      <c r="A188" s="15">
        <v>590</v>
      </c>
      <c r="B188" s="6">
        <v>44651</v>
      </c>
      <c r="C188" s="5">
        <v>9</v>
      </c>
      <c r="D188" s="5" t="str">
        <f t="shared" si="23"/>
        <v>1860</v>
      </c>
      <c r="E188" s="7" t="str">
        <f t="shared" si="24"/>
        <v>Прочие дебиторы по банковской деятельности</v>
      </c>
      <c r="F188" s="5" t="str">
        <f>"2"</f>
        <v>2</v>
      </c>
      <c r="G188" s="5" t="str">
        <f>"9"</f>
        <v>9</v>
      </c>
      <c r="H188" s="5" t="str">
        <f>"1"</f>
        <v>1</v>
      </c>
      <c r="I188" s="16">
        <v>47341880.649999999</v>
      </c>
      <c r="K188" s="23"/>
      <c r="M188" s="24"/>
    </row>
    <row r="189" spans="1:13" ht="11.45" customHeight="1" x14ac:dyDescent="0.25">
      <c r="A189" s="15">
        <v>13</v>
      </c>
      <c r="B189" s="6">
        <v>44651</v>
      </c>
      <c r="C189" s="5">
        <v>9</v>
      </c>
      <c r="D189" s="5" t="str">
        <f t="shared" si="23"/>
        <v>1860</v>
      </c>
      <c r="E189" s="7" t="str">
        <f t="shared" si="24"/>
        <v>Прочие дебиторы по банковской деятельности</v>
      </c>
      <c r="F189" s="5" t="str">
        <f>"2"</f>
        <v>2</v>
      </c>
      <c r="G189" s="5" t="str">
        <f>"9"</f>
        <v>9</v>
      </c>
      <c r="H189" s="5" t="str">
        <f>"2"</f>
        <v>2</v>
      </c>
      <c r="I189" s="16">
        <v>28925.48</v>
      </c>
      <c r="K189" s="23"/>
      <c r="M189" s="24"/>
    </row>
    <row r="190" spans="1:13" ht="11.45" customHeight="1" x14ac:dyDescent="0.25">
      <c r="A190" s="15">
        <v>196</v>
      </c>
      <c r="B190" s="6">
        <v>44651</v>
      </c>
      <c r="C190" s="5">
        <v>9</v>
      </c>
      <c r="D190" s="5" t="str">
        <f t="shared" ref="D190:D198" si="26">"1867"</f>
        <v>1867</v>
      </c>
      <c r="E190" s="7" t="str">
        <f t="shared" ref="E190:E198" si="27">"Прочие дебиторы по неосновной деятельности"</f>
        <v>Прочие дебиторы по неосновной деятельности</v>
      </c>
      <c r="F190" s="5" t="str">
        <f>"1"</f>
        <v>1</v>
      </c>
      <c r="G190" s="5" t="str">
        <f>"1"</f>
        <v>1</v>
      </c>
      <c r="H190" s="5" t="str">
        <f>"1"</f>
        <v>1</v>
      </c>
      <c r="I190" s="16">
        <v>5304763.43</v>
      </c>
      <c r="K190" s="23"/>
      <c r="M190" s="24"/>
    </row>
    <row r="191" spans="1:13" ht="11.45" customHeight="1" x14ac:dyDescent="0.25">
      <c r="A191" s="15">
        <v>480</v>
      </c>
      <c r="B191" s="6">
        <v>44651</v>
      </c>
      <c r="C191" s="5">
        <v>9</v>
      </c>
      <c r="D191" s="5" t="str">
        <f t="shared" si="26"/>
        <v>1867</v>
      </c>
      <c r="E191" s="7" t="str">
        <f t="shared" si="27"/>
        <v>Прочие дебиторы по неосновной деятельности</v>
      </c>
      <c r="F191" s="5" t="str">
        <f t="shared" ref="F191:F196" si="28">"1"</f>
        <v>1</v>
      </c>
      <c r="G191" s="5" t="str">
        <f>"4"</f>
        <v>4</v>
      </c>
      <c r="H191" s="5" t="str">
        <f t="shared" ref="H191:H198" si="29">"1"</f>
        <v>1</v>
      </c>
      <c r="I191" s="16">
        <v>170000</v>
      </c>
      <c r="K191" s="23"/>
      <c r="M191" s="24"/>
    </row>
    <row r="192" spans="1:13" ht="11.45" customHeight="1" x14ac:dyDescent="0.25">
      <c r="A192" s="15">
        <v>194</v>
      </c>
      <c r="B192" s="6">
        <v>44651</v>
      </c>
      <c r="C192" s="5">
        <v>9</v>
      </c>
      <c r="D192" s="5" t="str">
        <f t="shared" si="26"/>
        <v>1867</v>
      </c>
      <c r="E192" s="7" t="str">
        <f t="shared" si="27"/>
        <v>Прочие дебиторы по неосновной деятельности</v>
      </c>
      <c r="F192" s="5" t="str">
        <f t="shared" si="28"/>
        <v>1</v>
      </c>
      <c r="G192" s="5" t="str">
        <f>"5"</f>
        <v>5</v>
      </c>
      <c r="H192" s="5" t="str">
        <f t="shared" si="29"/>
        <v>1</v>
      </c>
      <c r="I192" s="16">
        <v>454741</v>
      </c>
      <c r="K192" s="23"/>
      <c r="M192" s="24"/>
    </row>
    <row r="193" spans="1:13" ht="11.45" customHeight="1" x14ac:dyDescent="0.25">
      <c r="A193" s="15">
        <v>467</v>
      </c>
      <c r="B193" s="6">
        <v>44651</v>
      </c>
      <c r="C193" s="5">
        <v>9</v>
      </c>
      <c r="D193" s="5" t="str">
        <f t="shared" si="26"/>
        <v>1867</v>
      </c>
      <c r="E193" s="7" t="str">
        <f t="shared" si="27"/>
        <v>Прочие дебиторы по неосновной деятельности</v>
      </c>
      <c r="F193" s="5" t="str">
        <f t="shared" si="28"/>
        <v>1</v>
      </c>
      <c r="G193" s="5" t="str">
        <f>"6"</f>
        <v>6</v>
      </c>
      <c r="H193" s="5" t="str">
        <f t="shared" si="29"/>
        <v>1</v>
      </c>
      <c r="I193" s="16">
        <v>454139.03</v>
      </c>
      <c r="K193" s="23"/>
      <c r="M193" s="24"/>
    </row>
    <row r="194" spans="1:13" ht="11.45" customHeight="1" x14ac:dyDescent="0.25">
      <c r="A194" s="15">
        <v>198</v>
      </c>
      <c r="B194" s="6">
        <v>44651</v>
      </c>
      <c r="C194" s="5">
        <v>9</v>
      </c>
      <c r="D194" s="5" t="str">
        <f t="shared" si="26"/>
        <v>1867</v>
      </c>
      <c r="E194" s="7" t="str">
        <f t="shared" si="27"/>
        <v>Прочие дебиторы по неосновной деятельности</v>
      </c>
      <c r="F194" s="5" t="str">
        <f t="shared" si="28"/>
        <v>1</v>
      </c>
      <c r="G194" s="5" t="str">
        <f>"7"</f>
        <v>7</v>
      </c>
      <c r="H194" s="5" t="str">
        <f t="shared" si="29"/>
        <v>1</v>
      </c>
      <c r="I194" s="16">
        <v>1317415501.8099999</v>
      </c>
      <c r="K194" s="23"/>
      <c r="M194" s="24"/>
    </row>
    <row r="195" spans="1:13" ht="11.45" customHeight="1" x14ac:dyDescent="0.25">
      <c r="A195" s="15">
        <v>200</v>
      </c>
      <c r="B195" s="6">
        <v>44651</v>
      </c>
      <c r="C195" s="5">
        <v>9</v>
      </c>
      <c r="D195" s="5" t="str">
        <f t="shared" si="26"/>
        <v>1867</v>
      </c>
      <c r="E195" s="7" t="str">
        <f t="shared" si="27"/>
        <v>Прочие дебиторы по неосновной деятельности</v>
      </c>
      <c r="F195" s="5" t="str">
        <f t="shared" si="28"/>
        <v>1</v>
      </c>
      <c r="G195" s="5" t="str">
        <f>"8"</f>
        <v>8</v>
      </c>
      <c r="H195" s="5" t="str">
        <f t="shared" si="29"/>
        <v>1</v>
      </c>
      <c r="I195" s="16">
        <v>512620</v>
      </c>
      <c r="K195" s="23"/>
      <c r="M195" s="24"/>
    </row>
    <row r="196" spans="1:13" ht="11.45" customHeight="1" x14ac:dyDescent="0.25">
      <c r="A196" s="15">
        <v>65</v>
      </c>
      <c r="B196" s="6">
        <v>44651</v>
      </c>
      <c r="C196" s="5">
        <v>9</v>
      </c>
      <c r="D196" s="5" t="str">
        <f t="shared" si="26"/>
        <v>1867</v>
      </c>
      <c r="E196" s="7" t="str">
        <f t="shared" si="27"/>
        <v>Прочие дебиторы по неосновной деятельности</v>
      </c>
      <c r="F196" s="5" t="str">
        <f t="shared" si="28"/>
        <v>1</v>
      </c>
      <c r="G196" s="5" t="str">
        <f>"9"</f>
        <v>9</v>
      </c>
      <c r="H196" s="5" t="str">
        <f t="shared" si="29"/>
        <v>1</v>
      </c>
      <c r="I196" s="16">
        <v>20006316.300000001</v>
      </c>
      <c r="K196" s="23"/>
      <c r="M196" s="24"/>
    </row>
    <row r="197" spans="1:13" ht="11.45" customHeight="1" x14ac:dyDescent="0.25">
      <c r="A197" s="15">
        <v>61</v>
      </c>
      <c r="B197" s="6">
        <v>44651</v>
      </c>
      <c r="C197" s="5">
        <v>9</v>
      </c>
      <c r="D197" s="5" t="str">
        <f t="shared" si="26"/>
        <v>1867</v>
      </c>
      <c r="E197" s="7" t="str">
        <f t="shared" si="27"/>
        <v>Прочие дебиторы по неосновной деятельности</v>
      </c>
      <c r="F197" s="5" t="str">
        <f>"2"</f>
        <v>2</v>
      </c>
      <c r="G197" s="5" t="str">
        <f>"7"</f>
        <v>7</v>
      </c>
      <c r="H197" s="5" t="str">
        <f t="shared" si="29"/>
        <v>1</v>
      </c>
      <c r="I197" s="16">
        <v>346887539.01999998</v>
      </c>
      <c r="K197" s="23"/>
      <c r="M197" s="24"/>
    </row>
    <row r="198" spans="1:13" ht="11.45" customHeight="1" x14ac:dyDescent="0.25">
      <c r="A198" s="15">
        <v>335</v>
      </c>
      <c r="B198" s="6">
        <v>44651</v>
      </c>
      <c r="C198" s="5">
        <v>9</v>
      </c>
      <c r="D198" s="5" t="str">
        <f t="shared" si="26"/>
        <v>1867</v>
      </c>
      <c r="E198" s="7" t="str">
        <f t="shared" si="27"/>
        <v>Прочие дебиторы по неосновной деятельности</v>
      </c>
      <c r="F198" s="5" t="str">
        <f>"2"</f>
        <v>2</v>
      </c>
      <c r="G198" s="5" t="str">
        <f>"9"</f>
        <v>9</v>
      </c>
      <c r="H198" s="5" t="str">
        <f t="shared" si="29"/>
        <v>1</v>
      </c>
      <c r="I198" s="16">
        <v>1574630.46</v>
      </c>
      <c r="K198" s="23"/>
      <c r="M198" s="24"/>
    </row>
    <row r="199" spans="1:13" ht="11.45" customHeight="1" x14ac:dyDescent="0.25">
      <c r="A199" s="15">
        <v>597</v>
      </c>
      <c r="B199" s="6">
        <v>44651</v>
      </c>
      <c r="C199" s="5">
        <v>9</v>
      </c>
      <c r="D199" s="5" t="str">
        <f>"1870"</f>
        <v>1870</v>
      </c>
      <c r="E199" s="7" t="str">
        <f>"Прочие транзитные счета"</f>
        <v>Прочие транзитные счета</v>
      </c>
      <c r="F199" s="5" t="str">
        <f t="shared" ref="F199:F204" si="30">"1"</f>
        <v>1</v>
      </c>
      <c r="G199" s="5" t="str">
        <f>"4"</f>
        <v>4</v>
      </c>
      <c r="H199" s="5" t="str">
        <f>"2"</f>
        <v>2</v>
      </c>
      <c r="I199" s="16">
        <v>4983688.13</v>
      </c>
      <c r="K199" s="23"/>
      <c r="M199" s="24"/>
    </row>
    <row r="200" spans="1:13" ht="11.45" customHeight="1" x14ac:dyDescent="0.25">
      <c r="A200" s="15">
        <v>205</v>
      </c>
      <c r="B200" s="6">
        <v>44651</v>
      </c>
      <c r="C200" s="5">
        <v>9</v>
      </c>
      <c r="D200" s="5" t="str">
        <f>"1870"</f>
        <v>1870</v>
      </c>
      <c r="E200" s="7" t="str">
        <f>"Прочие транзитные счета"</f>
        <v>Прочие транзитные счета</v>
      </c>
      <c r="F200" s="5" t="str">
        <f t="shared" si="30"/>
        <v>1</v>
      </c>
      <c r="G200" s="5" t="str">
        <f>"9"</f>
        <v>9</v>
      </c>
      <c r="H200" s="5" t="str">
        <f>"1"</f>
        <v>1</v>
      </c>
      <c r="I200" s="16">
        <v>48260658.399999999</v>
      </c>
      <c r="K200" s="23"/>
      <c r="M200" s="24"/>
    </row>
    <row r="201" spans="1:13" ht="11.45" customHeight="1" x14ac:dyDescent="0.25">
      <c r="A201" s="15">
        <v>538</v>
      </c>
      <c r="B201" s="6">
        <v>44651</v>
      </c>
      <c r="C201" s="5">
        <v>9</v>
      </c>
      <c r="D201" s="5" t="str">
        <f t="shared" ref="D201:D207" si="31">"1877"</f>
        <v>1877</v>
      </c>
      <c r="E201" s="7" t="str">
        <f t="shared" ref="E201:E207" si="32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01" s="5" t="str">
        <f t="shared" si="30"/>
        <v>1</v>
      </c>
      <c r="G201" s="5" t="str">
        <f>"4"</f>
        <v>4</v>
      </c>
      <c r="H201" s="5" t="str">
        <f>"1"</f>
        <v>1</v>
      </c>
      <c r="I201" s="16">
        <v>-231910895.80000001</v>
      </c>
      <c r="K201" s="23"/>
      <c r="M201" s="24"/>
    </row>
    <row r="202" spans="1:13" ht="11.45" customHeight="1" x14ac:dyDescent="0.25">
      <c r="A202" s="15">
        <v>537</v>
      </c>
      <c r="B202" s="6">
        <v>44651</v>
      </c>
      <c r="C202" s="5">
        <v>9</v>
      </c>
      <c r="D202" s="5" t="str">
        <f t="shared" si="31"/>
        <v>1877</v>
      </c>
      <c r="E202" s="7" t="str">
        <f t="shared" si="32"/>
        <v>Резервы (провизии) по дебиторской задолженности, связанной с банковской деятельностью</v>
      </c>
      <c r="F202" s="5" t="str">
        <f t="shared" si="30"/>
        <v>1</v>
      </c>
      <c r="G202" s="5" t="str">
        <f>"7"</f>
        <v>7</v>
      </c>
      <c r="H202" s="5" t="str">
        <f>"1"</f>
        <v>1</v>
      </c>
      <c r="I202" s="16">
        <v>-312810331.98000002</v>
      </c>
      <c r="K202" s="23"/>
      <c r="M202" s="24"/>
    </row>
    <row r="203" spans="1:13" ht="11.45" customHeight="1" x14ac:dyDescent="0.25">
      <c r="A203" s="15">
        <v>66</v>
      </c>
      <c r="B203" s="6">
        <v>44651</v>
      </c>
      <c r="C203" s="5">
        <v>9</v>
      </c>
      <c r="D203" s="5" t="str">
        <f t="shared" si="31"/>
        <v>1877</v>
      </c>
      <c r="E203" s="7" t="str">
        <f t="shared" si="32"/>
        <v>Резервы (провизии) по дебиторской задолженности, связанной с банковской деятельностью</v>
      </c>
      <c r="F203" s="5" t="str">
        <f t="shared" si="30"/>
        <v>1</v>
      </c>
      <c r="G203" s="5" t="str">
        <f>"9"</f>
        <v>9</v>
      </c>
      <c r="H203" s="5" t="str">
        <f>"1"</f>
        <v>1</v>
      </c>
      <c r="I203" s="16">
        <v>-1355767166.8399999</v>
      </c>
      <c r="K203" s="23"/>
      <c r="M203" s="24"/>
    </row>
    <row r="204" spans="1:13" ht="11.45" customHeight="1" x14ac:dyDescent="0.25">
      <c r="A204" s="15">
        <v>14</v>
      </c>
      <c r="B204" s="6">
        <v>44651</v>
      </c>
      <c r="C204" s="5">
        <v>9</v>
      </c>
      <c r="D204" s="5" t="str">
        <f t="shared" si="31"/>
        <v>1877</v>
      </c>
      <c r="E204" s="7" t="str">
        <f t="shared" si="32"/>
        <v>Резервы (провизии) по дебиторской задолженности, связанной с банковской деятельностью</v>
      </c>
      <c r="F204" s="5" t="str">
        <f t="shared" si="30"/>
        <v>1</v>
      </c>
      <c r="G204" s="5" t="str">
        <f>"9"</f>
        <v>9</v>
      </c>
      <c r="H204" s="5" t="str">
        <f>"2"</f>
        <v>2</v>
      </c>
      <c r="I204" s="16">
        <v>-4704408.03</v>
      </c>
      <c r="K204" s="23"/>
      <c r="M204" s="24"/>
    </row>
    <row r="205" spans="1:13" ht="11.45" customHeight="1" x14ac:dyDescent="0.25">
      <c r="A205" s="15">
        <v>503</v>
      </c>
      <c r="B205" s="6">
        <v>44651</v>
      </c>
      <c r="C205" s="5">
        <v>9</v>
      </c>
      <c r="D205" s="5" t="str">
        <f t="shared" si="31"/>
        <v>1877</v>
      </c>
      <c r="E205" s="7" t="str">
        <f t="shared" si="32"/>
        <v>Резервы (провизии) по дебиторской задолженности, связанной с банковской деятельностью</v>
      </c>
      <c r="F205" s="5" t="str">
        <f>"2"</f>
        <v>2</v>
      </c>
      <c r="G205" s="5" t="str">
        <f>"7"</f>
        <v>7</v>
      </c>
      <c r="H205" s="5" t="str">
        <f>"2"</f>
        <v>2</v>
      </c>
      <c r="I205" s="16">
        <v>-4707310.8499999996</v>
      </c>
      <c r="K205" s="23"/>
      <c r="M205" s="24"/>
    </row>
    <row r="206" spans="1:13" ht="11.45" customHeight="1" x14ac:dyDescent="0.25">
      <c r="A206" s="15">
        <v>381</v>
      </c>
      <c r="B206" s="6">
        <v>44651</v>
      </c>
      <c r="C206" s="5">
        <v>9</v>
      </c>
      <c r="D206" s="5" t="str">
        <f t="shared" si="31"/>
        <v>1877</v>
      </c>
      <c r="E206" s="7" t="str">
        <f t="shared" si="32"/>
        <v>Резервы (провизии) по дебиторской задолженности, связанной с банковской деятельностью</v>
      </c>
      <c r="F206" s="5" t="str">
        <f>"2"</f>
        <v>2</v>
      </c>
      <c r="G206" s="5" t="str">
        <f>"9"</f>
        <v>9</v>
      </c>
      <c r="H206" s="5" t="str">
        <f>"1"</f>
        <v>1</v>
      </c>
      <c r="I206" s="16">
        <v>-48922960.240000002</v>
      </c>
      <c r="K206" s="23"/>
      <c r="M206" s="24"/>
    </row>
    <row r="207" spans="1:13" ht="11.45" customHeight="1" x14ac:dyDescent="0.25">
      <c r="A207" s="15">
        <v>201</v>
      </c>
      <c r="B207" s="6">
        <v>44651</v>
      </c>
      <c r="C207" s="5">
        <v>9</v>
      </c>
      <c r="D207" s="5" t="str">
        <f t="shared" si="31"/>
        <v>1877</v>
      </c>
      <c r="E207" s="7" t="str">
        <f t="shared" si="32"/>
        <v>Резервы (провизии) по дебиторской задолженности, связанной с банковской деятельностью</v>
      </c>
      <c r="F207" s="5" t="str">
        <f>"2"</f>
        <v>2</v>
      </c>
      <c r="G207" s="5" t="str">
        <f>"9"</f>
        <v>9</v>
      </c>
      <c r="H207" s="5" t="str">
        <f>"2"</f>
        <v>2</v>
      </c>
      <c r="I207" s="16">
        <v>-28925.48</v>
      </c>
      <c r="K207" s="23"/>
      <c r="M207" s="24"/>
    </row>
    <row r="208" spans="1:13" ht="11.45" customHeight="1" x14ac:dyDescent="0.25">
      <c r="A208" s="15">
        <v>353</v>
      </c>
      <c r="B208" s="6">
        <v>44651</v>
      </c>
      <c r="C208" s="5">
        <v>9</v>
      </c>
      <c r="D208" s="5" t="str">
        <f>"1878"</f>
        <v>1878</v>
      </c>
      <c r="E208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08" s="5" t="str">
        <f>"1"</f>
        <v>1</v>
      </c>
      <c r="G208" s="5" t="str">
        <f>"1"</f>
        <v>1</v>
      </c>
      <c r="H208" s="5" t="str">
        <f>"1"</f>
        <v>1</v>
      </c>
      <c r="I208" s="16">
        <v>-80150242.819999993</v>
      </c>
      <c r="K208" s="23"/>
      <c r="M208" s="24"/>
    </row>
    <row r="209" spans="1:13" ht="11.45" customHeight="1" x14ac:dyDescent="0.25">
      <c r="A209" s="15">
        <v>70</v>
      </c>
      <c r="B209" s="6">
        <v>44651</v>
      </c>
      <c r="C209" s="5">
        <v>9</v>
      </c>
      <c r="D209" s="5" t="str">
        <f>"1878"</f>
        <v>1878</v>
      </c>
      <c r="E209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09" s="5" t="str">
        <f>"1"</f>
        <v>1</v>
      </c>
      <c r="G209" s="5" t="str">
        <f>"7"</f>
        <v>7</v>
      </c>
      <c r="H209" s="5" t="str">
        <f>"1"</f>
        <v>1</v>
      </c>
      <c r="I209" s="16">
        <v>-833264430.17999995</v>
      </c>
      <c r="K209" s="23"/>
      <c r="M209" s="24"/>
    </row>
    <row r="210" spans="1:13" ht="11.45" customHeight="1" x14ac:dyDescent="0.25">
      <c r="A210" s="15">
        <v>396</v>
      </c>
      <c r="B210" s="6">
        <v>44651</v>
      </c>
      <c r="C210" s="5">
        <v>9</v>
      </c>
      <c r="D210" s="5" t="str">
        <f>"1878"</f>
        <v>1878</v>
      </c>
      <c r="E210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0" s="5" t="str">
        <f>"2"</f>
        <v>2</v>
      </c>
      <c r="G210" s="5" t="str">
        <f>"7"</f>
        <v>7</v>
      </c>
      <c r="H210" s="5" t="str">
        <f>"1"</f>
        <v>1</v>
      </c>
      <c r="I210" s="16">
        <v>-51267870.399999999</v>
      </c>
      <c r="K210" s="23"/>
      <c r="M210" s="24"/>
    </row>
    <row r="211" spans="1:13" ht="11.45" customHeight="1" x14ac:dyDescent="0.25">
      <c r="A211" s="15">
        <v>213</v>
      </c>
      <c r="B211" s="6">
        <v>44651</v>
      </c>
      <c r="C211" s="5">
        <v>9</v>
      </c>
      <c r="D211" s="5" t="str">
        <f>"1879"</f>
        <v>1879</v>
      </c>
      <c r="E211" s="7" t="str">
        <f>"Начисленная неустойка (штраф, пеня)"</f>
        <v>Начисленная неустойка (штраф, пеня)</v>
      </c>
      <c r="F211" s="5" t="str">
        <f>"1"</f>
        <v>1</v>
      </c>
      <c r="G211" s="5" t="str">
        <f>"7"</f>
        <v>7</v>
      </c>
      <c r="H211" s="5" t="str">
        <f>"1"</f>
        <v>1</v>
      </c>
      <c r="I211" s="16">
        <v>1774.24</v>
      </c>
      <c r="K211" s="23"/>
      <c r="M211" s="24"/>
    </row>
    <row r="212" spans="1:13" ht="11.45" customHeight="1" x14ac:dyDescent="0.25">
      <c r="A212" s="15">
        <v>212</v>
      </c>
      <c r="B212" s="6">
        <v>44651</v>
      </c>
      <c r="C212" s="5">
        <v>9</v>
      </c>
      <c r="D212" s="5" t="str">
        <f>"1892"</f>
        <v>1892</v>
      </c>
      <c r="E212" s="7" t="str">
        <f>"Требования по операциям форвард"</f>
        <v>Требования по операциям форвард</v>
      </c>
      <c r="F212" s="5" t="str">
        <f>"2"</f>
        <v>2</v>
      </c>
      <c r="G212" s="5" t="str">
        <f>"4"</f>
        <v>4</v>
      </c>
      <c r="H212" s="5" t="str">
        <f>"1"</f>
        <v>1</v>
      </c>
      <c r="I212" s="16">
        <v>205400000</v>
      </c>
      <c r="K212" s="23"/>
      <c r="M212" s="24"/>
    </row>
    <row r="213" spans="1:13" ht="11.45" customHeight="1" x14ac:dyDescent="0.25">
      <c r="A213" s="15">
        <v>540</v>
      </c>
      <c r="B213" s="6">
        <v>44651</v>
      </c>
      <c r="C213" s="5">
        <v>9</v>
      </c>
      <c r="D213" s="5" t="str">
        <f>"1894"</f>
        <v>1894</v>
      </c>
      <c r="E213" s="7" t="str">
        <f>"Требования по операциям спот"</f>
        <v>Требования по операциям спот</v>
      </c>
      <c r="F213" s="5" t="str">
        <f>"1"</f>
        <v>1</v>
      </c>
      <c r="G213" s="5" t="str">
        <f>"4"</f>
        <v>4</v>
      </c>
      <c r="H213" s="5" t="str">
        <f>"2"</f>
        <v>2</v>
      </c>
      <c r="I213" s="16">
        <v>1553940000</v>
      </c>
      <c r="K213" s="23"/>
      <c r="M213" s="24"/>
    </row>
    <row r="214" spans="1:13" ht="11.45" customHeight="1" x14ac:dyDescent="0.25">
      <c r="A214" s="15">
        <v>208</v>
      </c>
      <c r="B214" s="6">
        <v>44651</v>
      </c>
      <c r="C214" s="5">
        <v>9</v>
      </c>
      <c r="D214" s="5" t="str">
        <f>"1894"</f>
        <v>1894</v>
      </c>
      <c r="E214" s="7" t="str">
        <f>"Требования по операциям спот"</f>
        <v>Требования по операциям спот</v>
      </c>
      <c r="F214" s="5" t="str">
        <f>"1"</f>
        <v>1</v>
      </c>
      <c r="G214" s="5" t="str">
        <f>"5"</f>
        <v>5</v>
      </c>
      <c r="H214" s="5" t="str">
        <f>"2"</f>
        <v>2</v>
      </c>
      <c r="I214" s="16">
        <v>7460960000</v>
      </c>
      <c r="K214" s="23"/>
      <c r="M214" s="24"/>
    </row>
    <row r="215" spans="1:13" ht="11.45" customHeight="1" x14ac:dyDescent="0.25">
      <c r="A215" s="15">
        <v>209</v>
      </c>
      <c r="B215" s="6">
        <v>44651</v>
      </c>
      <c r="C215" s="5">
        <v>9</v>
      </c>
      <c r="D215" s="5" t="str">
        <f>"1894"</f>
        <v>1894</v>
      </c>
      <c r="E215" s="7" t="str">
        <f>"Требования по операциям спот"</f>
        <v>Требования по операциям спот</v>
      </c>
      <c r="F215" s="5" t="str">
        <f>"2"</f>
        <v>2</v>
      </c>
      <c r="G215" s="5" t="str">
        <f>"4"</f>
        <v>4</v>
      </c>
      <c r="H215" s="5" t="str">
        <f>"2"</f>
        <v>2</v>
      </c>
      <c r="I215" s="16">
        <v>449097500</v>
      </c>
      <c r="K215" s="23"/>
      <c r="M215" s="24"/>
    </row>
    <row r="216" spans="1:13" ht="11.45" customHeight="1" x14ac:dyDescent="0.25">
      <c r="A216" s="15">
        <v>570</v>
      </c>
      <c r="B216" s="6">
        <v>44651</v>
      </c>
      <c r="C216" s="5">
        <v>9</v>
      </c>
      <c r="D216" s="5" t="str">
        <f>"1894"</f>
        <v>1894</v>
      </c>
      <c r="E216" s="7" t="str">
        <f>"Требования по операциям спот"</f>
        <v>Требования по операциям спот</v>
      </c>
      <c r="F216" s="5" t="str">
        <f>"2"</f>
        <v>2</v>
      </c>
      <c r="G216" s="5" t="str">
        <f>"4"</f>
        <v>4</v>
      </c>
      <c r="H216" s="5" t="str">
        <f>"3"</f>
        <v>3</v>
      </c>
      <c r="I216" s="16">
        <v>11154704205</v>
      </c>
      <c r="K216" s="23"/>
      <c r="M216" s="24"/>
    </row>
    <row r="217" spans="1:13" ht="11.45" customHeight="1" x14ac:dyDescent="0.25">
      <c r="A217" s="15">
        <v>71</v>
      </c>
      <c r="B217" s="6">
        <v>44651</v>
      </c>
      <c r="C217" s="5">
        <v>9</v>
      </c>
      <c r="D217" s="5" t="str">
        <f>"1895"</f>
        <v>1895</v>
      </c>
      <c r="E217" s="7" t="str">
        <f>"Требования по операциям своп"</f>
        <v>Требования по операциям своп</v>
      </c>
      <c r="F217" s="5" t="str">
        <f>"1"</f>
        <v>1</v>
      </c>
      <c r="G217" s="5" t="str">
        <f>"5"</f>
        <v>5</v>
      </c>
      <c r="H217" s="5" t="str">
        <f>"2"</f>
        <v>2</v>
      </c>
      <c r="I217" s="16">
        <v>41967900000</v>
      </c>
      <c r="K217" s="23"/>
      <c r="M217" s="24"/>
    </row>
    <row r="218" spans="1:13" ht="11.45" customHeight="1" x14ac:dyDescent="0.25">
      <c r="A218" s="15">
        <v>211</v>
      </c>
      <c r="B218" s="6">
        <v>44651</v>
      </c>
      <c r="C218" s="5">
        <v>9</v>
      </c>
      <c r="D218" s="5" t="str">
        <f>"2013"</f>
        <v>2013</v>
      </c>
      <c r="E218" s="7" t="str">
        <f>"Корреспондентские счета других банков"</f>
        <v>Корреспондентские счета других банков</v>
      </c>
      <c r="F218" s="5" t="str">
        <f>"1"</f>
        <v>1</v>
      </c>
      <c r="G218" s="5" t="str">
        <f>"4"</f>
        <v>4</v>
      </c>
      <c r="H218" s="5" t="str">
        <f>"2"</f>
        <v>2</v>
      </c>
      <c r="I218" s="16">
        <v>217952827.69</v>
      </c>
      <c r="K218" s="23"/>
      <c r="M218" s="24"/>
    </row>
    <row r="219" spans="1:13" ht="11.45" customHeight="1" x14ac:dyDescent="0.25">
      <c r="A219" s="15">
        <v>69</v>
      </c>
      <c r="B219" s="6">
        <v>44651</v>
      </c>
      <c r="C219" s="5">
        <v>9</v>
      </c>
      <c r="D219" s="5" t="str">
        <f>"2013"</f>
        <v>2013</v>
      </c>
      <c r="E219" s="7" t="str">
        <f>"Корреспондентские счета других банков"</f>
        <v>Корреспондентские счета других банков</v>
      </c>
      <c r="F219" s="5" t="str">
        <f>"1"</f>
        <v>1</v>
      </c>
      <c r="G219" s="5" t="str">
        <f>"4"</f>
        <v>4</v>
      </c>
      <c r="H219" s="5" t="str">
        <f>"3"</f>
        <v>3</v>
      </c>
      <c r="I219" s="16">
        <v>149480.62</v>
      </c>
      <c r="K219" s="23"/>
      <c r="M219" s="24"/>
    </row>
    <row r="220" spans="1:13" ht="11.45" customHeight="1" x14ac:dyDescent="0.25">
      <c r="A220" s="15">
        <v>504</v>
      </c>
      <c r="B220" s="6">
        <v>44651</v>
      </c>
      <c r="C220" s="5">
        <v>9</v>
      </c>
      <c r="D220" s="5" t="str">
        <f>"2013"</f>
        <v>2013</v>
      </c>
      <c r="E220" s="7" t="str">
        <f>"Корреспондентские счета других банков"</f>
        <v>Корреспондентские счета других банков</v>
      </c>
      <c r="F220" s="5" t="str">
        <f>"2"</f>
        <v>2</v>
      </c>
      <c r="G220" s="5" t="str">
        <f>"4"</f>
        <v>4</v>
      </c>
      <c r="H220" s="5" t="str">
        <f>"1"</f>
        <v>1</v>
      </c>
      <c r="I220" s="16">
        <v>491295907.00999999</v>
      </c>
      <c r="K220" s="23"/>
      <c r="M220" s="24"/>
    </row>
    <row r="221" spans="1:13" ht="11.45" customHeight="1" x14ac:dyDescent="0.25">
      <c r="A221" s="15">
        <v>482</v>
      </c>
      <c r="B221" s="6">
        <v>44651</v>
      </c>
      <c r="C221" s="5">
        <v>9</v>
      </c>
      <c r="D221" s="5" t="str">
        <f>"2066"</f>
        <v>2066</v>
      </c>
      <c r="E221" s="7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221" s="5" t="str">
        <f>"1"</f>
        <v>1</v>
      </c>
      <c r="G221" s="5" t="str">
        <f>"5"</f>
        <v>5</v>
      </c>
      <c r="H221" s="5" t="str">
        <f>"1"</f>
        <v>1</v>
      </c>
      <c r="I221" s="16">
        <v>21336417095.32</v>
      </c>
      <c r="K221" s="23"/>
      <c r="M221" s="24"/>
    </row>
    <row r="222" spans="1:13" ht="11.45" customHeight="1" x14ac:dyDescent="0.25">
      <c r="A222" s="15">
        <v>323</v>
      </c>
      <c r="B222" s="6">
        <v>44651</v>
      </c>
      <c r="C222" s="5">
        <v>9</v>
      </c>
      <c r="D222" s="5" t="str">
        <f>"2127"</f>
        <v>2127</v>
      </c>
      <c r="E222" s="7" t="str">
        <f>"Долгосрочные вклады других банков"</f>
        <v>Долгосрочные вклады других банков</v>
      </c>
      <c r="F222" s="5" t="str">
        <f>"2"</f>
        <v>2</v>
      </c>
      <c r="G222" s="5" t="str">
        <f>"4"</f>
        <v>4</v>
      </c>
      <c r="H222" s="5" t="str">
        <f>"2"</f>
        <v>2</v>
      </c>
      <c r="I222" s="16">
        <v>5595720000</v>
      </c>
      <c r="K222" s="23"/>
      <c r="M222" s="24"/>
    </row>
    <row r="223" spans="1:13" ht="11.45" customHeight="1" x14ac:dyDescent="0.25">
      <c r="A223" s="15">
        <v>76</v>
      </c>
      <c r="B223" s="6">
        <v>44651</v>
      </c>
      <c r="C223" s="5">
        <v>9</v>
      </c>
      <c r="D223" s="5" t="str">
        <f>"2127"</f>
        <v>2127</v>
      </c>
      <c r="E223" s="7" t="str">
        <f>"Долгосрочные вклады других банков"</f>
        <v>Долгосрочные вклады других банков</v>
      </c>
      <c r="F223" s="5" t="str">
        <f>"2"</f>
        <v>2</v>
      </c>
      <c r="G223" s="5" t="str">
        <f>"4"</f>
        <v>4</v>
      </c>
      <c r="H223" s="5" t="str">
        <f>"3"</f>
        <v>3</v>
      </c>
      <c r="I223" s="16">
        <v>27930000000</v>
      </c>
      <c r="K223" s="23"/>
      <c r="M223" s="24"/>
    </row>
    <row r="224" spans="1:13" ht="11.45" customHeight="1" x14ac:dyDescent="0.25">
      <c r="A224" s="15">
        <v>336</v>
      </c>
      <c r="B224" s="6">
        <v>44651</v>
      </c>
      <c r="C224" s="5">
        <v>9</v>
      </c>
      <c r="D224" s="5" t="str">
        <f>"2131"</f>
        <v>2131</v>
      </c>
      <c r="E224" s="7" t="str">
        <f>"Счет хранения денег, принятых в качестве обеспечения (заклад, задаток) обязательств других банков"</f>
        <v>Счет хранения денег, принятых в качестве обеспечения (заклад, задаток) обязательств других банков</v>
      </c>
      <c r="F224" s="5" t="str">
        <f t="shared" ref="F224:F236" si="33">"1"</f>
        <v>1</v>
      </c>
      <c r="G224" s="5" t="str">
        <f>"4"</f>
        <v>4</v>
      </c>
      <c r="H224" s="5" t="str">
        <f>"2"</f>
        <v>2</v>
      </c>
      <c r="I224" s="16">
        <v>23315500</v>
      </c>
      <c r="K224" s="23"/>
      <c r="M224" s="24"/>
    </row>
    <row r="225" spans="1:13" ht="11.45" customHeight="1" x14ac:dyDescent="0.25">
      <c r="A225" s="15">
        <v>216</v>
      </c>
      <c r="B225" s="6">
        <v>44651</v>
      </c>
      <c r="C225" s="5">
        <v>9</v>
      </c>
      <c r="D225" s="5" t="str">
        <f t="shared" ref="D225:D248" si="34">"2203"</f>
        <v>2203</v>
      </c>
      <c r="E225" s="7" t="str">
        <f t="shared" ref="E225:E248" si="35">"Текущие счета юридических лиц"</f>
        <v>Текущие счета юридических лиц</v>
      </c>
      <c r="F225" s="5" t="str">
        <f t="shared" si="33"/>
        <v>1</v>
      </c>
      <c r="G225" s="5" t="str">
        <f>"5"</f>
        <v>5</v>
      </c>
      <c r="H225" s="5" t="str">
        <f>"1"</f>
        <v>1</v>
      </c>
      <c r="I225" s="16">
        <v>752085587.37</v>
      </c>
      <c r="K225" s="23"/>
      <c r="M225" s="24"/>
    </row>
    <row r="226" spans="1:13" ht="11.45" customHeight="1" x14ac:dyDescent="0.25">
      <c r="A226" s="15">
        <v>73</v>
      </c>
      <c r="B226" s="6">
        <v>44651</v>
      </c>
      <c r="C226" s="5">
        <v>9</v>
      </c>
      <c r="D226" s="5" t="str">
        <f t="shared" si="34"/>
        <v>2203</v>
      </c>
      <c r="E226" s="7" t="str">
        <f t="shared" si="35"/>
        <v>Текущие счета юридических лиц</v>
      </c>
      <c r="F226" s="5" t="str">
        <f t="shared" si="33"/>
        <v>1</v>
      </c>
      <c r="G226" s="5" t="str">
        <f>"5"</f>
        <v>5</v>
      </c>
      <c r="H226" s="5" t="str">
        <f>"2"</f>
        <v>2</v>
      </c>
      <c r="I226" s="16">
        <v>172791659.93000001</v>
      </c>
      <c r="K226" s="23"/>
      <c r="M226" s="24"/>
    </row>
    <row r="227" spans="1:13" ht="11.45" customHeight="1" x14ac:dyDescent="0.25">
      <c r="A227" s="15">
        <v>77</v>
      </c>
      <c r="B227" s="6">
        <v>44651</v>
      </c>
      <c r="C227" s="5">
        <v>9</v>
      </c>
      <c r="D227" s="5" t="str">
        <f t="shared" si="34"/>
        <v>2203</v>
      </c>
      <c r="E227" s="7" t="str">
        <f t="shared" si="35"/>
        <v>Текущие счета юридических лиц</v>
      </c>
      <c r="F227" s="5" t="str">
        <f t="shared" si="33"/>
        <v>1</v>
      </c>
      <c r="G227" s="5" t="str">
        <f>"5"</f>
        <v>5</v>
      </c>
      <c r="H227" s="5" t="str">
        <f>"3"</f>
        <v>3</v>
      </c>
      <c r="I227" s="16">
        <v>17405750.050000001</v>
      </c>
      <c r="K227" s="23"/>
      <c r="M227" s="24"/>
    </row>
    <row r="228" spans="1:13" ht="11.45" customHeight="1" x14ac:dyDescent="0.25">
      <c r="A228" s="15">
        <v>72</v>
      </c>
      <c r="B228" s="6">
        <v>44651</v>
      </c>
      <c r="C228" s="5">
        <v>9</v>
      </c>
      <c r="D228" s="5" t="str">
        <f t="shared" si="34"/>
        <v>2203</v>
      </c>
      <c r="E228" s="7" t="str">
        <f t="shared" si="35"/>
        <v>Текущие счета юридических лиц</v>
      </c>
      <c r="F228" s="5" t="str">
        <f t="shared" si="33"/>
        <v>1</v>
      </c>
      <c r="G228" s="5" t="str">
        <f>"6"</f>
        <v>6</v>
      </c>
      <c r="H228" s="5" t="str">
        <f>"1"</f>
        <v>1</v>
      </c>
      <c r="I228" s="16">
        <v>573393529.21000004</v>
      </c>
      <c r="K228" s="23"/>
      <c r="M228" s="24"/>
    </row>
    <row r="229" spans="1:13" ht="11.45" customHeight="1" x14ac:dyDescent="0.25">
      <c r="A229" s="15">
        <v>354</v>
      </c>
      <c r="B229" s="6">
        <v>44651</v>
      </c>
      <c r="C229" s="5">
        <v>9</v>
      </c>
      <c r="D229" s="5" t="str">
        <f t="shared" si="34"/>
        <v>2203</v>
      </c>
      <c r="E229" s="7" t="str">
        <f t="shared" si="35"/>
        <v>Текущие счета юридических лиц</v>
      </c>
      <c r="F229" s="5" t="str">
        <f t="shared" si="33"/>
        <v>1</v>
      </c>
      <c r="G229" s="5" t="str">
        <f>"6"</f>
        <v>6</v>
      </c>
      <c r="H229" s="5" t="str">
        <f>"2"</f>
        <v>2</v>
      </c>
      <c r="I229" s="16">
        <v>604623248.87</v>
      </c>
      <c r="K229" s="23"/>
      <c r="M229" s="24"/>
    </row>
    <row r="230" spans="1:13" ht="11.45" customHeight="1" x14ac:dyDescent="0.25">
      <c r="A230" s="15">
        <v>422</v>
      </c>
      <c r="B230" s="6">
        <v>44651</v>
      </c>
      <c r="C230" s="5">
        <v>9</v>
      </c>
      <c r="D230" s="5" t="str">
        <f t="shared" si="34"/>
        <v>2203</v>
      </c>
      <c r="E230" s="7" t="str">
        <f t="shared" si="35"/>
        <v>Текущие счета юридических лиц</v>
      </c>
      <c r="F230" s="5" t="str">
        <f t="shared" si="33"/>
        <v>1</v>
      </c>
      <c r="G230" s="5" t="str">
        <f>"6"</f>
        <v>6</v>
      </c>
      <c r="H230" s="5" t="str">
        <f>"3"</f>
        <v>3</v>
      </c>
      <c r="I230" s="16">
        <v>5005811.1900000004</v>
      </c>
      <c r="K230" s="23"/>
      <c r="M230" s="24"/>
    </row>
    <row r="231" spans="1:13" ht="11.45" customHeight="1" x14ac:dyDescent="0.25">
      <c r="A231" s="15">
        <v>399</v>
      </c>
      <c r="B231" s="6">
        <v>44651</v>
      </c>
      <c r="C231" s="5">
        <v>9</v>
      </c>
      <c r="D231" s="5" t="str">
        <f t="shared" si="34"/>
        <v>2203</v>
      </c>
      <c r="E231" s="7" t="str">
        <f t="shared" si="35"/>
        <v>Текущие счета юридических лиц</v>
      </c>
      <c r="F231" s="5" t="str">
        <f t="shared" si="33"/>
        <v>1</v>
      </c>
      <c r="G231" s="5" t="str">
        <f>"7"</f>
        <v>7</v>
      </c>
      <c r="H231" s="5" t="str">
        <f>"1"</f>
        <v>1</v>
      </c>
      <c r="I231" s="16">
        <v>119304199474.89999</v>
      </c>
      <c r="K231" s="23"/>
      <c r="M231" s="24"/>
    </row>
    <row r="232" spans="1:13" ht="11.45" customHeight="1" x14ac:dyDescent="0.25">
      <c r="A232" s="15">
        <v>210</v>
      </c>
      <c r="B232" s="6">
        <v>44651</v>
      </c>
      <c r="C232" s="5">
        <v>9</v>
      </c>
      <c r="D232" s="5" t="str">
        <f t="shared" si="34"/>
        <v>2203</v>
      </c>
      <c r="E232" s="7" t="str">
        <f t="shared" si="35"/>
        <v>Текущие счета юридических лиц</v>
      </c>
      <c r="F232" s="5" t="str">
        <f t="shared" si="33"/>
        <v>1</v>
      </c>
      <c r="G232" s="5" t="str">
        <f>"7"</f>
        <v>7</v>
      </c>
      <c r="H232" s="5" t="str">
        <f>"2"</f>
        <v>2</v>
      </c>
      <c r="I232" s="16">
        <v>56897354982.379997</v>
      </c>
      <c r="K232" s="23"/>
      <c r="M232" s="24"/>
    </row>
    <row r="233" spans="1:13" ht="11.45" customHeight="1" x14ac:dyDescent="0.25">
      <c r="A233" s="15">
        <v>215</v>
      </c>
      <c r="B233" s="6">
        <v>44651</v>
      </c>
      <c r="C233" s="5">
        <v>9</v>
      </c>
      <c r="D233" s="5" t="str">
        <f t="shared" si="34"/>
        <v>2203</v>
      </c>
      <c r="E233" s="7" t="str">
        <f t="shared" si="35"/>
        <v>Текущие счета юридических лиц</v>
      </c>
      <c r="F233" s="5" t="str">
        <f t="shared" si="33"/>
        <v>1</v>
      </c>
      <c r="G233" s="5" t="str">
        <f>"7"</f>
        <v>7</v>
      </c>
      <c r="H233" s="5" t="str">
        <f>"3"</f>
        <v>3</v>
      </c>
      <c r="I233" s="16">
        <v>25445904560.869999</v>
      </c>
      <c r="K233" s="23"/>
      <c r="M233" s="24"/>
    </row>
    <row r="234" spans="1:13" ht="11.45" customHeight="1" x14ac:dyDescent="0.25">
      <c r="A234" s="15">
        <v>324</v>
      </c>
      <c r="B234" s="6">
        <v>44651</v>
      </c>
      <c r="C234" s="5">
        <v>9</v>
      </c>
      <c r="D234" s="5" t="str">
        <f t="shared" si="34"/>
        <v>2203</v>
      </c>
      <c r="E234" s="7" t="str">
        <f t="shared" si="35"/>
        <v>Текущие счета юридических лиц</v>
      </c>
      <c r="F234" s="5" t="str">
        <f t="shared" si="33"/>
        <v>1</v>
      </c>
      <c r="G234" s="5" t="str">
        <f>"8"</f>
        <v>8</v>
      </c>
      <c r="H234" s="5" t="str">
        <f>"1"</f>
        <v>1</v>
      </c>
      <c r="I234" s="16">
        <v>1076093020.8800001</v>
      </c>
      <c r="K234" s="23"/>
      <c r="M234" s="24"/>
    </row>
    <row r="235" spans="1:13" ht="11.45" customHeight="1" x14ac:dyDescent="0.25">
      <c r="A235" s="15">
        <v>527</v>
      </c>
      <c r="B235" s="6">
        <v>44651</v>
      </c>
      <c r="C235" s="5">
        <v>9</v>
      </c>
      <c r="D235" s="5" t="str">
        <f t="shared" si="34"/>
        <v>2203</v>
      </c>
      <c r="E235" s="7" t="str">
        <f t="shared" si="35"/>
        <v>Текущие счета юридических лиц</v>
      </c>
      <c r="F235" s="5" t="str">
        <f t="shared" si="33"/>
        <v>1</v>
      </c>
      <c r="G235" s="5" t="str">
        <f>"8"</f>
        <v>8</v>
      </c>
      <c r="H235" s="5" t="str">
        <f>"2"</f>
        <v>2</v>
      </c>
      <c r="I235" s="16">
        <v>387835630.49000001</v>
      </c>
      <c r="K235" s="23"/>
      <c r="M235" s="24"/>
    </row>
    <row r="236" spans="1:13" ht="11.45" customHeight="1" x14ac:dyDescent="0.25">
      <c r="A236" s="15">
        <v>505</v>
      </c>
      <c r="B236" s="6">
        <v>44651</v>
      </c>
      <c r="C236" s="5">
        <v>9</v>
      </c>
      <c r="D236" s="5" t="str">
        <f t="shared" si="34"/>
        <v>2203</v>
      </c>
      <c r="E236" s="7" t="str">
        <f t="shared" si="35"/>
        <v>Текущие счета юридических лиц</v>
      </c>
      <c r="F236" s="5" t="str">
        <f t="shared" si="33"/>
        <v>1</v>
      </c>
      <c r="G236" s="5" t="str">
        <f>"8"</f>
        <v>8</v>
      </c>
      <c r="H236" s="5" t="str">
        <f>"3"</f>
        <v>3</v>
      </c>
      <c r="I236" s="16">
        <v>22867192.800000001</v>
      </c>
      <c r="K236" s="23"/>
      <c r="M236" s="24"/>
    </row>
    <row r="237" spans="1:13" ht="11.45" customHeight="1" x14ac:dyDescent="0.25">
      <c r="A237" s="15">
        <v>506</v>
      </c>
      <c r="B237" s="6">
        <v>44651</v>
      </c>
      <c r="C237" s="5">
        <v>9</v>
      </c>
      <c r="D237" s="5" t="str">
        <f t="shared" si="34"/>
        <v>2203</v>
      </c>
      <c r="E237" s="7" t="str">
        <f t="shared" si="35"/>
        <v>Текущие счета юридических лиц</v>
      </c>
      <c r="F237" s="5" t="str">
        <f t="shared" ref="F237:F248" si="36">"2"</f>
        <v>2</v>
      </c>
      <c r="G237" s="5" t="str">
        <f>"1"</f>
        <v>1</v>
      </c>
      <c r="H237" s="5" t="str">
        <f>"1"</f>
        <v>1</v>
      </c>
      <c r="I237" s="16">
        <v>188417164.00999999</v>
      </c>
      <c r="K237" s="23"/>
      <c r="M237" s="24"/>
    </row>
    <row r="238" spans="1:13" ht="11.45" customHeight="1" x14ac:dyDescent="0.25">
      <c r="A238" s="15">
        <v>382</v>
      </c>
      <c r="B238" s="6">
        <v>44651</v>
      </c>
      <c r="C238" s="5">
        <v>9</v>
      </c>
      <c r="D238" s="5" t="str">
        <f t="shared" si="34"/>
        <v>2203</v>
      </c>
      <c r="E238" s="7" t="str">
        <f t="shared" si="35"/>
        <v>Текущие счета юридических лиц</v>
      </c>
      <c r="F238" s="5" t="str">
        <f t="shared" si="36"/>
        <v>2</v>
      </c>
      <c r="G238" s="5" t="str">
        <f>"1"</f>
        <v>1</v>
      </c>
      <c r="H238" s="5" t="str">
        <f>"2"</f>
        <v>2</v>
      </c>
      <c r="I238" s="16">
        <v>196036766.72</v>
      </c>
      <c r="K238" s="23"/>
      <c r="M238" s="24"/>
    </row>
    <row r="239" spans="1:13" ht="11.45" customHeight="1" x14ac:dyDescent="0.25">
      <c r="A239" s="15">
        <v>598</v>
      </c>
      <c r="B239" s="6">
        <v>44651</v>
      </c>
      <c r="C239" s="5">
        <v>9</v>
      </c>
      <c r="D239" s="5" t="str">
        <f t="shared" si="34"/>
        <v>2203</v>
      </c>
      <c r="E239" s="7" t="str">
        <f t="shared" si="35"/>
        <v>Текущие счета юридических лиц</v>
      </c>
      <c r="F239" s="5" t="str">
        <f t="shared" si="36"/>
        <v>2</v>
      </c>
      <c r="G239" s="5" t="str">
        <f>"5"</f>
        <v>5</v>
      </c>
      <c r="H239" s="5" t="str">
        <f>"1"</f>
        <v>1</v>
      </c>
      <c r="I239" s="16">
        <v>135333.43</v>
      </c>
      <c r="K239" s="23"/>
      <c r="M239" s="24"/>
    </row>
    <row r="240" spans="1:13" ht="11.45" customHeight="1" x14ac:dyDescent="0.25">
      <c r="A240" s="15">
        <v>75</v>
      </c>
      <c r="B240" s="6">
        <v>44651</v>
      </c>
      <c r="C240" s="5">
        <v>9</v>
      </c>
      <c r="D240" s="5" t="str">
        <f t="shared" si="34"/>
        <v>2203</v>
      </c>
      <c r="E240" s="7" t="str">
        <f t="shared" si="35"/>
        <v>Текущие счета юридических лиц</v>
      </c>
      <c r="F240" s="5" t="str">
        <f t="shared" si="36"/>
        <v>2</v>
      </c>
      <c r="G240" s="5" t="str">
        <f>"5"</f>
        <v>5</v>
      </c>
      <c r="H240" s="5" t="str">
        <f>"2"</f>
        <v>2</v>
      </c>
      <c r="I240" s="16">
        <v>130303.05</v>
      </c>
      <c r="K240" s="23"/>
      <c r="M240" s="24"/>
    </row>
    <row r="241" spans="1:13" ht="11.45" customHeight="1" x14ac:dyDescent="0.25">
      <c r="A241" s="15">
        <v>539</v>
      </c>
      <c r="B241" s="6">
        <v>44651</v>
      </c>
      <c r="C241" s="5">
        <v>9</v>
      </c>
      <c r="D241" s="5" t="str">
        <f t="shared" si="34"/>
        <v>2203</v>
      </c>
      <c r="E241" s="7" t="str">
        <f t="shared" si="35"/>
        <v>Текущие счета юридических лиц</v>
      </c>
      <c r="F241" s="5" t="str">
        <f t="shared" si="36"/>
        <v>2</v>
      </c>
      <c r="G241" s="5" t="str">
        <f>"5"</f>
        <v>5</v>
      </c>
      <c r="H241" s="5" t="str">
        <f>"3"</f>
        <v>3</v>
      </c>
      <c r="I241" s="16">
        <v>570011.74</v>
      </c>
      <c r="K241" s="23"/>
      <c r="M241" s="24"/>
    </row>
    <row r="242" spans="1:13" ht="11.45" customHeight="1" x14ac:dyDescent="0.25">
      <c r="A242" s="15">
        <v>74</v>
      </c>
      <c r="B242" s="6">
        <v>44651</v>
      </c>
      <c r="C242" s="5">
        <v>9</v>
      </c>
      <c r="D242" s="5" t="str">
        <f t="shared" si="34"/>
        <v>2203</v>
      </c>
      <c r="E242" s="7" t="str">
        <f t="shared" si="35"/>
        <v>Текущие счета юридических лиц</v>
      </c>
      <c r="F242" s="5" t="str">
        <f t="shared" si="36"/>
        <v>2</v>
      </c>
      <c r="G242" s="5" t="str">
        <f>"6"</f>
        <v>6</v>
      </c>
      <c r="H242" s="5" t="str">
        <f>"1"</f>
        <v>1</v>
      </c>
      <c r="I242" s="16">
        <v>6680397.2800000003</v>
      </c>
      <c r="K242" s="23"/>
      <c r="M242" s="24"/>
    </row>
    <row r="243" spans="1:13" ht="11.45" customHeight="1" x14ac:dyDescent="0.25">
      <c r="A243" s="15">
        <v>214</v>
      </c>
      <c r="B243" s="6">
        <v>44651</v>
      </c>
      <c r="C243" s="5">
        <v>9</v>
      </c>
      <c r="D243" s="5" t="str">
        <f t="shared" si="34"/>
        <v>2203</v>
      </c>
      <c r="E243" s="7" t="str">
        <f t="shared" si="35"/>
        <v>Текущие счета юридических лиц</v>
      </c>
      <c r="F243" s="5" t="str">
        <f t="shared" si="36"/>
        <v>2</v>
      </c>
      <c r="G243" s="5" t="str">
        <f>"6"</f>
        <v>6</v>
      </c>
      <c r="H243" s="5" t="str">
        <f>"2"</f>
        <v>2</v>
      </c>
      <c r="I243" s="16">
        <v>230093520.97</v>
      </c>
      <c r="K243" s="23"/>
      <c r="M243" s="24"/>
    </row>
    <row r="244" spans="1:13" ht="11.45" customHeight="1" x14ac:dyDescent="0.25">
      <c r="A244" s="15">
        <v>541</v>
      </c>
      <c r="B244" s="6">
        <v>44651</v>
      </c>
      <c r="C244" s="5">
        <v>9</v>
      </c>
      <c r="D244" s="5" t="str">
        <f t="shared" si="34"/>
        <v>2203</v>
      </c>
      <c r="E244" s="7" t="str">
        <f t="shared" si="35"/>
        <v>Текущие счета юридических лиц</v>
      </c>
      <c r="F244" s="5" t="str">
        <f t="shared" si="36"/>
        <v>2</v>
      </c>
      <c r="G244" s="5" t="str">
        <f>"7"</f>
        <v>7</v>
      </c>
      <c r="H244" s="5" t="str">
        <f>"1"</f>
        <v>1</v>
      </c>
      <c r="I244" s="16">
        <v>114728553.40000001</v>
      </c>
      <c r="K244" s="23"/>
      <c r="M244" s="24"/>
    </row>
    <row r="245" spans="1:13" ht="11.45" customHeight="1" x14ac:dyDescent="0.25">
      <c r="A245" s="15">
        <v>206</v>
      </c>
      <c r="B245" s="6">
        <v>44651</v>
      </c>
      <c r="C245" s="5">
        <v>9</v>
      </c>
      <c r="D245" s="5" t="str">
        <f t="shared" si="34"/>
        <v>2203</v>
      </c>
      <c r="E245" s="7" t="str">
        <f t="shared" si="35"/>
        <v>Текущие счета юридических лиц</v>
      </c>
      <c r="F245" s="5" t="str">
        <f t="shared" si="36"/>
        <v>2</v>
      </c>
      <c r="G245" s="5" t="str">
        <f>"7"</f>
        <v>7</v>
      </c>
      <c r="H245" s="5" t="str">
        <f>"2"</f>
        <v>2</v>
      </c>
      <c r="I245" s="16">
        <v>9572686957.0799999</v>
      </c>
      <c r="K245" s="23"/>
      <c r="M245" s="24"/>
    </row>
    <row r="246" spans="1:13" ht="11.45" customHeight="1" x14ac:dyDescent="0.25">
      <c r="A246" s="15">
        <v>352</v>
      </c>
      <c r="B246" s="6">
        <v>44651</v>
      </c>
      <c r="C246" s="5">
        <v>9</v>
      </c>
      <c r="D246" s="5" t="str">
        <f t="shared" si="34"/>
        <v>2203</v>
      </c>
      <c r="E246" s="7" t="str">
        <f t="shared" si="35"/>
        <v>Текущие счета юридических лиц</v>
      </c>
      <c r="F246" s="5" t="str">
        <f t="shared" si="36"/>
        <v>2</v>
      </c>
      <c r="G246" s="5" t="str">
        <f>"7"</f>
        <v>7</v>
      </c>
      <c r="H246" s="5" t="str">
        <f>"3"</f>
        <v>3</v>
      </c>
      <c r="I246" s="16">
        <v>301707346.75</v>
      </c>
      <c r="K246" s="23"/>
      <c r="M246" s="24"/>
    </row>
    <row r="247" spans="1:13" ht="11.45" customHeight="1" x14ac:dyDescent="0.25">
      <c r="A247" s="15">
        <v>207</v>
      </c>
      <c r="B247" s="6">
        <v>44651</v>
      </c>
      <c r="C247" s="5">
        <v>9</v>
      </c>
      <c r="D247" s="5" t="str">
        <f t="shared" si="34"/>
        <v>2203</v>
      </c>
      <c r="E247" s="7" t="str">
        <f t="shared" si="35"/>
        <v>Текущие счета юридических лиц</v>
      </c>
      <c r="F247" s="5" t="str">
        <f t="shared" si="36"/>
        <v>2</v>
      </c>
      <c r="G247" s="5" t="str">
        <f>"8"</f>
        <v>8</v>
      </c>
      <c r="H247" s="5" t="str">
        <f>"1"</f>
        <v>1</v>
      </c>
      <c r="I247" s="16">
        <v>4361711.5</v>
      </c>
      <c r="K247" s="23"/>
      <c r="M247" s="24"/>
    </row>
    <row r="248" spans="1:13" ht="11.45" customHeight="1" x14ac:dyDescent="0.25">
      <c r="A248" s="15">
        <v>68</v>
      </c>
      <c r="B248" s="6">
        <v>44651</v>
      </c>
      <c r="C248" s="5">
        <v>9</v>
      </c>
      <c r="D248" s="5" t="str">
        <f t="shared" si="34"/>
        <v>2203</v>
      </c>
      <c r="E248" s="7" t="str">
        <f t="shared" si="35"/>
        <v>Текущие счета юридических лиц</v>
      </c>
      <c r="F248" s="5" t="str">
        <f t="shared" si="36"/>
        <v>2</v>
      </c>
      <c r="G248" s="5" t="str">
        <f>"8"</f>
        <v>8</v>
      </c>
      <c r="H248" s="5" t="str">
        <f>"2"</f>
        <v>2</v>
      </c>
      <c r="I248" s="16">
        <v>4653773.8</v>
      </c>
      <c r="K248" s="23"/>
      <c r="M248" s="24"/>
    </row>
    <row r="249" spans="1:13" ht="11.45" customHeight="1" x14ac:dyDescent="0.25">
      <c r="A249" s="15">
        <v>356</v>
      </c>
      <c r="B249" s="6">
        <v>44651</v>
      </c>
      <c r="C249" s="5">
        <v>9</v>
      </c>
      <c r="D249" s="5" t="str">
        <f t="shared" ref="D249:D254" si="37">"2204"</f>
        <v>2204</v>
      </c>
      <c r="E249" s="7" t="str">
        <f t="shared" ref="E249:E254" si="38">"Текущие счета физических лиц"</f>
        <v>Текущие счета физических лиц</v>
      </c>
      <c r="F249" s="5" t="str">
        <f>"1"</f>
        <v>1</v>
      </c>
      <c r="G249" s="5" t="str">
        <f t="shared" ref="G249:G267" si="39">"9"</f>
        <v>9</v>
      </c>
      <c r="H249" s="5" t="str">
        <f>"1"</f>
        <v>1</v>
      </c>
      <c r="I249" s="16">
        <v>29046371053.41</v>
      </c>
      <c r="K249" s="23"/>
      <c r="M249" s="24"/>
    </row>
    <row r="250" spans="1:13" ht="11.45" customHeight="1" x14ac:dyDescent="0.25">
      <c r="A250" s="15">
        <v>217</v>
      </c>
      <c r="B250" s="6">
        <v>44651</v>
      </c>
      <c r="C250" s="5">
        <v>9</v>
      </c>
      <c r="D250" s="5" t="str">
        <f t="shared" si="37"/>
        <v>2204</v>
      </c>
      <c r="E250" s="7" t="str">
        <f t="shared" si="38"/>
        <v>Текущие счета физических лиц</v>
      </c>
      <c r="F250" s="5" t="str">
        <f>"1"</f>
        <v>1</v>
      </c>
      <c r="G250" s="5" t="str">
        <f t="shared" si="39"/>
        <v>9</v>
      </c>
      <c r="H250" s="5" t="str">
        <f>"2"</f>
        <v>2</v>
      </c>
      <c r="I250" s="16">
        <v>21759019251.639999</v>
      </c>
      <c r="K250" s="23"/>
      <c r="M250" s="24"/>
    </row>
    <row r="251" spans="1:13" ht="11.45" customHeight="1" x14ac:dyDescent="0.25">
      <c r="A251" s="15">
        <v>218</v>
      </c>
      <c r="B251" s="6">
        <v>44651</v>
      </c>
      <c r="C251" s="5">
        <v>9</v>
      </c>
      <c r="D251" s="5" t="str">
        <f t="shared" si="37"/>
        <v>2204</v>
      </c>
      <c r="E251" s="7" t="str">
        <f t="shared" si="38"/>
        <v>Текущие счета физических лиц</v>
      </c>
      <c r="F251" s="5" t="str">
        <f>"1"</f>
        <v>1</v>
      </c>
      <c r="G251" s="5" t="str">
        <f t="shared" si="39"/>
        <v>9</v>
      </c>
      <c r="H251" s="5" t="str">
        <f>"3"</f>
        <v>3</v>
      </c>
      <c r="I251" s="16">
        <v>1917376199.8699999</v>
      </c>
      <c r="K251" s="23"/>
      <c r="M251" s="24"/>
    </row>
    <row r="252" spans="1:13" ht="11.45" customHeight="1" x14ac:dyDescent="0.25">
      <c r="A252" s="15">
        <v>355</v>
      </c>
      <c r="B252" s="6">
        <v>44651</v>
      </c>
      <c r="C252" s="5">
        <v>9</v>
      </c>
      <c r="D252" s="5" t="str">
        <f t="shared" si="37"/>
        <v>2204</v>
      </c>
      <c r="E252" s="7" t="str">
        <f t="shared" si="38"/>
        <v>Текущие счета физических лиц</v>
      </c>
      <c r="F252" s="5" t="str">
        <f>"2"</f>
        <v>2</v>
      </c>
      <c r="G252" s="5" t="str">
        <f t="shared" si="39"/>
        <v>9</v>
      </c>
      <c r="H252" s="5" t="str">
        <f>"1"</f>
        <v>1</v>
      </c>
      <c r="I252" s="16">
        <v>895247003.63999999</v>
      </c>
      <c r="K252" s="23"/>
      <c r="M252" s="24"/>
    </row>
    <row r="253" spans="1:13" ht="11.45" customHeight="1" x14ac:dyDescent="0.25">
      <c r="A253" s="15">
        <v>220</v>
      </c>
      <c r="B253" s="6">
        <v>44651</v>
      </c>
      <c r="C253" s="5">
        <v>9</v>
      </c>
      <c r="D253" s="5" t="str">
        <f t="shared" si="37"/>
        <v>2204</v>
      </c>
      <c r="E253" s="7" t="str">
        <f t="shared" si="38"/>
        <v>Текущие счета физических лиц</v>
      </c>
      <c r="F253" s="5" t="str">
        <f>"2"</f>
        <v>2</v>
      </c>
      <c r="G253" s="5" t="str">
        <f t="shared" si="39"/>
        <v>9</v>
      </c>
      <c r="H253" s="5" t="str">
        <f>"2"</f>
        <v>2</v>
      </c>
      <c r="I253" s="16">
        <v>20490555721.48</v>
      </c>
      <c r="K253" s="23"/>
      <c r="M253" s="24"/>
    </row>
    <row r="254" spans="1:13" ht="11.45" customHeight="1" x14ac:dyDescent="0.25">
      <c r="A254" s="15">
        <v>219</v>
      </c>
      <c r="B254" s="6">
        <v>44651</v>
      </c>
      <c r="C254" s="5">
        <v>9</v>
      </c>
      <c r="D254" s="5" t="str">
        <f t="shared" si="37"/>
        <v>2204</v>
      </c>
      <c r="E254" s="7" t="str">
        <f t="shared" si="38"/>
        <v>Текущие счета физических лиц</v>
      </c>
      <c r="F254" s="5" t="str">
        <f>"2"</f>
        <v>2</v>
      </c>
      <c r="G254" s="5" t="str">
        <f t="shared" si="39"/>
        <v>9</v>
      </c>
      <c r="H254" s="5" t="str">
        <f>"3"</f>
        <v>3</v>
      </c>
      <c r="I254" s="16">
        <v>764516964.30999994</v>
      </c>
      <c r="K254" s="23"/>
      <c r="M254" s="24"/>
    </row>
    <row r="255" spans="1:13" ht="11.45" customHeight="1" x14ac:dyDescent="0.25">
      <c r="A255" s="15">
        <v>15</v>
      </c>
      <c r="B255" s="6">
        <v>44651</v>
      </c>
      <c r="C255" s="5">
        <v>9</v>
      </c>
      <c r="D255" s="5" t="str">
        <f>"2205"</f>
        <v>2205</v>
      </c>
      <c r="E255" s="7" t="str">
        <f>"Вклады до востребования физических лиц"</f>
        <v>Вклады до востребования физических лиц</v>
      </c>
      <c r="F255" s="5" t="str">
        <f>"1"</f>
        <v>1</v>
      </c>
      <c r="G255" s="5" t="str">
        <f t="shared" si="39"/>
        <v>9</v>
      </c>
      <c r="H255" s="5" t="str">
        <f>"1"</f>
        <v>1</v>
      </c>
      <c r="I255" s="16">
        <v>4316.58</v>
      </c>
      <c r="K255" s="23"/>
      <c r="M255" s="24"/>
    </row>
    <row r="256" spans="1:13" ht="11.45" customHeight="1" x14ac:dyDescent="0.25">
      <c r="A256" s="15">
        <v>468</v>
      </c>
      <c r="B256" s="6">
        <v>44651</v>
      </c>
      <c r="C256" s="5">
        <v>9</v>
      </c>
      <c r="D256" s="5" t="str">
        <f t="shared" ref="D256:D261" si="40">"2206"</f>
        <v>2206</v>
      </c>
      <c r="E256" s="7" t="str">
        <f t="shared" ref="E256:E261" si="41">"Краткосрочные вклады физических лиц"</f>
        <v>Краткосрочные вклады физических лиц</v>
      </c>
      <c r="F256" s="5" t="str">
        <f>"1"</f>
        <v>1</v>
      </c>
      <c r="G256" s="5" t="str">
        <f t="shared" si="39"/>
        <v>9</v>
      </c>
      <c r="H256" s="5" t="str">
        <f>"1"</f>
        <v>1</v>
      </c>
      <c r="I256" s="16">
        <v>11249584111.83</v>
      </c>
      <c r="K256" s="23"/>
      <c r="M256" s="24"/>
    </row>
    <row r="257" spans="1:13" ht="11.45" customHeight="1" x14ac:dyDescent="0.25">
      <c r="A257" s="15">
        <v>16</v>
      </c>
      <c r="B257" s="6">
        <v>44651</v>
      </c>
      <c r="C257" s="5">
        <v>9</v>
      </c>
      <c r="D257" s="5" t="str">
        <f t="shared" si="40"/>
        <v>2206</v>
      </c>
      <c r="E257" s="7" t="str">
        <f t="shared" si="41"/>
        <v>Краткосрочные вклады физических лиц</v>
      </c>
      <c r="F257" s="5" t="str">
        <f>"1"</f>
        <v>1</v>
      </c>
      <c r="G257" s="5" t="str">
        <f t="shared" si="39"/>
        <v>9</v>
      </c>
      <c r="H257" s="5" t="str">
        <f>"2"</f>
        <v>2</v>
      </c>
      <c r="I257" s="16">
        <v>9211294920.7999992</v>
      </c>
      <c r="K257" s="23"/>
      <c r="M257" s="24"/>
    </row>
    <row r="258" spans="1:13" ht="11.45" customHeight="1" x14ac:dyDescent="0.25">
      <c r="A258" s="15">
        <v>528</v>
      </c>
      <c r="B258" s="6">
        <v>44651</v>
      </c>
      <c r="C258" s="5">
        <v>9</v>
      </c>
      <c r="D258" s="5" t="str">
        <f t="shared" si="40"/>
        <v>2206</v>
      </c>
      <c r="E258" s="7" t="str">
        <f t="shared" si="41"/>
        <v>Краткосрочные вклады физических лиц</v>
      </c>
      <c r="F258" s="5" t="str">
        <f>"1"</f>
        <v>1</v>
      </c>
      <c r="G258" s="5" t="str">
        <f t="shared" si="39"/>
        <v>9</v>
      </c>
      <c r="H258" s="5" t="str">
        <f>"3"</f>
        <v>3</v>
      </c>
      <c r="I258" s="16">
        <v>620819788.25999999</v>
      </c>
      <c r="K258" s="23"/>
      <c r="M258" s="24"/>
    </row>
    <row r="259" spans="1:13" ht="11.45" customHeight="1" x14ac:dyDescent="0.25">
      <c r="A259" s="15">
        <v>79</v>
      </c>
      <c r="B259" s="6">
        <v>44651</v>
      </c>
      <c r="C259" s="5">
        <v>9</v>
      </c>
      <c r="D259" s="5" t="str">
        <f t="shared" si="40"/>
        <v>2206</v>
      </c>
      <c r="E259" s="7" t="str">
        <f t="shared" si="41"/>
        <v>Краткосрочные вклады физических лиц</v>
      </c>
      <c r="F259" s="5" t="str">
        <f>"2"</f>
        <v>2</v>
      </c>
      <c r="G259" s="5" t="str">
        <f t="shared" si="39"/>
        <v>9</v>
      </c>
      <c r="H259" s="5" t="str">
        <f>"1"</f>
        <v>1</v>
      </c>
      <c r="I259" s="16">
        <v>277987054.02999997</v>
      </c>
      <c r="K259" s="23"/>
      <c r="M259" s="24"/>
    </row>
    <row r="260" spans="1:13" ht="11.45" customHeight="1" x14ac:dyDescent="0.25">
      <c r="A260" s="15">
        <v>507</v>
      </c>
      <c r="B260" s="6">
        <v>44651</v>
      </c>
      <c r="C260" s="5">
        <v>9</v>
      </c>
      <c r="D260" s="5" t="str">
        <f t="shared" si="40"/>
        <v>2206</v>
      </c>
      <c r="E260" s="7" t="str">
        <f t="shared" si="41"/>
        <v>Краткосрочные вклады физических лиц</v>
      </c>
      <c r="F260" s="5" t="str">
        <f>"2"</f>
        <v>2</v>
      </c>
      <c r="G260" s="5" t="str">
        <f t="shared" si="39"/>
        <v>9</v>
      </c>
      <c r="H260" s="5" t="str">
        <f>"2"</f>
        <v>2</v>
      </c>
      <c r="I260" s="16">
        <v>410007460.17000002</v>
      </c>
      <c r="K260" s="23"/>
      <c r="M260" s="24"/>
    </row>
    <row r="261" spans="1:13" ht="11.45" customHeight="1" x14ac:dyDescent="0.25">
      <c r="A261" s="15">
        <v>561</v>
      </c>
      <c r="B261" s="6">
        <v>44651</v>
      </c>
      <c r="C261" s="5">
        <v>9</v>
      </c>
      <c r="D261" s="5" t="str">
        <f t="shared" si="40"/>
        <v>2206</v>
      </c>
      <c r="E261" s="7" t="str">
        <f t="shared" si="41"/>
        <v>Краткосрочные вклады физических лиц</v>
      </c>
      <c r="F261" s="5" t="str">
        <f>"2"</f>
        <v>2</v>
      </c>
      <c r="G261" s="5" t="str">
        <f t="shared" si="39"/>
        <v>9</v>
      </c>
      <c r="H261" s="5" t="str">
        <f>"3"</f>
        <v>3</v>
      </c>
      <c r="I261" s="16">
        <v>2171079.62</v>
      </c>
      <c r="K261" s="23"/>
      <c r="M261" s="24"/>
    </row>
    <row r="262" spans="1:13" ht="11.45" customHeight="1" x14ac:dyDescent="0.25">
      <c r="A262" s="15">
        <v>222</v>
      </c>
      <c r="B262" s="6">
        <v>44651</v>
      </c>
      <c r="C262" s="5">
        <v>9</v>
      </c>
      <c r="D262" s="5" t="str">
        <f t="shared" ref="D262:D267" si="42">"2207"</f>
        <v>2207</v>
      </c>
      <c r="E262" s="7" t="str">
        <f t="shared" ref="E262:E267" si="43">"Долгосрочные вклады физических лиц"</f>
        <v>Долгосрочные вклады физических лиц</v>
      </c>
      <c r="F262" s="5" t="str">
        <f>"1"</f>
        <v>1</v>
      </c>
      <c r="G262" s="5" t="str">
        <f t="shared" si="39"/>
        <v>9</v>
      </c>
      <c r="H262" s="5" t="str">
        <f>"1"</f>
        <v>1</v>
      </c>
      <c r="I262" s="16">
        <v>33637021535.509998</v>
      </c>
      <c r="K262" s="23"/>
      <c r="M262" s="24"/>
    </row>
    <row r="263" spans="1:13" ht="11.45" customHeight="1" x14ac:dyDescent="0.25">
      <c r="A263" s="15">
        <v>78</v>
      </c>
      <c r="B263" s="6">
        <v>44651</v>
      </c>
      <c r="C263" s="5">
        <v>9</v>
      </c>
      <c r="D263" s="5" t="str">
        <f t="shared" si="42"/>
        <v>2207</v>
      </c>
      <c r="E263" s="7" t="str">
        <f t="shared" si="43"/>
        <v>Долгосрочные вклады физических лиц</v>
      </c>
      <c r="F263" s="5" t="str">
        <f>"1"</f>
        <v>1</v>
      </c>
      <c r="G263" s="5" t="str">
        <f t="shared" si="39"/>
        <v>9</v>
      </c>
      <c r="H263" s="5" t="str">
        <f>"2"</f>
        <v>2</v>
      </c>
      <c r="I263" s="16">
        <v>62622542378.300003</v>
      </c>
      <c r="K263" s="23"/>
      <c r="M263" s="24"/>
    </row>
    <row r="264" spans="1:13" ht="11.45" customHeight="1" x14ac:dyDescent="0.25">
      <c r="A264" s="15">
        <v>86</v>
      </c>
      <c r="B264" s="6">
        <v>44651</v>
      </c>
      <c r="C264" s="5">
        <v>9</v>
      </c>
      <c r="D264" s="5" t="str">
        <f t="shared" si="42"/>
        <v>2207</v>
      </c>
      <c r="E264" s="7" t="str">
        <f t="shared" si="43"/>
        <v>Долгосрочные вклады физических лиц</v>
      </c>
      <c r="F264" s="5" t="str">
        <f>"1"</f>
        <v>1</v>
      </c>
      <c r="G264" s="5" t="str">
        <f t="shared" si="39"/>
        <v>9</v>
      </c>
      <c r="H264" s="5" t="str">
        <f>"3"</f>
        <v>3</v>
      </c>
      <c r="I264" s="16">
        <v>354874658.19</v>
      </c>
      <c r="K264" s="23"/>
      <c r="M264" s="24"/>
    </row>
    <row r="265" spans="1:13" ht="11.45" customHeight="1" x14ac:dyDescent="0.25">
      <c r="A265" s="15">
        <v>508</v>
      </c>
      <c r="B265" s="6">
        <v>44651</v>
      </c>
      <c r="C265" s="5">
        <v>9</v>
      </c>
      <c r="D265" s="5" t="str">
        <f t="shared" si="42"/>
        <v>2207</v>
      </c>
      <c r="E265" s="7" t="str">
        <f t="shared" si="43"/>
        <v>Долгосрочные вклады физических лиц</v>
      </c>
      <c r="F265" s="5" t="str">
        <f>"2"</f>
        <v>2</v>
      </c>
      <c r="G265" s="5" t="str">
        <f t="shared" si="39"/>
        <v>9</v>
      </c>
      <c r="H265" s="5" t="str">
        <f>"1"</f>
        <v>1</v>
      </c>
      <c r="I265" s="16">
        <v>552334655.41999996</v>
      </c>
      <c r="K265" s="23"/>
      <c r="M265" s="24"/>
    </row>
    <row r="266" spans="1:13" ht="11.45" customHeight="1" x14ac:dyDescent="0.25">
      <c r="A266" s="15">
        <v>544</v>
      </c>
      <c r="B266" s="6">
        <v>44651</v>
      </c>
      <c r="C266" s="5">
        <v>9</v>
      </c>
      <c r="D266" s="5" t="str">
        <f t="shared" si="42"/>
        <v>2207</v>
      </c>
      <c r="E266" s="7" t="str">
        <f t="shared" si="43"/>
        <v>Долгосрочные вклады физических лиц</v>
      </c>
      <c r="F266" s="5" t="str">
        <f>"2"</f>
        <v>2</v>
      </c>
      <c r="G266" s="5" t="str">
        <f t="shared" si="39"/>
        <v>9</v>
      </c>
      <c r="H266" s="5" t="str">
        <f>"2"</f>
        <v>2</v>
      </c>
      <c r="I266" s="16">
        <v>4489502677.4300003</v>
      </c>
      <c r="K266" s="23"/>
      <c r="M266" s="24"/>
    </row>
    <row r="267" spans="1:13" ht="11.45" customHeight="1" x14ac:dyDescent="0.25">
      <c r="A267" s="15">
        <v>85</v>
      </c>
      <c r="B267" s="6">
        <v>44651</v>
      </c>
      <c r="C267" s="5">
        <v>9</v>
      </c>
      <c r="D267" s="5" t="str">
        <f t="shared" si="42"/>
        <v>2207</v>
      </c>
      <c r="E267" s="7" t="str">
        <f t="shared" si="43"/>
        <v>Долгосрочные вклады физических лиц</v>
      </c>
      <c r="F267" s="5" t="str">
        <f>"2"</f>
        <v>2</v>
      </c>
      <c r="G267" s="5" t="str">
        <f t="shared" si="39"/>
        <v>9</v>
      </c>
      <c r="H267" s="5" t="str">
        <f>"3"</f>
        <v>3</v>
      </c>
      <c r="I267" s="16">
        <v>114876.1</v>
      </c>
      <c r="K267" s="23"/>
      <c r="M267" s="24"/>
    </row>
    <row r="268" spans="1:13" ht="11.45" customHeight="1" x14ac:dyDescent="0.25">
      <c r="A268" s="15">
        <v>543</v>
      </c>
      <c r="B268" s="6">
        <v>44651</v>
      </c>
      <c r="C268" s="5">
        <v>9</v>
      </c>
      <c r="D268" s="5" t="str">
        <f>"2211"</f>
        <v>2211</v>
      </c>
      <c r="E268" s="7" t="str">
        <f>"Вклады до востребования юридических лиц"</f>
        <v>Вклады до востребования юридических лиц</v>
      </c>
      <c r="F268" s="5" t="str">
        <f>"1"</f>
        <v>1</v>
      </c>
      <c r="G268" s="5" t="str">
        <f>"7"</f>
        <v>7</v>
      </c>
      <c r="H268" s="5" t="str">
        <f>"1"</f>
        <v>1</v>
      </c>
      <c r="I268" s="16">
        <v>2067393.57</v>
      </c>
      <c r="K268" s="23"/>
      <c r="M268" s="24"/>
    </row>
    <row r="269" spans="1:13" ht="11.45" customHeight="1" x14ac:dyDescent="0.25">
      <c r="A269" s="15">
        <v>221</v>
      </c>
      <c r="B269" s="6">
        <v>44651</v>
      </c>
      <c r="C269" s="5">
        <v>9</v>
      </c>
      <c r="D269" s="5" t="str">
        <f>"2211"</f>
        <v>2211</v>
      </c>
      <c r="E269" s="7" t="str">
        <f>"Вклады до востребования юридических лиц"</f>
        <v>Вклады до востребования юридических лиц</v>
      </c>
      <c r="F269" s="5" t="str">
        <f>"1"</f>
        <v>1</v>
      </c>
      <c r="G269" s="5" t="str">
        <f>"7"</f>
        <v>7</v>
      </c>
      <c r="H269" s="5" t="str">
        <f>"3"</f>
        <v>3</v>
      </c>
      <c r="I269" s="16">
        <v>85722.3</v>
      </c>
      <c r="K269" s="23"/>
      <c r="M269" s="24"/>
    </row>
    <row r="270" spans="1:13" ht="11.45" customHeight="1" x14ac:dyDescent="0.25">
      <c r="A270" s="15">
        <v>357</v>
      </c>
      <c r="B270" s="6">
        <v>44651</v>
      </c>
      <c r="C270" s="5">
        <v>9</v>
      </c>
      <c r="D270" s="5" t="str">
        <f>"2214"</f>
        <v>2214</v>
      </c>
      <c r="E270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0" s="5" t="str">
        <f>"1"</f>
        <v>1</v>
      </c>
      <c r="G270" s="5" t="str">
        <f>"9"</f>
        <v>9</v>
      </c>
      <c r="H270" s="5" t="str">
        <f>"1"</f>
        <v>1</v>
      </c>
      <c r="I270" s="16">
        <v>7079038952.54</v>
      </c>
      <c r="K270" s="23"/>
      <c r="M270" s="24"/>
    </row>
    <row r="271" spans="1:13" ht="11.45" customHeight="1" x14ac:dyDescent="0.25">
      <c r="A271" s="15">
        <v>325</v>
      </c>
      <c r="B271" s="6">
        <v>44651</v>
      </c>
      <c r="C271" s="5">
        <v>9</v>
      </c>
      <c r="D271" s="5" t="str">
        <f>"2214"</f>
        <v>2214</v>
      </c>
      <c r="E271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1" s="5" t="str">
        <f>"1"</f>
        <v>1</v>
      </c>
      <c r="G271" s="5" t="str">
        <f>"9"</f>
        <v>9</v>
      </c>
      <c r="H271" s="5" t="str">
        <f>"2"</f>
        <v>2</v>
      </c>
      <c r="I271" s="16">
        <v>172156396.68000001</v>
      </c>
      <c r="K271" s="23"/>
      <c r="M271" s="24"/>
    </row>
    <row r="272" spans="1:13" ht="11.45" customHeight="1" x14ac:dyDescent="0.25">
      <c r="A272" s="15">
        <v>83</v>
      </c>
      <c r="B272" s="6">
        <v>44651</v>
      </c>
      <c r="C272" s="5">
        <v>9</v>
      </c>
      <c r="D272" s="5" t="str">
        <f>"2214"</f>
        <v>2214</v>
      </c>
      <c r="E272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2" s="5" t="str">
        <f>"1"</f>
        <v>1</v>
      </c>
      <c r="G272" s="5" t="str">
        <f>"9"</f>
        <v>9</v>
      </c>
      <c r="H272" s="5" t="str">
        <f>"3"</f>
        <v>3</v>
      </c>
      <c r="I272" s="16">
        <v>4104943.59</v>
      </c>
      <c r="K272" s="23"/>
      <c r="M272" s="24"/>
    </row>
    <row r="273" spans="1:13" ht="11.45" customHeight="1" x14ac:dyDescent="0.25">
      <c r="A273" s="15">
        <v>230</v>
      </c>
      <c r="B273" s="6">
        <v>44651</v>
      </c>
      <c r="C273" s="5">
        <v>9</v>
      </c>
      <c r="D273" s="5" t="str">
        <f>"2214"</f>
        <v>2214</v>
      </c>
      <c r="E273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3" s="5" t="str">
        <f>"2"</f>
        <v>2</v>
      </c>
      <c r="G273" s="5" t="str">
        <f>"9"</f>
        <v>9</v>
      </c>
      <c r="H273" s="5" t="str">
        <f>"1"</f>
        <v>1</v>
      </c>
      <c r="I273" s="16">
        <v>145851953.91</v>
      </c>
      <c r="K273" s="23"/>
      <c r="M273" s="24"/>
    </row>
    <row r="274" spans="1:13" ht="11.45" customHeight="1" x14ac:dyDescent="0.25">
      <c r="A274" s="15">
        <v>571</v>
      </c>
      <c r="B274" s="6">
        <v>44651</v>
      </c>
      <c r="C274" s="5">
        <v>9</v>
      </c>
      <c r="D274" s="5" t="str">
        <f t="shared" ref="D274:D282" si="44">"2215"</f>
        <v>2215</v>
      </c>
      <c r="E274" s="7" t="str">
        <f t="shared" ref="E274:E282" si="45">"Краткосрочные вклады юридических лиц"</f>
        <v>Краткосрочные вклады юридических лиц</v>
      </c>
      <c r="F274" s="5" t="str">
        <f t="shared" ref="F274:F300" si="46">"1"</f>
        <v>1</v>
      </c>
      <c r="G274" s="5" t="str">
        <f>"5"</f>
        <v>5</v>
      </c>
      <c r="H274" s="5" t="str">
        <f>"1"</f>
        <v>1</v>
      </c>
      <c r="I274" s="16">
        <v>628023500.55999994</v>
      </c>
      <c r="K274" s="23"/>
      <c r="M274" s="24"/>
    </row>
    <row r="275" spans="1:13" ht="11.45" customHeight="1" x14ac:dyDescent="0.25">
      <c r="A275" s="15">
        <v>229</v>
      </c>
      <c r="B275" s="6">
        <v>44651</v>
      </c>
      <c r="C275" s="5">
        <v>9</v>
      </c>
      <c r="D275" s="5" t="str">
        <f t="shared" si="44"/>
        <v>2215</v>
      </c>
      <c r="E275" s="7" t="str">
        <f t="shared" si="45"/>
        <v>Краткосрочные вклады юридических лиц</v>
      </c>
      <c r="F275" s="5" t="str">
        <f t="shared" si="46"/>
        <v>1</v>
      </c>
      <c r="G275" s="5" t="str">
        <f>"5"</f>
        <v>5</v>
      </c>
      <c r="H275" s="5" t="str">
        <f>"2"</f>
        <v>2</v>
      </c>
      <c r="I275" s="16">
        <v>46631000</v>
      </c>
      <c r="K275" s="23"/>
      <c r="M275" s="24"/>
    </row>
    <row r="276" spans="1:13" ht="11.45" customHeight="1" x14ac:dyDescent="0.25">
      <c r="A276" s="15">
        <v>483</v>
      </c>
      <c r="B276" s="6">
        <v>44651</v>
      </c>
      <c r="C276" s="5">
        <v>9</v>
      </c>
      <c r="D276" s="5" t="str">
        <f t="shared" si="44"/>
        <v>2215</v>
      </c>
      <c r="E276" s="7" t="str">
        <f t="shared" si="45"/>
        <v>Краткосрочные вклады юридических лиц</v>
      </c>
      <c r="F276" s="5" t="str">
        <f t="shared" si="46"/>
        <v>1</v>
      </c>
      <c r="G276" s="5" t="str">
        <f>"5"</f>
        <v>5</v>
      </c>
      <c r="H276" s="5" t="str">
        <f>"3"</f>
        <v>3</v>
      </c>
      <c r="I276" s="16">
        <v>7701850.4299999997</v>
      </c>
      <c r="K276" s="23"/>
      <c r="M276" s="24"/>
    </row>
    <row r="277" spans="1:13" ht="11.45" customHeight="1" x14ac:dyDescent="0.25">
      <c r="A277" s="15">
        <v>231</v>
      </c>
      <c r="B277" s="6">
        <v>44651</v>
      </c>
      <c r="C277" s="5">
        <v>9</v>
      </c>
      <c r="D277" s="5" t="str">
        <f t="shared" si="44"/>
        <v>2215</v>
      </c>
      <c r="E277" s="7" t="str">
        <f t="shared" si="45"/>
        <v>Краткосрочные вклады юридических лиц</v>
      </c>
      <c r="F277" s="5" t="str">
        <f t="shared" si="46"/>
        <v>1</v>
      </c>
      <c r="G277" s="5" t="str">
        <f>"6"</f>
        <v>6</v>
      </c>
      <c r="H277" s="5" t="str">
        <f>"1"</f>
        <v>1</v>
      </c>
      <c r="I277" s="16">
        <v>751292000</v>
      </c>
      <c r="K277" s="23"/>
      <c r="M277" s="24"/>
    </row>
    <row r="278" spans="1:13" ht="11.45" customHeight="1" x14ac:dyDescent="0.25">
      <c r="A278" s="15">
        <v>81</v>
      </c>
      <c r="B278" s="6">
        <v>44651</v>
      </c>
      <c r="C278" s="5">
        <v>9</v>
      </c>
      <c r="D278" s="5" t="str">
        <f t="shared" si="44"/>
        <v>2215</v>
      </c>
      <c r="E278" s="7" t="str">
        <f t="shared" si="45"/>
        <v>Краткосрочные вклады юридических лиц</v>
      </c>
      <c r="F278" s="5" t="str">
        <f t="shared" si="46"/>
        <v>1</v>
      </c>
      <c r="G278" s="5" t="str">
        <f>"6"</f>
        <v>6</v>
      </c>
      <c r="H278" s="5" t="str">
        <f>"2"</f>
        <v>2</v>
      </c>
      <c r="I278" s="16">
        <v>4663100</v>
      </c>
      <c r="K278" s="23"/>
      <c r="M278" s="24"/>
    </row>
    <row r="279" spans="1:13" ht="11.45" customHeight="1" x14ac:dyDescent="0.25">
      <c r="A279" s="15">
        <v>17</v>
      </c>
      <c r="B279" s="6">
        <v>44651</v>
      </c>
      <c r="C279" s="5">
        <v>9</v>
      </c>
      <c r="D279" s="5" t="str">
        <f t="shared" si="44"/>
        <v>2215</v>
      </c>
      <c r="E279" s="7" t="str">
        <f t="shared" si="45"/>
        <v>Краткосрочные вклады юридических лиц</v>
      </c>
      <c r="F279" s="5" t="str">
        <f t="shared" si="46"/>
        <v>1</v>
      </c>
      <c r="G279" s="5" t="str">
        <f>"7"</f>
        <v>7</v>
      </c>
      <c r="H279" s="5" t="str">
        <f>"1"</f>
        <v>1</v>
      </c>
      <c r="I279" s="16">
        <v>53489088160.919998</v>
      </c>
      <c r="K279" s="23"/>
      <c r="M279" s="24"/>
    </row>
    <row r="280" spans="1:13" ht="11.45" customHeight="1" x14ac:dyDescent="0.25">
      <c r="A280" s="15">
        <v>423</v>
      </c>
      <c r="B280" s="6">
        <v>44651</v>
      </c>
      <c r="C280" s="5">
        <v>9</v>
      </c>
      <c r="D280" s="5" t="str">
        <f t="shared" si="44"/>
        <v>2215</v>
      </c>
      <c r="E280" s="7" t="str">
        <f t="shared" si="45"/>
        <v>Краткосрочные вклады юридических лиц</v>
      </c>
      <c r="F280" s="5" t="str">
        <f t="shared" si="46"/>
        <v>1</v>
      </c>
      <c r="G280" s="5" t="str">
        <f>"7"</f>
        <v>7</v>
      </c>
      <c r="H280" s="5" t="str">
        <f>"2"</f>
        <v>2</v>
      </c>
      <c r="I280" s="16">
        <v>9359840512.7099991</v>
      </c>
      <c r="K280" s="23"/>
      <c r="M280" s="24"/>
    </row>
    <row r="281" spans="1:13" ht="11.45" customHeight="1" x14ac:dyDescent="0.25">
      <c r="A281" s="15">
        <v>87</v>
      </c>
      <c r="B281" s="6">
        <v>44651</v>
      </c>
      <c r="C281" s="5">
        <v>9</v>
      </c>
      <c r="D281" s="5" t="str">
        <f t="shared" si="44"/>
        <v>2215</v>
      </c>
      <c r="E281" s="7" t="str">
        <f t="shared" si="45"/>
        <v>Краткосрочные вклады юридических лиц</v>
      </c>
      <c r="F281" s="5" t="str">
        <f t="shared" si="46"/>
        <v>1</v>
      </c>
      <c r="G281" s="5" t="str">
        <f>"7"</f>
        <v>7</v>
      </c>
      <c r="H281" s="5" t="str">
        <f>"3"</f>
        <v>3</v>
      </c>
      <c r="I281" s="16">
        <v>785090193.24000001</v>
      </c>
      <c r="K281" s="23"/>
      <c r="M281" s="24"/>
    </row>
    <row r="282" spans="1:13" ht="11.45" customHeight="1" x14ac:dyDescent="0.25">
      <c r="A282" s="15">
        <v>400</v>
      </c>
      <c r="B282" s="6">
        <v>44651</v>
      </c>
      <c r="C282" s="5">
        <v>9</v>
      </c>
      <c r="D282" s="5" t="str">
        <f t="shared" si="44"/>
        <v>2215</v>
      </c>
      <c r="E282" s="7" t="str">
        <f t="shared" si="45"/>
        <v>Краткосрочные вклады юридических лиц</v>
      </c>
      <c r="F282" s="5" t="str">
        <f t="shared" si="46"/>
        <v>1</v>
      </c>
      <c r="G282" s="5" t="str">
        <f>"8"</f>
        <v>8</v>
      </c>
      <c r="H282" s="5" t="str">
        <f>"1"</f>
        <v>1</v>
      </c>
      <c r="I282" s="16">
        <v>85042545</v>
      </c>
      <c r="K282" s="23"/>
      <c r="M282" s="24"/>
    </row>
    <row r="283" spans="1:13" ht="11.45" customHeight="1" x14ac:dyDescent="0.25">
      <c r="A283" s="15">
        <v>592</v>
      </c>
      <c r="B283" s="6">
        <v>44651</v>
      </c>
      <c r="C283" s="5">
        <v>9</v>
      </c>
      <c r="D283" s="5" t="str">
        <f>"2217"</f>
        <v>2217</v>
      </c>
      <c r="E283" s="7" t="str">
        <f>"Долгосрочные вклады юридических лиц"</f>
        <v>Долгосрочные вклады юридических лиц</v>
      </c>
      <c r="F283" s="5" t="str">
        <f t="shared" si="46"/>
        <v>1</v>
      </c>
      <c r="G283" s="5" t="str">
        <f>"5"</f>
        <v>5</v>
      </c>
      <c r="H283" s="5" t="str">
        <f>"1"</f>
        <v>1</v>
      </c>
      <c r="I283" s="16">
        <v>2000000</v>
      </c>
      <c r="K283" s="23"/>
      <c r="M283" s="24"/>
    </row>
    <row r="284" spans="1:13" ht="11.45" customHeight="1" x14ac:dyDescent="0.25">
      <c r="A284" s="15">
        <v>406</v>
      </c>
      <c r="B284" s="6">
        <v>44651</v>
      </c>
      <c r="C284" s="5">
        <v>9</v>
      </c>
      <c r="D284" s="5" t="str">
        <f>"2217"</f>
        <v>2217</v>
      </c>
      <c r="E284" s="7" t="str">
        <f>"Долгосрочные вклады юридических лиц"</f>
        <v>Долгосрочные вклады юридических лиц</v>
      </c>
      <c r="F284" s="5" t="str">
        <f t="shared" si="46"/>
        <v>1</v>
      </c>
      <c r="G284" s="5" t="str">
        <f>"7"</f>
        <v>7</v>
      </c>
      <c r="H284" s="5" t="str">
        <f>"1"</f>
        <v>1</v>
      </c>
      <c r="I284" s="16">
        <v>107072101</v>
      </c>
      <c r="K284" s="23"/>
      <c r="M284" s="24"/>
    </row>
    <row r="285" spans="1:13" ht="11.45" customHeight="1" x14ac:dyDescent="0.25">
      <c r="A285" s="15">
        <v>542</v>
      </c>
      <c r="B285" s="6">
        <v>44651</v>
      </c>
      <c r="C285" s="5">
        <v>9</v>
      </c>
      <c r="D285" s="5" t="str">
        <f>"2217"</f>
        <v>2217</v>
      </c>
      <c r="E285" s="7" t="str">
        <f>"Долгосрочные вклады юридических лиц"</f>
        <v>Долгосрочные вклады юридических лиц</v>
      </c>
      <c r="F285" s="5" t="str">
        <f t="shared" si="46"/>
        <v>1</v>
      </c>
      <c r="G285" s="5" t="str">
        <f>"7"</f>
        <v>7</v>
      </c>
      <c r="H285" s="5" t="str">
        <f>"2"</f>
        <v>2</v>
      </c>
      <c r="I285" s="16">
        <v>9447453791.9099998</v>
      </c>
      <c r="K285" s="23"/>
      <c r="M285" s="24"/>
    </row>
    <row r="286" spans="1:13" ht="11.45" customHeight="1" x14ac:dyDescent="0.25">
      <c r="A286" s="15">
        <v>225</v>
      </c>
      <c r="B286" s="6">
        <v>44651</v>
      </c>
      <c r="C286" s="5">
        <v>9</v>
      </c>
      <c r="D286" s="5" t="str">
        <f>"2218"</f>
        <v>2218</v>
      </c>
      <c r="E286" s="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286" s="5" t="str">
        <f t="shared" si="46"/>
        <v>1</v>
      </c>
      <c r="G286" s="5" t="str">
        <f>"5"</f>
        <v>5</v>
      </c>
      <c r="H286" s="5" t="str">
        <f>"2"</f>
        <v>2</v>
      </c>
      <c r="I286" s="16">
        <v>2844491000</v>
      </c>
      <c r="K286" s="23"/>
      <c r="M286" s="24"/>
    </row>
    <row r="287" spans="1:13" ht="11.45" customHeight="1" x14ac:dyDescent="0.25">
      <c r="A287" s="15">
        <v>223</v>
      </c>
      <c r="B287" s="6">
        <v>44651</v>
      </c>
      <c r="C287" s="5">
        <v>9</v>
      </c>
      <c r="D287" s="5" t="str">
        <f>"2218"</f>
        <v>2218</v>
      </c>
      <c r="E287" s="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287" s="5" t="str">
        <f t="shared" si="46"/>
        <v>1</v>
      </c>
      <c r="G287" s="5" t="str">
        <f>"7"</f>
        <v>7</v>
      </c>
      <c r="H287" s="5" t="str">
        <f>"2"</f>
        <v>2</v>
      </c>
      <c r="I287" s="16">
        <v>499701377.25999999</v>
      </c>
      <c r="K287" s="23"/>
      <c r="M287" s="24"/>
    </row>
    <row r="288" spans="1:13" ht="11.45" customHeight="1" x14ac:dyDescent="0.25">
      <c r="A288" s="15">
        <v>593</v>
      </c>
      <c r="B288" s="6">
        <v>44651</v>
      </c>
      <c r="C288" s="5">
        <v>9</v>
      </c>
      <c r="D288" s="5" t="str">
        <f>"2218"</f>
        <v>2218</v>
      </c>
      <c r="E288" s="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288" s="5" t="str">
        <f t="shared" si="46"/>
        <v>1</v>
      </c>
      <c r="G288" s="5" t="str">
        <f>"8"</f>
        <v>8</v>
      </c>
      <c r="H288" s="5" t="str">
        <f>"1"</f>
        <v>1</v>
      </c>
      <c r="I288" s="16">
        <v>10012620.369999999</v>
      </c>
      <c r="K288" s="23"/>
      <c r="M288" s="24"/>
    </row>
    <row r="289" spans="1:13" ht="11.45" customHeight="1" x14ac:dyDescent="0.25">
      <c r="A289" s="15">
        <v>397</v>
      </c>
      <c r="B289" s="6">
        <v>44651</v>
      </c>
      <c r="C289" s="5">
        <v>9</v>
      </c>
      <c r="D289" s="5" t="str">
        <f>"2219"</f>
        <v>2219</v>
      </c>
      <c r="E289" s="7" t="str">
        <f>"Условные вклады юридических лиц"</f>
        <v>Условные вклады юридических лиц</v>
      </c>
      <c r="F289" s="5" t="str">
        <f t="shared" si="46"/>
        <v>1</v>
      </c>
      <c r="G289" s="5" t="str">
        <f>"5"</f>
        <v>5</v>
      </c>
      <c r="H289" s="5" t="str">
        <f>"1"</f>
        <v>1</v>
      </c>
      <c r="I289" s="16">
        <v>167357458.66</v>
      </c>
      <c r="K289" s="23"/>
      <c r="M289" s="24"/>
    </row>
    <row r="290" spans="1:13" ht="11.45" customHeight="1" x14ac:dyDescent="0.25">
      <c r="A290" s="15">
        <v>224</v>
      </c>
      <c r="B290" s="6">
        <v>44651</v>
      </c>
      <c r="C290" s="5">
        <v>9</v>
      </c>
      <c r="D290" s="5" t="str">
        <f>"2219"</f>
        <v>2219</v>
      </c>
      <c r="E290" s="7" t="str">
        <f>"Условные вклады юридических лиц"</f>
        <v>Условные вклады юридических лиц</v>
      </c>
      <c r="F290" s="5" t="str">
        <f t="shared" si="46"/>
        <v>1</v>
      </c>
      <c r="G290" s="5" t="str">
        <f>"7"</f>
        <v>7</v>
      </c>
      <c r="H290" s="5" t="str">
        <f>"1"</f>
        <v>1</v>
      </c>
      <c r="I290" s="16">
        <v>3583911647.8200002</v>
      </c>
      <c r="K290" s="23"/>
      <c r="M290" s="24"/>
    </row>
    <row r="291" spans="1:13" ht="11.45" customHeight="1" x14ac:dyDescent="0.25">
      <c r="A291" s="15">
        <v>234</v>
      </c>
      <c r="B291" s="6">
        <v>44651</v>
      </c>
      <c r="C291" s="5">
        <v>9</v>
      </c>
      <c r="D291" s="5" t="str">
        <f>"2219"</f>
        <v>2219</v>
      </c>
      <c r="E291" s="7" t="str">
        <f>"Условные вклады юридических лиц"</f>
        <v>Условные вклады юридических лиц</v>
      </c>
      <c r="F291" s="5" t="str">
        <f t="shared" si="46"/>
        <v>1</v>
      </c>
      <c r="G291" s="5" t="str">
        <f>"7"</f>
        <v>7</v>
      </c>
      <c r="H291" s="5" t="str">
        <f>"2"</f>
        <v>2</v>
      </c>
      <c r="I291" s="16">
        <v>3378271337.9299998</v>
      </c>
      <c r="K291" s="23"/>
      <c r="M291" s="24"/>
    </row>
    <row r="292" spans="1:13" ht="11.45" customHeight="1" x14ac:dyDescent="0.25">
      <c r="A292" s="15">
        <v>599</v>
      </c>
      <c r="B292" s="6">
        <v>44651</v>
      </c>
      <c r="C292" s="5">
        <v>9</v>
      </c>
      <c r="D292" s="5" t="str">
        <f>"2220"</f>
        <v>2220</v>
      </c>
      <c r="E292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292" s="5" t="str">
        <f t="shared" si="46"/>
        <v>1</v>
      </c>
      <c r="G292" s="5" t="str">
        <f>"5"</f>
        <v>5</v>
      </c>
      <c r="H292" s="5" t="str">
        <f t="shared" ref="H292:H298" si="47">"1"</f>
        <v>1</v>
      </c>
      <c r="I292" s="16">
        <v>3328401078.3000002</v>
      </c>
      <c r="K292" s="23"/>
      <c r="M292" s="24"/>
    </row>
    <row r="293" spans="1:13" ht="11.45" customHeight="1" x14ac:dyDescent="0.25">
      <c r="A293" s="15">
        <v>228</v>
      </c>
      <c r="B293" s="6">
        <v>44651</v>
      </c>
      <c r="C293" s="5">
        <v>9</v>
      </c>
      <c r="D293" s="5" t="str">
        <f>"2220"</f>
        <v>2220</v>
      </c>
      <c r="E293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293" s="5" t="str">
        <f t="shared" si="46"/>
        <v>1</v>
      </c>
      <c r="G293" s="5" t="str">
        <f>"7"</f>
        <v>7</v>
      </c>
      <c r="H293" s="5" t="str">
        <f t="shared" si="47"/>
        <v>1</v>
      </c>
      <c r="I293" s="16">
        <v>2517116438.3499999</v>
      </c>
      <c r="K293" s="23"/>
      <c r="M293" s="24"/>
    </row>
    <row r="294" spans="1:13" ht="11.45" customHeight="1" x14ac:dyDescent="0.25">
      <c r="A294" s="15">
        <v>326</v>
      </c>
      <c r="B294" s="6">
        <v>44651</v>
      </c>
      <c r="C294" s="5">
        <v>9</v>
      </c>
      <c r="D294" s="5" t="str">
        <f>"2220"</f>
        <v>2220</v>
      </c>
      <c r="E294" s="7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294" s="5" t="str">
        <f t="shared" si="46"/>
        <v>1</v>
      </c>
      <c r="G294" s="5" t="str">
        <f>"8"</f>
        <v>8</v>
      </c>
      <c r="H294" s="5" t="str">
        <f t="shared" si="47"/>
        <v>1</v>
      </c>
      <c r="I294" s="16">
        <v>14990670.76</v>
      </c>
      <c r="K294" s="23"/>
      <c r="M294" s="24"/>
    </row>
    <row r="295" spans="1:13" ht="11.45" customHeight="1" x14ac:dyDescent="0.25">
      <c r="A295" s="15">
        <v>80</v>
      </c>
      <c r="B295" s="6">
        <v>44651</v>
      </c>
      <c r="C295" s="5">
        <v>9</v>
      </c>
      <c r="D295" s="5" t="str">
        <f>"2223"</f>
        <v>2223</v>
      </c>
      <c r="E295" s="7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95" s="5" t="str">
        <f t="shared" si="46"/>
        <v>1</v>
      </c>
      <c r="G295" s="5" t="str">
        <f>"7"</f>
        <v>7</v>
      </c>
      <c r="H295" s="5" t="str">
        <f t="shared" si="47"/>
        <v>1</v>
      </c>
      <c r="I295" s="16">
        <v>9708.59</v>
      </c>
      <c r="K295" s="23"/>
      <c r="M295" s="24"/>
    </row>
    <row r="296" spans="1:13" ht="11.45" customHeight="1" x14ac:dyDescent="0.25">
      <c r="A296" s="15">
        <v>82</v>
      </c>
      <c r="B296" s="6">
        <v>44651</v>
      </c>
      <c r="C296" s="5">
        <v>9</v>
      </c>
      <c r="D296" s="5" t="str">
        <f>"2227"</f>
        <v>2227</v>
      </c>
      <c r="E296" s="7" t="str">
        <f>"Обязательства по аренде"</f>
        <v>Обязательства по аренде</v>
      </c>
      <c r="F296" s="5" t="str">
        <f t="shared" si="46"/>
        <v>1</v>
      </c>
      <c r="G296" s="5" t="str">
        <f>"7"</f>
        <v>7</v>
      </c>
      <c r="H296" s="5" t="str">
        <f t="shared" si="47"/>
        <v>1</v>
      </c>
      <c r="I296" s="16">
        <v>3888852932.46</v>
      </c>
      <c r="K296" s="23"/>
      <c r="M296" s="24"/>
    </row>
    <row r="297" spans="1:13" ht="11.45" customHeight="1" x14ac:dyDescent="0.25">
      <c r="A297" s="15">
        <v>84</v>
      </c>
      <c r="B297" s="6">
        <v>44651</v>
      </c>
      <c r="C297" s="5">
        <v>9</v>
      </c>
      <c r="D297" s="5" t="str">
        <f>"2227"</f>
        <v>2227</v>
      </c>
      <c r="E297" s="7" t="str">
        <f>"Обязательства по аренде"</f>
        <v>Обязательства по аренде</v>
      </c>
      <c r="F297" s="5" t="str">
        <f t="shared" si="46"/>
        <v>1</v>
      </c>
      <c r="G297" s="5" t="str">
        <f t="shared" ref="G297:G302" si="48">"9"</f>
        <v>9</v>
      </c>
      <c r="H297" s="5" t="str">
        <f t="shared" si="47"/>
        <v>1</v>
      </c>
      <c r="I297" s="16">
        <v>624097675.75999999</v>
      </c>
      <c r="K297" s="23"/>
      <c r="M297" s="24"/>
    </row>
    <row r="298" spans="1:13" ht="11.45" customHeight="1" x14ac:dyDescent="0.25">
      <c r="A298" s="15">
        <v>227</v>
      </c>
      <c r="B298" s="6">
        <v>44651</v>
      </c>
      <c r="C298" s="5">
        <v>9</v>
      </c>
      <c r="D298" s="5" t="str">
        <f>"2229"</f>
        <v>2229</v>
      </c>
      <c r="E298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298" s="5" t="str">
        <f t="shared" si="46"/>
        <v>1</v>
      </c>
      <c r="G298" s="5" t="str">
        <f t="shared" si="48"/>
        <v>9</v>
      </c>
      <c r="H298" s="5" t="str">
        <f t="shared" si="47"/>
        <v>1</v>
      </c>
      <c r="I298" s="16">
        <v>790435612.86000001</v>
      </c>
      <c r="K298" s="23"/>
      <c r="M298" s="24"/>
    </row>
    <row r="299" spans="1:13" ht="11.45" customHeight="1" x14ac:dyDescent="0.25">
      <c r="A299" s="15">
        <v>226</v>
      </c>
      <c r="B299" s="6">
        <v>44651</v>
      </c>
      <c r="C299" s="5">
        <v>9</v>
      </c>
      <c r="D299" s="5" t="str">
        <f>"2229"</f>
        <v>2229</v>
      </c>
      <c r="E299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299" s="5" t="str">
        <f t="shared" si="46"/>
        <v>1</v>
      </c>
      <c r="G299" s="5" t="str">
        <f t="shared" si="48"/>
        <v>9</v>
      </c>
      <c r="H299" s="5" t="str">
        <f>"2"</f>
        <v>2</v>
      </c>
      <c r="I299" s="16">
        <v>1150311423.6400001</v>
      </c>
      <c r="K299" s="23"/>
      <c r="M299" s="24"/>
    </row>
    <row r="300" spans="1:13" ht="11.45" customHeight="1" x14ac:dyDescent="0.25">
      <c r="A300" s="15">
        <v>594</v>
      </c>
      <c r="B300" s="6">
        <v>44651</v>
      </c>
      <c r="C300" s="5">
        <v>9</v>
      </c>
      <c r="D300" s="5" t="str">
        <f>"2229"</f>
        <v>2229</v>
      </c>
      <c r="E300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300" s="5" t="str">
        <f t="shared" si="46"/>
        <v>1</v>
      </c>
      <c r="G300" s="5" t="str">
        <f t="shared" si="48"/>
        <v>9</v>
      </c>
      <c r="H300" s="5" t="str">
        <f>"3"</f>
        <v>3</v>
      </c>
      <c r="I300" s="16">
        <v>9779594.3699999992</v>
      </c>
      <c r="K300" s="23"/>
      <c r="M300" s="24"/>
    </row>
    <row r="301" spans="1:13" ht="11.45" customHeight="1" x14ac:dyDescent="0.25">
      <c r="A301" s="15">
        <v>232</v>
      </c>
      <c r="B301" s="6">
        <v>44651</v>
      </c>
      <c r="C301" s="5">
        <v>9</v>
      </c>
      <c r="D301" s="5" t="str">
        <f>"2229"</f>
        <v>2229</v>
      </c>
      <c r="E301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301" s="5" t="str">
        <f>"2"</f>
        <v>2</v>
      </c>
      <c r="G301" s="5" t="str">
        <f t="shared" si="48"/>
        <v>9</v>
      </c>
      <c r="H301" s="5" t="str">
        <f>"1"</f>
        <v>1</v>
      </c>
      <c r="I301" s="16">
        <v>12397699.779999999</v>
      </c>
      <c r="K301" s="23"/>
      <c r="M301" s="24"/>
    </row>
    <row r="302" spans="1:13" ht="11.45" customHeight="1" x14ac:dyDescent="0.25">
      <c r="A302" s="15">
        <v>484</v>
      </c>
      <c r="B302" s="6">
        <v>44651</v>
      </c>
      <c r="C302" s="5">
        <v>9</v>
      </c>
      <c r="D302" s="5" t="str">
        <f>"2229"</f>
        <v>2229</v>
      </c>
      <c r="E302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302" s="5" t="str">
        <f>"2"</f>
        <v>2</v>
      </c>
      <c r="G302" s="5" t="str">
        <f t="shared" si="48"/>
        <v>9</v>
      </c>
      <c r="H302" s="5" t="str">
        <f>"2"</f>
        <v>2</v>
      </c>
      <c r="I302" s="16">
        <v>142334575.84999999</v>
      </c>
      <c r="K302" s="23"/>
      <c r="M302" s="24"/>
    </row>
    <row r="303" spans="1:13" ht="11.45" customHeight="1" x14ac:dyDescent="0.25">
      <c r="A303" s="15">
        <v>233</v>
      </c>
      <c r="B303" s="6">
        <v>44651</v>
      </c>
      <c r="C303" s="5">
        <v>9</v>
      </c>
      <c r="D303" s="5" t="str">
        <f>"2234"</f>
        <v>2234</v>
      </c>
      <c r="E303" s="7" t="str">
        <f>"Счет отрицательной корректировки стоимости срочного вклада клиентов"</f>
        <v>Счет отрицательной корректировки стоимости срочного вклада клиентов</v>
      </c>
      <c r="F303" s="5" t="str">
        <f t="shared" ref="F303:F313" si="49">"1"</f>
        <v>1</v>
      </c>
      <c r="G303" s="5" t="str">
        <f>"5"</f>
        <v>5</v>
      </c>
      <c r="H303" s="5" t="str">
        <f>"1"</f>
        <v>1</v>
      </c>
      <c r="I303" s="16">
        <v>-42514796</v>
      </c>
      <c r="K303" s="23"/>
      <c r="M303" s="24"/>
    </row>
    <row r="304" spans="1:13" ht="11.45" customHeight="1" x14ac:dyDescent="0.25">
      <c r="A304" s="15">
        <v>572</v>
      </c>
      <c r="B304" s="6">
        <v>44651</v>
      </c>
      <c r="C304" s="5">
        <v>9</v>
      </c>
      <c r="D304" s="5" t="str">
        <f t="shared" ref="D304:D321" si="50">"2237"</f>
        <v>2237</v>
      </c>
      <c r="E304" s="7" t="str">
        <f t="shared" ref="E304:E321" si="51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04" s="5" t="str">
        <f t="shared" si="49"/>
        <v>1</v>
      </c>
      <c r="G304" s="5" t="str">
        <f>"5"</f>
        <v>5</v>
      </c>
      <c r="H304" s="5" t="str">
        <f>"2"</f>
        <v>2</v>
      </c>
      <c r="I304" s="16">
        <v>277693289.10000002</v>
      </c>
      <c r="K304" s="23"/>
      <c r="M304" s="24"/>
    </row>
    <row r="305" spans="1:13" ht="11.45" customHeight="1" x14ac:dyDescent="0.25">
      <c r="A305" s="15">
        <v>235</v>
      </c>
      <c r="B305" s="6">
        <v>44651</v>
      </c>
      <c r="C305" s="5">
        <v>9</v>
      </c>
      <c r="D305" s="5" t="str">
        <f t="shared" si="50"/>
        <v>2237</v>
      </c>
      <c r="E305" s="7" t="str">
        <f t="shared" si="51"/>
        <v>Счет хранения указаний отправителя в соответствии с валютным законодательством Республики Казахстан</v>
      </c>
      <c r="F305" s="5" t="str">
        <f t="shared" si="49"/>
        <v>1</v>
      </c>
      <c r="G305" s="5" t="str">
        <f>"7"</f>
        <v>7</v>
      </c>
      <c r="H305" s="5" t="str">
        <f>"1"</f>
        <v>1</v>
      </c>
      <c r="I305" s="16">
        <v>379246371.16000003</v>
      </c>
      <c r="K305" s="23"/>
      <c r="M305" s="24"/>
    </row>
    <row r="306" spans="1:13" ht="11.45" customHeight="1" x14ac:dyDescent="0.25">
      <c r="A306" s="15">
        <v>93</v>
      </c>
      <c r="B306" s="6">
        <v>44651</v>
      </c>
      <c r="C306" s="5">
        <v>9</v>
      </c>
      <c r="D306" s="5" t="str">
        <f t="shared" si="50"/>
        <v>2237</v>
      </c>
      <c r="E306" s="7" t="str">
        <f t="shared" si="51"/>
        <v>Счет хранения указаний отправителя в соответствии с валютным законодательством Республики Казахстан</v>
      </c>
      <c r="F306" s="5" t="str">
        <f t="shared" si="49"/>
        <v>1</v>
      </c>
      <c r="G306" s="5" t="str">
        <f>"7"</f>
        <v>7</v>
      </c>
      <c r="H306" s="5" t="str">
        <f>"2"</f>
        <v>2</v>
      </c>
      <c r="I306" s="16">
        <v>1777738903.0799999</v>
      </c>
      <c r="K306" s="23"/>
      <c r="M306" s="24"/>
    </row>
    <row r="307" spans="1:13" ht="11.45" customHeight="1" x14ac:dyDescent="0.25">
      <c r="A307" s="15">
        <v>470</v>
      </c>
      <c r="B307" s="6">
        <v>44651</v>
      </c>
      <c r="C307" s="5">
        <v>9</v>
      </c>
      <c r="D307" s="5" t="str">
        <f t="shared" si="50"/>
        <v>2237</v>
      </c>
      <c r="E307" s="7" t="str">
        <f t="shared" si="51"/>
        <v>Счет хранения указаний отправителя в соответствии с валютным законодательством Республики Казахстан</v>
      </c>
      <c r="F307" s="5" t="str">
        <f t="shared" si="49"/>
        <v>1</v>
      </c>
      <c r="G307" s="5" t="str">
        <f>"7"</f>
        <v>7</v>
      </c>
      <c r="H307" s="5" t="str">
        <f>"3"</f>
        <v>3</v>
      </c>
      <c r="I307" s="16">
        <v>707911921.01999998</v>
      </c>
      <c r="K307" s="23"/>
      <c r="M307" s="24"/>
    </row>
    <row r="308" spans="1:13" ht="11.45" customHeight="1" x14ac:dyDescent="0.25">
      <c r="A308" s="15">
        <v>89</v>
      </c>
      <c r="B308" s="6">
        <v>44651</v>
      </c>
      <c r="C308" s="5">
        <v>9</v>
      </c>
      <c r="D308" s="5" t="str">
        <f t="shared" si="50"/>
        <v>2237</v>
      </c>
      <c r="E308" s="7" t="str">
        <f t="shared" si="51"/>
        <v>Счет хранения указаний отправителя в соответствии с валютным законодательством Республики Казахстан</v>
      </c>
      <c r="F308" s="5" t="str">
        <f t="shared" si="49"/>
        <v>1</v>
      </c>
      <c r="G308" s="5" t="str">
        <f>"8"</f>
        <v>8</v>
      </c>
      <c r="H308" s="5" t="str">
        <f>"1"</f>
        <v>1</v>
      </c>
      <c r="I308" s="16">
        <v>2106452</v>
      </c>
      <c r="K308" s="23"/>
      <c r="M308" s="24"/>
    </row>
    <row r="309" spans="1:13" ht="11.45" customHeight="1" x14ac:dyDescent="0.25">
      <c r="A309" s="15">
        <v>509</v>
      </c>
      <c r="B309" s="6">
        <v>44651</v>
      </c>
      <c r="C309" s="5">
        <v>9</v>
      </c>
      <c r="D309" s="5" t="str">
        <f t="shared" si="50"/>
        <v>2237</v>
      </c>
      <c r="E309" s="7" t="str">
        <f t="shared" si="51"/>
        <v>Счет хранения указаний отправителя в соответствии с валютным законодательством Республики Казахстан</v>
      </c>
      <c r="F309" s="5" t="str">
        <f t="shared" si="49"/>
        <v>1</v>
      </c>
      <c r="G309" s="5" t="str">
        <f>"8"</f>
        <v>8</v>
      </c>
      <c r="H309" s="5" t="str">
        <f>"2"</f>
        <v>2</v>
      </c>
      <c r="I309" s="16">
        <v>29108048.079999998</v>
      </c>
      <c r="K309" s="23"/>
      <c r="M309" s="24"/>
    </row>
    <row r="310" spans="1:13" ht="11.45" customHeight="1" x14ac:dyDescent="0.25">
      <c r="A310" s="15">
        <v>90</v>
      </c>
      <c r="B310" s="6">
        <v>44651</v>
      </c>
      <c r="C310" s="5">
        <v>9</v>
      </c>
      <c r="D310" s="5" t="str">
        <f t="shared" si="50"/>
        <v>2237</v>
      </c>
      <c r="E310" s="7" t="str">
        <f t="shared" si="51"/>
        <v>Счет хранения указаний отправителя в соответствии с валютным законодательством Республики Казахстан</v>
      </c>
      <c r="F310" s="5" t="str">
        <f t="shared" si="49"/>
        <v>1</v>
      </c>
      <c r="G310" s="5" t="str">
        <f>"8"</f>
        <v>8</v>
      </c>
      <c r="H310" s="5" t="str">
        <f>"3"</f>
        <v>3</v>
      </c>
      <c r="I310" s="16">
        <v>4826936.7</v>
      </c>
      <c r="K310" s="23"/>
      <c r="M310" s="24"/>
    </row>
    <row r="311" spans="1:13" ht="11.45" customHeight="1" x14ac:dyDescent="0.25">
      <c r="A311" s="15">
        <v>510</v>
      </c>
      <c r="B311" s="6">
        <v>44651</v>
      </c>
      <c r="C311" s="5">
        <v>9</v>
      </c>
      <c r="D311" s="5" t="str">
        <f t="shared" si="50"/>
        <v>2237</v>
      </c>
      <c r="E311" s="7" t="str">
        <f t="shared" si="51"/>
        <v>Счет хранения указаний отправителя в соответствии с валютным законодательством Республики Казахстан</v>
      </c>
      <c r="F311" s="5" t="str">
        <f t="shared" si="49"/>
        <v>1</v>
      </c>
      <c r="G311" s="5" t="str">
        <f>"9"</f>
        <v>9</v>
      </c>
      <c r="H311" s="5" t="str">
        <f>"1"</f>
        <v>1</v>
      </c>
      <c r="I311" s="16">
        <v>30997789.050000001</v>
      </c>
      <c r="K311" s="23"/>
      <c r="M311" s="24"/>
    </row>
    <row r="312" spans="1:13" ht="11.45" customHeight="1" x14ac:dyDescent="0.25">
      <c r="A312" s="15">
        <v>92</v>
      </c>
      <c r="B312" s="6">
        <v>44651</v>
      </c>
      <c r="C312" s="5">
        <v>9</v>
      </c>
      <c r="D312" s="5" t="str">
        <f t="shared" si="50"/>
        <v>2237</v>
      </c>
      <c r="E312" s="7" t="str">
        <f t="shared" si="51"/>
        <v>Счет хранения указаний отправителя в соответствии с валютным законодательством Республики Казахстан</v>
      </c>
      <c r="F312" s="5" t="str">
        <f t="shared" si="49"/>
        <v>1</v>
      </c>
      <c r="G312" s="5" t="str">
        <f>"9"</f>
        <v>9</v>
      </c>
      <c r="H312" s="5" t="str">
        <f>"2"</f>
        <v>2</v>
      </c>
      <c r="I312" s="16">
        <v>249079053.31999999</v>
      </c>
      <c r="K312" s="23"/>
      <c r="M312" s="24"/>
    </row>
    <row r="313" spans="1:13" ht="11.45" customHeight="1" x14ac:dyDescent="0.25">
      <c r="A313" s="15">
        <v>576</v>
      </c>
      <c r="B313" s="6">
        <v>44651</v>
      </c>
      <c r="C313" s="5">
        <v>9</v>
      </c>
      <c r="D313" s="5" t="str">
        <f t="shared" si="50"/>
        <v>2237</v>
      </c>
      <c r="E313" s="7" t="str">
        <f t="shared" si="51"/>
        <v>Счет хранения указаний отправителя в соответствии с валютным законодательством Республики Казахстан</v>
      </c>
      <c r="F313" s="5" t="str">
        <f t="shared" si="49"/>
        <v>1</v>
      </c>
      <c r="G313" s="5" t="str">
        <f>"9"</f>
        <v>9</v>
      </c>
      <c r="H313" s="5" t="str">
        <f>"3"</f>
        <v>3</v>
      </c>
      <c r="I313" s="16">
        <v>109488038.42</v>
      </c>
      <c r="K313" s="23"/>
      <c r="M313" s="24"/>
    </row>
    <row r="314" spans="1:13" ht="11.45" customHeight="1" x14ac:dyDescent="0.25">
      <c r="A314" s="15">
        <v>574</v>
      </c>
      <c r="B314" s="6">
        <v>44651</v>
      </c>
      <c r="C314" s="5">
        <v>9</v>
      </c>
      <c r="D314" s="5" t="str">
        <f t="shared" si="50"/>
        <v>2237</v>
      </c>
      <c r="E314" s="7" t="str">
        <f t="shared" si="51"/>
        <v>Счет хранения указаний отправителя в соответствии с валютным законодательством Республики Казахстан</v>
      </c>
      <c r="F314" s="5" t="str">
        <f t="shared" ref="F314:F321" si="52">"2"</f>
        <v>2</v>
      </c>
      <c r="G314" s="5" t="str">
        <f>"1"</f>
        <v>1</v>
      </c>
      <c r="H314" s="5" t="str">
        <f>"1"</f>
        <v>1</v>
      </c>
      <c r="I314" s="16">
        <v>39000</v>
      </c>
      <c r="K314" s="23"/>
      <c r="M314" s="24"/>
    </row>
    <row r="315" spans="1:13" ht="11.45" customHeight="1" x14ac:dyDescent="0.25">
      <c r="A315" s="15">
        <v>451</v>
      </c>
      <c r="B315" s="6">
        <v>44651</v>
      </c>
      <c r="C315" s="5">
        <v>9</v>
      </c>
      <c r="D315" s="5" t="str">
        <f t="shared" si="50"/>
        <v>2237</v>
      </c>
      <c r="E315" s="7" t="str">
        <f t="shared" si="51"/>
        <v>Счет хранения указаний отправителя в соответствии с валютным законодательством Республики Казахстан</v>
      </c>
      <c r="F315" s="5" t="str">
        <f t="shared" si="52"/>
        <v>2</v>
      </c>
      <c r="G315" s="5" t="str">
        <f>"7"</f>
        <v>7</v>
      </c>
      <c r="H315" s="5" t="str">
        <f>"1"</f>
        <v>1</v>
      </c>
      <c r="I315" s="16">
        <v>10422790.439999999</v>
      </c>
      <c r="K315" s="23"/>
      <c r="M315" s="24"/>
    </row>
    <row r="316" spans="1:13" ht="11.45" customHeight="1" x14ac:dyDescent="0.25">
      <c r="A316" s="15">
        <v>88</v>
      </c>
      <c r="B316" s="6">
        <v>44651</v>
      </c>
      <c r="C316" s="5">
        <v>9</v>
      </c>
      <c r="D316" s="5" t="str">
        <f t="shared" si="50"/>
        <v>2237</v>
      </c>
      <c r="E316" s="7" t="str">
        <f t="shared" si="51"/>
        <v>Счет хранения указаний отправителя в соответствии с валютным законодательством Республики Казахстан</v>
      </c>
      <c r="F316" s="5" t="str">
        <f t="shared" si="52"/>
        <v>2</v>
      </c>
      <c r="G316" s="5" t="str">
        <f>"7"</f>
        <v>7</v>
      </c>
      <c r="H316" s="5" t="str">
        <f>"2"</f>
        <v>2</v>
      </c>
      <c r="I316" s="16">
        <v>687931792.99000001</v>
      </c>
      <c r="K316" s="23"/>
      <c r="M316" s="24"/>
    </row>
    <row r="317" spans="1:13" ht="11.45" customHeight="1" x14ac:dyDescent="0.25">
      <c r="A317" s="15">
        <v>237</v>
      </c>
      <c r="B317" s="6">
        <v>44651</v>
      </c>
      <c r="C317" s="5">
        <v>9</v>
      </c>
      <c r="D317" s="5" t="str">
        <f t="shared" si="50"/>
        <v>2237</v>
      </c>
      <c r="E317" s="7" t="str">
        <f t="shared" si="51"/>
        <v>Счет хранения указаний отправителя в соответствии с валютным законодательством Республики Казахстан</v>
      </c>
      <c r="F317" s="5" t="str">
        <f t="shared" si="52"/>
        <v>2</v>
      </c>
      <c r="G317" s="5" t="str">
        <f>"7"</f>
        <v>7</v>
      </c>
      <c r="H317" s="5" t="str">
        <f>"3"</f>
        <v>3</v>
      </c>
      <c r="I317" s="16">
        <v>11765347.199999999</v>
      </c>
      <c r="K317" s="23"/>
      <c r="M317" s="24"/>
    </row>
    <row r="318" spans="1:13" ht="11.45" customHeight="1" x14ac:dyDescent="0.25">
      <c r="A318" s="15">
        <v>469</v>
      </c>
      <c r="B318" s="6">
        <v>44651</v>
      </c>
      <c r="C318" s="5">
        <v>9</v>
      </c>
      <c r="D318" s="5" t="str">
        <f t="shared" si="50"/>
        <v>2237</v>
      </c>
      <c r="E318" s="7" t="str">
        <f t="shared" si="51"/>
        <v>Счет хранения указаний отправителя в соответствии с валютным законодательством Республики Казахстан</v>
      </c>
      <c r="F318" s="5" t="str">
        <f t="shared" si="52"/>
        <v>2</v>
      </c>
      <c r="G318" s="5" t="str">
        <f>"8"</f>
        <v>8</v>
      </c>
      <c r="H318" s="5" t="str">
        <f>"2"</f>
        <v>2</v>
      </c>
      <c r="I318" s="16">
        <v>2442654.79</v>
      </c>
      <c r="K318" s="23"/>
      <c r="M318" s="24"/>
    </row>
    <row r="319" spans="1:13" ht="11.45" customHeight="1" x14ac:dyDescent="0.25">
      <c r="A319" s="15">
        <v>236</v>
      </c>
      <c r="B319" s="6">
        <v>44651</v>
      </c>
      <c r="C319" s="5">
        <v>9</v>
      </c>
      <c r="D319" s="5" t="str">
        <f t="shared" si="50"/>
        <v>2237</v>
      </c>
      <c r="E319" s="7" t="str">
        <f t="shared" si="51"/>
        <v>Счет хранения указаний отправителя в соответствии с валютным законодательством Республики Казахстан</v>
      </c>
      <c r="F319" s="5" t="str">
        <f t="shared" si="52"/>
        <v>2</v>
      </c>
      <c r="G319" s="5" t="str">
        <f>"9"</f>
        <v>9</v>
      </c>
      <c r="H319" s="5" t="str">
        <f>"1"</f>
        <v>1</v>
      </c>
      <c r="I319" s="16">
        <v>1986954</v>
      </c>
      <c r="K319" s="23"/>
      <c r="M319" s="24"/>
    </row>
    <row r="320" spans="1:13" ht="11.45" customHeight="1" x14ac:dyDescent="0.25">
      <c r="A320" s="15">
        <v>573</v>
      </c>
      <c r="B320" s="6">
        <v>44651</v>
      </c>
      <c r="C320" s="5">
        <v>9</v>
      </c>
      <c r="D320" s="5" t="str">
        <f t="shared" si="50"/>
        <v>2237</v>
      </c>
      <c r="E320" s="7" t="str">
        <f t="shared" si="51"/>
        <v>Счет хранения указаний отправителя в соответствии с валютным законодательством Республики Казахстан</v>
      </c>
      <c r="F320" s="5" t="str">
        <f t="shared" si="52"/>
        <v>2</v>
      </c>
      <c r="G320" s="5" t="str">
        <f>"9"</f>
        <v>9</v>
      </c>
      <c r="H320" s="5" t="str">
        <f>"2"</f>
        <v>2</v>
      </c>
      <c r="I320" s="16">
        <v>13244126.74</v>
      </c>
      <c r="K320" s="23"/>
      <c r="M320" s="24"/>
    </row>
    <row r="321" spans="1:13" ht="11.45" customHeight="1" x14ac:dyDescent="0.25">
      <c r="A321" s="15">
        <v>424</v>
      </c>
      <c r="B321" s="6">
        <v>44651</v>
      </c>
      <c r="C321" s="5">
        <v>9</v>
      </c>
      <c r="D321" s="5" t="str">
        <f t="shared" si="50"/>
        <v>2237</v>
      </c>
      <c r="E321" s="7" t="str">
        <f t="shared" si="51"/>
        <v>Счет хранения указаний отправителя в соответствии с валютным законодательством Республики Казахстан</v>
      </c>
      <c r="F321" s="5" t="str">
        <f t="shared" si="52"/>
        <v>2</v>
      </c>
      <c r="G321" s="5" t="str">
        <f>"9"</f>
        <v>9</v>
      </c>
      <c r="H321" s="5" t="str">
        <f>"3"</f>
        <v>3</v>
      </c>
      <c r="I321" s="16">
        <v>798000</v>
      </c>
      <c r="K321" s="23"/>
      <c r="M321" s="24"/>
    </row>
    <row r="322" spans="1:13" ht="11.45" customHeight="1" x14ac:dyDescent="0.25">
      <c r="A322" s="15">
        <v>511</v>
      </c>
      <c r="B322" s="6">
        <v>44651</v>
      </c>
      <c r="C322" s="5">
        <v>9</v>
      </c>
      <c r="D322" s="5" t="str">
        <f t="shared" ref="D322:D330" si="53">"2240"</f>
        <v>2240</v>
      </c>
      <c r="E322" s="7" t="str">
        <f t="shared" ref="E322:E330" si="54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2" s="5" t="str">
        <f t="shared" ref="F322:F329" si="55">"1"</f>
        <v>1</v>
      </c>
      <c r="G322" s="5" t="str">
        <f>"5"</f>
        <v>5</v>
      </c>
      <c r="H322" s="5" t="str">
        <f>"1"</f>
        <v>1</v>
      </c>
      <c r="I322" s="16">
        <v>132423996.09</v>
      </c>
      <c r="K322" s="23"/>
      <c r="M322" s="24"/>
    </row>
    <row r="323" spans="1:13" ht="11.45" customHeight="1" x14ac:dyDescent="0.25">
      <c r="A323" s="15">
        <v>391</v>
      </c>
      <c r="B323" s="6">
        <v>44651</v>
      </c>
      <c r="C323" s="5">
        <v>9</v>
      </c>
      <c r="D323" s="5" t="str">
        <f t="shared" si="53"/>
        <v>2240</v>
      </c>
      <c r="E323" s="7" t="str">
        <f t="shared" si="54"/>
        <v>Счет хранения денег, принятых в качестве обеспечения (заклад, задаток) обязательств клиентов</v>
      </c>
      <c r="F323" s="5" t="str">
        <f t="shared" si="55"/>
        <v>1</v>
      </c>
      <c r="G323" s="5" t="str">
        <f>"6"</f>
        <v>6</v>
      </c>
      <c r="H323" s="5" t="str">
        <f>"1"</f>
        <v>1</v>
      </c>
      <c r="I323" s="16">
        <v>166003824.43000001</v>
      </c>
      <c r="K323" s="23"/>
      <c r="M323" s="24"/>
    </row>
    <row r="324" spans="1:13" ht="11.45" customHeight="1" x14ac:dyDescent="0.25">
      <c r="A324" s="15">
        <v>358</v>
      </c>
      <c r="B324" s="6">
        <v>44651</v>
      </c>
      <c r="C324" s="5">
        <v>9</v>
      </c>
      <c r="D324" s="5" t="str">
        <f t="shared" si="53"/>
        <v>2240</v>
      </c>
      <c r="E324" s="7" t="str">
        <f t="shared" si="54"/>
        <v>Счет хранения денег, принятых в качестве обеспечения (заклад, задаток) обязательств клиентов</v>
      </c>
      <c r="F324" s="5" t="str">
        <f t="shared" si="55"/>
        <v>1</v>
      </c>
      <c r="G324" s="5" t="str">
        <f>"7"</f>
        <v>7</v>
      </c>
      <c r="H324" s="5" t="str">
        <f>"1"</f>
        <v>1</v>
      </c>
      <c r="I324" s="16">
        <v>18212254167.470001</v>
      </c>
      <c r="K324" s="23"/>
      <c r="M324" s="24"/>
    </row>
    <row r="325" spans="1:13" ht="11.45" customHeight="1" x14ac:dyDescent="0.25">
      <c r="A325" s="15">
        <v>575</v>
      </c>
      <c r="B325" s="6">
        <v>44651</v>
      </c>
      <c r="C325" s="5">
        <v>9</v>
      </c>
      <c r="D325" s="5" t="str">
        <f t="shared" si="53"/>
        <v>2240</v>
      </c>
      <c r="E325" s="7" t="str">
        <f t="shared" si="54"/>
        <v>Счет хранения денег, принятых в качестве обеспечения (заклад, задаток) обязательств клиентов</v>
      </c>
      <c r="F325" s="5" t="str">
        <f t="shared" si="55"/>
        <v>1</v>
      </c>
      <c r="G325" s="5" t="str">
        <f>"7"</f>
        <v>7</v>
      </c>
      <c r="H325" s="5" t="str">
        <f>"2"</f>
        <v>2</v>
      </c>
      <c r="I325" s="16">
        <v>767255572.37</v>
      </c>
      <c r="K325" s="23"/>
      <c r="M325" s="24"/>
    </row>
    <row r="326" spans="1:13" ht="11.45" customHeight="1" x14ac:dyDescent="0.25">
      <c r="A326" s="15">
        <v>239</v>
      </c>
      <c r="B326" s="6">
        <v>44651</v>
      </c>
      <c r="C326" s="5">
        <v>9</v>
      </c>
      <c r="D326" s="5" t="str">
        <f t="shared" si="53"/>
        <v>2240</v>
      </c>
      <c r="E326" s="7" t="str">
        <f t="shared" si="54"/>
        <v>Счет хранения денег, принятых в качестве обеспечения (заклад, задаток) обязательств клиентов</v>
      </c>
      <c r="F326" s="5" t="str">
        <f t="shared" si="55"/>
        <v>1</v>
      </c>
      <c r="G326" s="5" t="str">
        <f>"7"</f>
        <v>7</v>
      </c>
      <c r="H326" s="5" t="str">
        <f>"3"</f>
        <v>3</v>
      </c>
      <c r="I326" s="16">
        <v>29754958.57</v>
      </c>
      <c r="K326" s="23"/>
      <c r="M326" s="24"/>
    </row>
    <row r="327" spans="1:13" ht="11.45" customHeight="1" x14ac:dyDescent="0.25">
      <c r="A327" s="15">
        <v>238</v>
      </c>
      <c r="B327" s="6">
        <v>44651</v>
      </c>
      <c r="C327" s="5">
        <v>9</v>
      </c>
      <c r="D327" s="5" t="str">
        <f t="shared" si="53"/>
        <v>2240</v>
      </c>
      <c r="E327" s="7" t="str">
        <f t="shared" si="54"/>
        <v>Счет хранения денег, принятых в качестве обеспечения (заклад, задаток) обязательств клиентов</v>
      </c>
      <c r="F327" s="5" t="str">
        <f t="shared" si="55"/>
        <v>1</v>
      </c>
      <c r="G327" s="5" t="str">
        <f>"8"</f>
        <v>8</v>
      </c>
      <c r="H327" s="5" t="str">
        <f>"1"</f>
        <v>1</v>
      </c>
      <c r="I327" s="16">
        <v>5876451.46</v>
      </c>
      <c r="K327" s="23"/>
      <c r="M327" s="24"/>
    </row>
    <row r="328" spans="1:13" ht="11.45" customHeight="1" x14ac:dyDescent="0.25">
      <c r="A328" s="15">
        <v>327</v>
      </c>
      <c r="B328" s="6">
        <v>44651</v>
      </c>
      <c r="C328" s="5">
        <v>9</v>
      </c>
      <c r="D328" s="5" t="str">
        <f t="shared" si="53"/>
        <v>2240</v>
      </c>
      <c r="E328" s="7" t="str">
        <f t="shared" si="54"/>
        <v>Счет хранения денег, принятых в качестве обеспечения (заклад, задаток) обязательств клиентов</v>
      </c>
      <c r="F328" s="5" t="str">
        <f t="shared" si="55"/>
        <v>1</v>
      </c>
      <c r="G328" s="5" t="str">
        <f>"9"</f>
        <v>9</v>
      </c>
      <c r="H328" s="5" t="str">
        <f>"1"</f>
        <v>1</v>
      </c>
      <c r="I328" s="16">
        <v>3769217550.3400002</v>
      </c>
      <c r="K328" s="23"/>
      <c r="M328" s="24"/>
    </row>
    <row r="329" spans="1:13" ht="11.45" customHeight="1" x14ac:dyDescent="0.25">
      <c r="A329" s="15">
        <v>91</v>
      </c>
      <c r="B329" s="6">
        <v>44651</v>
      </c>
      <c r="C329" s="5">
        <v>9</v>
      </c>
      <c r="D329" s="5" t="str">
        <f t="shared" si="53"/>
        <v>2240</v>
      </c>
      <c r="E329" s="7" t="str">
        <f t="shared" si="54"/>
        <v>Счет хранения денег, принятых в качестве обеспечения (заклад, задаток) обязательств клиентов</v>
      </c>
      <c r="F329" s="5" t="str">
        <f t="shared" si="55"/>
        <v>1</v>
      </c>
      <c r="G329" s="5" t="str">
        <f>"9"</f>
        <v>9</v>
      </c>
      <c r="H329" s="5" t="str">
        <f>"2"</f>
        <v>2</v>
      </c>
      <c r="I329" s="16">
        <v>2131883672.8599999</v>
      </c>
      <c r="K329" s="23"/>
      <c r="M329" s="24"/>
    </row>
    <row r="330" spans="1:13" ht="11.45" customHeight="1" x14ac:dyDescent="0.25">
      <c r="A330" s="15">
        <v>529</v>
      </c>
      <c r="B330" s="6">
        <v>44651</v>
      </c>
      <c r="C330" s="5">
        <v>9</v>
      </c>
      <c r="D330" s="5" t="str">
        <f t="shared" si="53"/>
        <v>2240</v>
      </c>
      <c r="E330" s="7" t="str">
        <f t="shared" si="54"/>
        <v>Счет хранения денег, принятых в качестве обеспечения (заклад, задаток) обязательств клиентов</v>
      </c>
      <c r="F330" s="5" t="str">
        <f>"2"</f>
        <v>2</v>
      </c>
      <c r="G330" s="5" t="str">
        <f>"9"</f>
        <v>9</v>
      </c>
      <c r="H330" s="5" t="str">
        <f>"2"</f>
        <v>2</v>
      </c>
      <c r="I330" s="16">
        <v>150438089.19999999</v>
      </c>
      <c r="K330" s="23"/>
      <c r="M330" s="24"/>
    </row>
    <row r="331" spans="1:13" ht="11.45" customHeight="1" x14ac:dyDescent="0.25">
      <c r="A331" s="15">
        <v>383</v>
      </c>
      <c r="B331" s="6">
        <v>44651</v>
      </c>
      <c r="C331" s="5">
        <v>9</v>
      </c>
      <c r="D331" s="5" t="str">
        <f>"2255"</f>
        <v>2255</v>
      </c>
      <c r="E331" s="7" t="str">
        <f>"Операции «РЕПО» с ценными бумагами"</f>
        <v>Операции «РЕПО» с ценными бумагами</v>
      </c>
      <c r="F331" s="5" t="str">
        <f t="shared" ref="F331:F336" si="56">"1"</f>
        <v>1</v>
      </c>
      <c r="G331" s="5" t="str">
        <f>"5"</f>
        <v>5</v>
      </c>
      <c r="H331" s="5" t="str">
        <f>"1"</f>
        <v>1</v>
      </c>
      <c r="I331" s="16">
        <v>45228232932.480003</v>
      </c>
      <c r="K331" s="23"/>
      <c r="M331" s="24"/>
    </row>
    <row r="332" spans="1:13" ht="11.45" customHeight="1" x14ac:dyDescent="0.25">
      <c r="A332" s="15">
        <v>337</v>
      </c>
      <c r="B332" s="6">
        <v>44651</v>
      </c>
      <c r="C332" s="5">
        <v>9</v>
      </c>
      <c r="D332" s="5" t="str">
        <f>"2301"</f>
        <v>2301</v>
      </c>
      <c r="E332" s="7" t="str">
        <f>"Выпущенные в обращение облигации"</f>
        <v>Выпущенные в обращение облигации</v>
      </c>
      <c r="F332" s="5" t="str">
        <f t="shared" si="56"/>
        <v>1</v>
      </c>
      <c r="G332" s="5" t="str">
        <f>"4"</f>
        <v>4</v>
      </c>
      <c r="H332" s="5" t="str">
        <f>"1"</f>
        <v>1</v>
      </c>
      <c r="I332" s="16">
        <v>15000000000</v>
      </c>
      <c r="K332" s="23"/>
      <c r="M332" s="24"/>
    </row>
    <row r="333" spans="1:13" ht="11.45" customHeight="1" x14ac:dyDescent="0.25">
      <c r="A333" s="15">
        <v>240</v>
      </c>
      <c r="B333" s="6">
        <v>44651</v>
      </c>
      <c r="C333" s="5">
        <v>9</v>
      </c>
      <c r="D333" s="5" t="str">
        <f>"2306"</f>
        <v>2306</v>
      </c>
      <c r="E333" s="7" t="str">
        <f>"Выкупленные облигации"</f>
        <v>Выкупленные облигации</v>
      </c>
      <c r="F333" s="5" t="str">
        <f t="shared" si="56"/>
        <v>1</v>
      </c>
      <c r="G333" s="5" t="str">
        <f>"4"</f>
        <v>4</v>
      </c>
      <c r="H333" s="5" t="str">
        <f>"1"</f>
        <v>1</v>
      </c>
      <c r="I333" s="16">
        <v>-10496344000</v>
      </c>
      <c r="K333" s="23"/>
      <c r="M333" s="24"/>
    </row>
    <row r="334" spans="1:13" ht="11.45" customHeight="1" x14ac:dyDescent="0.25">
      <c r="A334" s="15">
        <v>18</v>
      </c>
      <c r="B334" s="6">
        <v>44651</v>
      </c>
      <c r="C334" s="5">
        <v>9</v>
      </c>
      <c r="D334" s="5" t="str">
        <f>"2551"</f>
        <v>2551</v>
      </c>
      <c r="E334" s="7" t="str">
        <f>"Расчеты с другими банками"</f>
        <v>Расчеты с другими банками</v>
      </c>
      <c r="F334" s="5" t="str">
        <f t="shared" si="56"/>
        <v>1</v>
      </c>
      <c r="G334" s="5" t="str">
        <f>"4"</f>
        <v>4</v>
      </c>
      <c r="H334" s="5" t="str">
        <f>"1"</f>
        <v>1</v>
      </c>
      <c r="I334" s="16">
        <v>621266.26</v>
      </c>
      <c r="K334" s="23"/>
      <c r="M334" s="24"/>
    </row>
    <row r="335" spans="1:13" ht="11.45" customHeight="1" x14ac:dyDescent="0.25">
      <c r="A335" s="15">
        <v>485</v>
      </c>
      <c r="B335" s="6">
        <v>44651</v>
      </c>
      <c r="C335" s="5">
        <v>9</v>
      </c>
      <c r="D335" s="5" t="str">
        <f>"2706"</f>
        <v>2706</v>
      </c>
      <c r="E335" s="7" t="str">
        <f>"Начисленные расходы по займам и финансовому лизингу"</f>
        <v>Начисленные расходы по займам и финансовому лизингу</v>
      </c>
      <c r="F335" s="5" t="str">
        <f t="shared" si="56"/>
        <v>1</v>
      </c>
      <c r="G335" s="5" t="str">
        <f>"5"</f>
        <v>5</v>
      </c>
      <c r="H335" s="5" t="str">
        <f>"1"</f>
        <v>1</v>
      </c>
      <c r="I335" s="16">
        <v>410076679.86000001</v>
      </c>
      <c r="K335" s="23"/>
      <c r="M335" s="24"/>
    </row>
    <row r="336" spans="1:13" ht="11.45" customHeight="1" x14ac:dyDescent="0.25">
      <c r="A336" s="15">
        <v>401</v>
      </c>
      <c r="B336" s="6">
        <v>44651</v>
      </c>
      <c r="C336" s="5">
        <v>9</v>
      </c>
      <c r="D336" s="5" t="str">
        <f>"2707"</f>
        <v>2707</v>
      </c>
      <c r="E336" s="7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36" s="5" t="str">
        <f t="shared" si="56"/>
        <v>1</v>
      </c>
      <c r="G336" s="5" t="str">
        <f>"9"</f>
        <v>9</v>
      </c>
      <c r="H336" s="5" t="str">
        <f>"2"</f>
        <v>2</v>
      </c>
      <c r="I336" s="16">
        <v>95714.79</v>
      </c>
      <c r="K336" s="23"/>
      <c r="M336" s="24"/>
    </row>
    <row r="337" spans="1:13" ht="11.45" customHeight="1" x14ac:dyDescent="0.25">
      <c r="A337" s="15">
        <v>94</v>
      </c>
      <c r="B337" s="6">
        <v>44651</v>
      </c>
      <c r="C337" s="5">
        <v>9</v>
      </c>
      <c r="D337" s="5" t="str">
        <f>"2712"</f>
        <v>2712</v>
      </c>
      <c r="E337" s="7" t="str">
        <f>"Начисленные расходы по срочным вкладам других банков"</f>
        <v>Начисленные расходы по срочным вкладам других банков</v>
      </c>
      <c r="F337" s="5" t="str">
        <f>"2"</f>
        <v>2</v>
      </c>
      <c r="G337" s="5" t="str">
        <f>"4"</f>
        <v>4</v>
      </c>
      <c r="H337" s="5" t="str">
        <f>"2"</f>
        <v>2</v>
      </c>
      <c r="I337" s="16">
        <v>26943774.170000002</v>
      </c>
      <c r="K337" s="23"/>
      <c r="M337" s="24"/>
    </row>
    <row r="338" spans="1:13" ht="11.45" customHeight="1" x14ac:dyDescent="0.25">
      <c r="A338" s="15">
        <v>95</v>
      </c>
      <c r="B338" s="6">
        <v>44651</v>
      </c>
      <c r="C338" s="5">
        <v>9</v>
      </c>
      <c r="D338" s="5" t="str">
        <f>"2719"</f>
        <v>2719</v>
      </c>
      <c r="E338" s="7" t="str">
        <f>"Начисленные расходы по условным вкладам клиентов"</f>
        <v>Начисленные расходы по условным вкладам клиентов</v>
      </c>
      <c r="F338" s="5" t="str">
        <f t="shared" ref="F338:F346" si="57">"1"</f>
        <v>1</v>
      </c>
      <c r="G338" s="5" t="str">
        <f>"7"</f>
        <v>7</v>
      </c>
      <c r="H338" s="5" t="str">
        <f>"1"</f>
        <v>1</v>
      </c>
      <c r="I338" s="16">
        <v>127199015.36</v>
      </c>
      <c r="K338" s="23"/>
      <c r="M338" s="24"/>
    </row>
    <row r="339" spans="1:13" ht="11.45" customHeight="1" x14ac:dyDescent="0.25">
      <c r="A339" s="15">
        <v>452</v>
      </c>
      <c r="B339" s="6">
        <v>44651</v>
      </c>
      <c r="C339" s="5">
        <v>9</v>
      </c>
      <c r="D339" s="5" t="str">
        <f>"2719"</f>
        <v>2719</v>
      </c>
      <c r="E339" s="7" t="str">
        <f>"Начисленные расходы по условным вкладам клиентов"</f>
        <v>Начисленные расходы по условным вкладам клиентов</v>
      </c>
      <c r="F339" s="5" t="str">
        <f t="shared" si="57"/>
        <v>1</v>
      </c>
      <c r="G339" s="5" t="str">
        <f>"7"</f>
        <v>7</v>
      </c>
      <c r="H339" s="5" t="str">
        <f>"2"</f>
        <v>2</v>
      </c>
      <c r="I339" s="16">
        <v>1033734.66</v>
      </c>
      <c r="K339" s="23"/>
      <c r="M339" s="24"/>
    </row>
    <row r="340" spans="1:13" ht="11.45" customHeight="1" x14ac:dyDescent="0.25">
      <c r="A340" s="15">
        <v>19</v>
      </c>
      <c r="B340" s="6">
        <v>44651</v>
      </c>
      <c r="C340" s="5">
        <v>9</v>
      </c>
      <c r="D340" s="5" t="str">
        <f t="shared" ref="D340:D348" si="58">"2721"</f>
        <v>2721</v>
      </c>
      <c r="E340" s="7" t="str">
        <f t="shared" ref="E340:E348" si="59">"Начисленные расходы по срочным вкладам клиентов"</f>
        <v>Начисленные расходы по срочным вкладам клиентов</v>
      </c>
      <c r="F340" s="5" t="str">
        <f t="shared" si="57"/>
        <v>1</v>
      </c>
      <c r="G340" s="5" t="str">
        <f>"5"</f>
        <v>5</v>
      </c>
      <c r="H340" s="5" t="str">
        <f>"1"</f>
        <v>1</v>
      </c>
      <c r="I340" s="16">
        <v>7813.7</v>
      </c>
      <c r="K340" s="23"/>
      <c r="M340" s="24"/>
    </row>
    <row r="341" spans="1:13" ht="11.45" customHeight="1" x14ac:dyDescent="0.25">
      <c r="A341" s="15">
        <v>546</v>
      </c>
      <c r="B341" s="6">
        <v>44651</v>
      </c>
      <c r="C341" s="5">
        <v>9</v>
      </c>
      <c r="D341" s="5" t="str">
        <f t="shared" si="58"/>
        <v>2721</v>
      </c>
      <c r="E341" s="7" t="str">
        <f t="shared" si="59"/>
        <v>Начисленные расходы по срочным вкладам клиентов</v>
      </c>
      <c r="F341" s="5" t="str">
        <f t="shared" si="57"/>
        <v>1</v>
      </c>
      <c r="G341" s="5" t="str">
        <f>"7"</f>
        <v>7</v>
      </c>
      <c r="H341" s="5" t="str">
        <f>"1"</f>
        <v>1</v>
      </c>
      <c r="I341" s="16">
        <v>12454406.859999999</v>
      </c>
      <c r="K341" s="23"/>
      <c r="M341" s="24"/>
    </row>
    <row r="342" spans="1:13" ht="11.45" customHeight="1" x14ac:dyDescent="0.25">
      <c r="A342" s="15">
        <v>486</v>
      </c>
      <c r="B342" s="6">
        <v>44651</v>
      </c>
      <c r="C342" s="5">
        <v>9</v>
      </c>
      <c r="D342" s="5" t="str">
        <f t="shared" si="58"/>
        <v>2721</v>
      </c>
      <c r="E342" s="7" t="str">
        <f t="shared" si="59"/>
        <v>Начисленные расходы по срочным вкладам клиентов</v>
      </c>
      <c r="F342" s="5" t="str">
        <f t="shared" si="57"/>
        <v>1</v>
      </c>
      <c r="G342" s="5" t="str">
        <f>"7"</f>
        <v>7</v>
      </c>
      <c r="H342" s="5" t="str">
        <f>"2"</f>
        <v>2</v>
      </c>
      <c r="I342" s="16">
        <v>2246606.94</v>
      </c>
      <c r="K342" s="23"/>
      <c r="M342" s="24"/>
    </row>
    <row r="343" spans="1:13" ht="11.45" customHeight="1" x14ac:dyDescent="0.25">
      <c r="A343" s="15">
        <v>241</v>
      </c>
      <c r="B343" s="6">
        <v>44651</v>
      </c>
      <c r="C343" s="5">
        <v>9</v>
      </c>
      <c r="D343" s="5" t="str">
        <f t="shared" si="58"/>
        <v>2721</v>
      </c>
      <c r="E343" s="7" t="str">
        <f t="shared" si="59"/>
        <v>Начисленные расходы по срочным вкладам клиентов</v>
      </c>
      <c r="F343" s="5" t="str">
        <f t="shared" si="57"/>
        <v>1</v>
      </c>
      <c r="G343" s="5" t="str">
        <f>"7"</f>
        <v>7</v>
      </c>
      <c r="H343" s="5" t="str">
        <f>"3"</f>
        <v>3</v>
      </c>
      <c r="I343" s="16">
        <v>712109.61</v>
      </c>
      <c r="K343" s="23"/>
      <c r="M343" s="24"/>
    </row>
    <row r="344" spans="1:13" ht="11.45" customHeight="1" x14ac:dyDescent="0.25">
      <c r="A344" s="15">
        <v>545</v>
      </c>
      <c r="B344" s="6">
        <v>44651</v>
      </c>
      <c r="C344" s="5">
        <v>9</v>
      </c>
      <c r="D344" s="5" t="str">
        <f t="shared" si="58"/>
        <v>2721</v>
      </c>
      <c r="E344" s="7" t="str">
        <f t="shared" si="59"/>
        <v>Начисленные расходы по срочным вкладам клиентов</v>
      </c>
      <c r="F344" s="5" t="str">
        <f t="shared" si="57"/>
        <v>1</v>
      </c>
      <c r="G344" s="5" t="str">
        <f>"8"</f>
        <v>8</v>
      </c>
      <c r="H344" s="5" t="str">
        <f>"1"</f>
        <v>1</v>
      </c>
      <c r="I344" s="16">
        <v>159296.79</v>
      </c>
      <c r="K344" s="23"/>
      <c r="M344" s="24"/>
    </row>
    <row r="345" spans="1:13" ht="11.45" customHeight="1" x14ac:dyDescent="0.25">
      <c r="A345" s="15">
        <v>96</v>
      </c>
      <c r="B345" s="6">
        <v>44651</v>
      </c>
      <c r="C345" s="5">
        <v>9</v>
      </c>
      <c r="D345" s="5" t="str">
        <f t="shared" si="58"/>
        <v>2721</v>
      </c>
      <c r="E345" s="7" t="str">
        <f t="shared" si="59"/>
        <v>Начисленные расходы по срочным вкладам клиентов</v>
      </c>
      <c r="F345" s="5" t="str">
        <f t="shared" si="57"/>
        <v>1</v>
      </c>
      <c r="G345" s="5" t="str">
        <f>"9"</f>
        <v>9</v>
      </c>
      <c r="H345" s="5" t="str">
        <f>"1"</f>
        <v>1</v>
      </c>
      <c r="I345" s="16">
        <v>22080.93</v>
      </c>
      <c r="K345" s="23"/>
      <c r="M345" s="24"/>
    </row>
    <row r="346" spans="1:13" ht="11.45" customHeight="1" x14ac:dyDescent="0.25">
      <c r="A346" s="15">
        <v>407</v>
      </c>
      <c r="B346" s="6">
        <v>44651</v>
      </c>
      <c r="C346" s="5">
        <v>9</v>
      </c>
      <c r="D346" s="5" t="str">
        <f t="shared" si="58"/>
        <v>2721</v>
      </c>
      <c r="E346" s="7" t="str">
        <f t="shared" si="59"/>
        <v>Начисленные расходы по срочным вкладам клиентов</v>
      </c>
      <c r="F346" s="5" t="str">
        <f t="shared" si="57"/>
        <v>1</v>
      </c>
      <c r="G346" s="5" t="str">
        <f>"9"</f>
        <v>9</v>
      </c>
      <c r="H346" s="5" t="str">
        <f>"2"</f>
        <v>2</v>
      </c>
      <c r="I346" s="16">
        <v>27.98</v>
      </c>
      <c r="K346" s="23"/>
      <c r="M346" s="24"/>
    </row>
    <row r="347" spans="1:13" ht="11.45" customHeight="1" x14ac:dyDescent="0.25">
      <c r="A347" s="15">
        <v>20</v>
      </c>
      <c r="B347" s="6">
        <v>44651</v>
      </c>
      <c r="C347" s="5">
        <v>9</v>
      </c>
      <c r="D347" s="5" t="str">
        <f t="shared" si="58"/>
        <v>2721</v>
      </c>
      <c r="E347" s="7" t="str">
        <f t="shared" si="59"/>
        <v>Начисленные расходы по срочным вкладам клиентов</v>
      </c>
      <c r="F347" s="5" t="str">
        <f>"2"</f>
        <v>2</v>
      </c>
      <c r="G347" s="5" t="str">
        <f>"9"</f>
        <v>9</v>
      </c>
      <c r="H347" s="5" t="str">
        <f>"1"</f>
        <v>1</v>
      </c>
      <c r="I347" s="16">
        <v>10.27</v>
      </c>
      <c r="K347" s="23"/>
      <c r="M347" s="24"/>
    </row>
    <row r="348" spans="1:13" ht="11.45" customHeight="1" x14ac:dyDescent="0.25">
      <c r="A348" s="15">
        <v>512</v>
      </c>
      <c r="B348" s="6">
        <v>44651</v>
      </c>
      <c r="C348" s="5">
        <v>9</v>
      </c>
      <c r="D348" s="5" t="str">
        <f t="shared" si="58"/>
        <v>2721</v>
      </c>
      <c r="E348" s="7" t="str">
        <f t="shared" si="59"/>
        <v>Начисленные расходы по срочным вкладам клиентов</v>
      </c>
      <c r="F348" s="5" t="str">
        <f>"2"</f>
        <v>2</v>
      </c>
      <c r="G348" s="5" t="str">
        <f>"9"</f>
        <v>9</v>
      </c>
      <c r="H348" s="5" t="str">
        <f>"2"</f>
        <v>2</v>
      </c>
      <c r="I348" s="16">
        <v>102.6</v>
      </c>
      <c r="K348" s="23"/>
      <c r="M348" s="24"/>
    </row>
    <row r="349" spans="1:13" ht="11.45" customHeight="1" x14ac:dyDescent="0.25">
      <c r="A349" s="15">
        <v>243</v>
      </c>
      <c r="B349" s="6">
        <v>44651</v>
      </c>
      <c r="C349" s="5">
        <v>9</v>
      </c>
      <c r="D349" s="5" t="str">
        <f>"2723"</f>
        <v>2723</v>
      </c>
      <c r="E349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49" s="5" t="str">
        <f>"1"</f>
        <v>1</v>
      </c>
      <c r="G349" s="5" t="str">
        <f>"7"</f>
        <v>7</v>
      </c>
      <c r="H349" s="5" t="str">
        <f>"1"</f>
        <v>1</v>
      </c>
      <c r="I349" s="16">
        <v>5350438.3499999996</v>
      </c>
      <c r="K349" s="23"/>
      <c r="M349" s="24"/>
    </row>
    <row r="350" spans="1:13" ht="11.45" customHeight="1" x14ac:dyDescent="0.25">
      <c r="A350" s="15">
        <v>425</v>
      </c>
      <c r="B350" s="6">
        <v>44651</v>
      </c>
      <c r="C350" s="5">
        <v>9</v>
      </c>
      <c r="D350" s="5" t="str">
        <f>"2723"</f>
        <v>2723</v>
      </c>
      <c r="E350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0" s="5" t="str">
        <f>"1"</f>
        <v>1</v>
      </c>
      <c r="G350" s="5" t="str">
        <f>"7"</f>
        <v>7</v>
      </c>
      <c r="H350" s="5" t="str">
        <f>"2"</f>
        <v>2</v>
      </c>
      <c r="I350" s="16">
        <v>192077.75</v>
      </c>
      <c r="K350" s="23"/>
      <c r="M350" s="24"/>
    </row>
    <row r="351" spans="1:13" ht="11.45" customHeight="1" x14ac:dyDescent="0.25">
      <c r="A351" s="15">
        <v>577</v>
      </c>
      <c r="B351" s="6">
        <v>44651</v>
      </c>
      <c r="C351" s="5">
        <v>9</v>
      </c>
      <c r="D351" s="5" t="str">
        <f>"2723"</f>
        <v>2723</v>
      </c>
      <c r="E351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1" s="5" t="str">
        <f>"1"</f>
        <v>1</v>
      </c>
      <c r="G351" s="5" t="str">
        <f>"9"</f>
        <v>9</v>
      </c>
      <c r="H351" s="5" t="str">
        <f>"1"</f>
        <v>1</v>
      </c>
      <c r="I351" s="16">
        <v>2638027.4</v>
      </c>
      <c r="K351" s="23"/>
      <c r="M351" s="24"/>
    </row>
    <row r="352" spans="1:13" ht="11.45" customHeight="1" x14ac:dyDescent="0.25">
      <c r="A352" s="15">
        <v>97</v>
      </c>
      <c r="B352" s="6">
        <v>44651</v>
      </c>
      <c r="C352" s="5">
        <v>9</v>
      </c>
      <c r="D352" s="5" t="str">
        <f>"2724"</f>
        <v>2724</v>
      </c>
      <c r="E352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F352" s="5" t="str">
        <f>"1"</f>
        <v>1</v>
      </c>
      <c r="G352" s="5" t="str">
        <f>"7"</f>
        <v>7</v>
      </c>
      <c r="H352" s="5" t="str">
        <f>"1"</f>
        <v>1</v>
      </c>
      <c r="I352" s="16">
        <v>7965121.8799999999</v>
      </c>
      <c r="K352" s="23"/>
      <c r="M352" s="24"/>
    </row>
    <row r="353" spans="1:13" ht="11.45" customHeight="1" x14ac:dyDescent="0.25">
      <c r="A353" s="15">
        <v>578</v>
      </c>
      <c r="B353" s="6">
        <v>44651</v>
      </c>
      <c r="C353" s="5">
        <v>9</v>
      </c>
      <c r="D353" s="5" t="str">
        <f>"2724"</f>
        <v>2724</v>
      </c>
      <c r="E353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F353" s="5" t="str">
        <f>"1"</f>
        <v>1</v>
      </c>
      <c r="G353" s="5" t="str">
        <f>"9"</f>
        <v>9</v>
      </c>
      <c r="H353" s="5" t="str">
        <f>"1"</f>
        <v>1</v>
      </c>
      <c r="I353" s="16">
        <v>2519.25</v>
      </c>
      <c r="K353" s="23"/>
      <c r="M353" s="24"/>
    </row>
    <row r="354" spans="1:13" ht="11.45" customHeight="1" x14ac:dyDescent="0.25">
      <c r="A354" s="15">
        <v>242</v>
      </c>
      <c r="B354" s="6">
        <v>44651</v>
      </c>
      <c r="C354" s="5">
        <v>9</v>
      </c>
      <c r="D354" s="5" t="str">
        <f>"2724"</f>
        <v>2724</v>
      </c>
      <c r="E354" s="7" t="str">
        <f>"Начисленные расходы по сберегательным вкладам клиентов"</f>
        <v>Начисленные расходы по сберегательным вкладам клиентов</v>
      </c>
      <c r="F354" s="5" t="str">
        <f>"2"</f>
        <v>2</v>
      </c>
      <c r="G354" s="5" t="str">
        <f>"9"</f>
        <v>9</v>
      </c>
      <c r="H354" s="5" t="str">
        <f>"2"</f>
        <v>2</v>
      </c>
      <c r="I354" s="16">
        <v>18.649999999999999</v>
      </c>
      <c r="K354" s="23"/>
      <c r="M354" s="24"/>
    </row>
    <row r="355" spans="1:13" ht="11.45" customHeight="1" x14ac:dyDescent="0.25">
      <c r="A355" s="15">
        <v>359</v>
      </c>
      <c r="B355" s="6">
        <v>44651</v>
      </c>
      <c r="C355" s="5">
        <v>9</v>
      </c>
      <c r="D355" s="5" t="str">
        <f>"2730"</f>
        <v>2730</v>
      </c>
      <c r="E355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55" s="5" t="str">
        <f>"1"</f>
        <v>1</v>
      </c>
      <c r="G355" s="5" t="str">
        <f>"4"</f>
        <v>4</v>
      </c>
      <c r="H355" s="5" t="str">
        <f t="shared" ref="H355:H371" si="60">"1"</f>
        <v>1</v>
      </c>
      <c r="I355" s="16">
        <v>208450466.94</v>
      </c>
      <c r="K355" s="23"/>
      <c r="M355" s="24"/>
    </row>
    <row r="356" spans="1:13" ht="11.45" customHeight="1" x14ac:dyDescent="0.25">
      <c r="A356" s="15">
        <v>244</v>
      </c>
      <c r="B356" s="6">
        <v>44651</v>
      </c>
      <c r="C356" s="5">
        <v>9</v>
      </c>
      <c r="D356" s="5" t="str">
        <f>"2731"</f>
        <v>2731</v>
      </c>
      <c r="E356" s="7" t="str">
        <f>"Начисленные расходы по прочим операциям"</f>
        <v>Начисленные расходы по прочим операциям</v>
      </c>
      <c r="F356" s="5" t="str">
        <f>"1"</f>
        <v>1</v>
      </c>
      <c r="G356" s="5" t="str">
        <f>"9"</f>
        <v>9</v>
      </c>
      <c r="H356" s="5" t="str">
        <f t="shared" si="60"/>
        <v>1</v>
      </c>
      <c r="I356" s="16">
        <v>57136669.990000002</v>
      </c>
      <c r="K356" s="23"/>
      <c r="M356" s="24"/>
    </row>
    <row r="357" spans="1:13" ht="11.45" customHeight="1" x14ac:dyDescent="0.25">
      <c r="A357" s="15">
        <v>487</v>
      </c>
      <c r="B357" s="6">
        <v>44651</v>
      </c>
      <c r="C357" s="5">
        <v>9</v>
      </c>
      <c r="D357" s="5" t="str">
        <f>"2731"</f>
        <v>2731</v>
      </c>
      <c r="E357" s="7" t="str">
        <f>"Начисленные расходы по прочим операциям"</f>
        <v>Начисленные расходы по прочим операциям</v>
      </c>
      <c r="F357" s="5" t="str">
        <f>"2"</f>
        <v>2</v>
      </c>
      <c r="G357" s="5" t="str">
        <f>"9"</f>
        <v>9</v>
      </c>
      <c r="H357" s="5" t="str">
        <f t="shared" si="60"/>
        <v>1</v>
      </c>
      <c r="I357" s="16">
        <v>4089896.2</v>
      </c>
      <c r="K357" s="23"/>
      <c r="M357" s="24"/>
    </row>
    <row r="358" spans="1:13" ht="11.45" customHeight="1" x14ac:dyDescent="0.25">
      <c r="A358" s="15">
        <v>548</v>
      </c>
      <c r="B358" s="6">
        <v>44651</v>
      </c>
      <c r="C358" s="5">
        <v>9</v>
      </c>
      <c r="D358" s="5" t="str">
        <f>"2745"</f>
        <v>2745</v>
      </c>
      <c r="E358" s="7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58" s="5" t="str">
        <f t="shared" ref="F358:F364" si="61">"1"</f>
        <v>1</v>
      </c>
      <c r="G358" s="5" t="str">
        <f>"7"</f>
        <v>7</v>
      </c>
      <c r="H358" s="5" t="str">
        <f t="shared" si="60"/>
        <v>1</v>
      </c>
      <c r="I358" s="16">
        <v>333188.34999999998</v>
      </c>
      <c r="K358" s="23"/>
      <c r="M358" s="24"/>
    </row>
    <row r="359" spans="1:13" ht="11.45" customHeight="1" x14ac:dyDescent="0.25">
      <c r="A359" s="15">
        <v>392</v>
      </c>
      <c r="B359" s="6">
        <v>44651</v>
      </c>
      <c r="C359" s="5">
        <v>9</v>
      </c>
      <c r="D359" s="5" t="str">
        <f t="shared" ref="D359:D367" si="62">"2770"</f>
        <v>2770</v>
      </c>
      <c r="E359" s="7" t="str">
        <f t="shared" ref="E359:E367" si="63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59" s="5" t="str">
        <f t="shared" si="61"/>
        <v>1</v>
      </c>
      <c r="G359" s="5" t="str">
        <f>"1"</f>
        <v>1</v>
      </c>
      <c r="H359" s="5" t="str">
        <f t="shared" si="60"/>
        <v>1</v>
      </c>
      <c r="I359" s="16">
        <v>14135575</v>
      </c>
      <c r="K359" s="23"/>
      <c r="M359" s="24"/>
    </row>
    <row r="360" spans="1:13" ht="11.45" customHeight="1" x14ac:dyDescent="0.25">
      <c r="A360" s="15">
        <v>98</v>
      </c>
      <c r="B360" s="6">
        <v>44651</v>
      </c>
      <c r="C360" s="5">
        <v>9</v>
      </c>
      <c r="D360" s="5" t="str">
        <f t="shared" si="62"/>
        <v>2770</v>
      </c>
      <c r="E360" s="7" t="str">
        <f t="shared" si="63"/>
        <v>Начисленные расходы по административно-хозяйственной деятельности</v>
      </c>
      <c r="F360" s="5" t="str">
        <f t="shared" si="61"/>
        <v>1</v>
      </c>
      <c r="G360" s="5" t="str">
        <f>"5"</f>
        <v>5</v>
      </c>
      <c r="H360" s="5" t="str">
        <f t="shared" si="60"/>
        <v>1</v>
      </c>
      <c r="I360" s="16">
        <v>154292857</v>
      </c>
      <c r="K360" s="23"/>
      <c r="M360" s="24"/>
    </row>
    <row r="361" spans="1:13" ht="11.45" customHeight="1" x14ac:dyDescent="0.25">
      <c r="A361" s="15">
        <v>427</v>
      </c>
      <c r="B361" s="6">
        <v>44651</v>
      </c>
      <c r="C361" s="5">
        <v>9</v>
      </c>
      <c r="D361" s="5" t="str">
        <f t="shared" si="62"/>
        <v>2770</v>
      </c>
      <c r="E361" s="7" t="str">
        <f t="shared" si="63"/>
        <v>Начисленные расходы по административно-хозяйственной деятельности</v>
      </c>
      <c r="F361" s="5" t="str">
        <f t="shared" si="61"/>
        <v>1</v>
      </c>
      <c r="G361" s="5" t="str">
        <f>"6"</f>
        <v>6</v>
      </c>
      <c r="H361" s="5" t="str">
        <f t="shared" si="60"/>
        <v>1</v>
      </c>
      <c r="I361" s="16">
        <v>34515316</v>
      </c>
      <c r="K361" s="23"/>
      <c r="M361" s="24"/>
    </row>
    <row r="362" spans="1:13" ht="11.45" customHeight="1" x14ac:dyDescent="0.25">
      <c r="A362" s="15">
        <v>471</v>
      </c>
      <c r="B362" s="6">
        <v>44651</v>
      </c>
      <c r="C362" s="5">
        <v>9</v>
      </c>
      <c r="D362" s="5" t="str">
        <f t="shared" si="62"/>
        <v>2770</v>
      </c>
      <c r="E362" s="7" t="str">
        <f t="shared" si="63"/>
        <v>Начисленные расходы по административно-хозяйственной деятельности</v>
      </c>
      <c r="F362" s="5" t="str">
        <f t="shared" si="61"/>
        <v>1</v>
      </c>
      <c r="G362" s="5" t="str">
        <f>"7"</f>
        <v>7</v>
      </c>
      <c r="H362" s="5" t="str">
        <f t="shared" si="60"/>
        <v>1</v>
      </c>
      <c r="I362" s="16">
        <v>533517807</v>
      </c>
      <c r="K362" s="23"/>
      <c r="M362" s="24"/>
    </row>
    <row r="363" spans="1:13" ht="11.45" customHeight="1" x14ac:dyDescent="0.25">
      <c r="A363" s="15">
        <v>99</v>
      </c>
      <c r="B363" s="6">
        <v>44651</v>
      </c>
      <c r="C363" s="5">
        <v>9</v>
      </c>
      <c r="D363" s="5" t="str">
        <f t="shared" si="62"/>
        <v>2770</v>
      </c>
      <c r="E363" s="7" t="str">
        <f t="shared" si="63"/>
        <v>Начисленные расходы по административно-хозяйственной деятельности</v>
      </c>
      <c r="F363" s="5" t="str">
        <f t="shared" si="61"/>
        <v>1</v>
      </c>
      <c r="G363" s="5" t="str">
        <f>"8"</f>
        <v>8</v>
      </c>
      <c r="H363" s="5" t="str">
        <f t="shared" si="60"/>
        <v>1</v>
      </c>
      <c r="I363" s="16">
        <v>2754096</v>
      </c>
      <c r="K363" s="23"/>
      <c r="M363" s="24"/>
    </row>
    <row r="364" spans="1:13" ht="11.45" customHeight="1" x14ac:dyDescent="0.25">
      <c r="A364" s="15">
        <v>245</v>
      </c>
      <c r="B364" s="6">
        <v>44651</v>
      </c>
      <c r="C364" s="5">
        <v>9</v>
      </c>
      <c r="D364" s="5" t="str">
        <f t="shared" si="62"/>
        <v>2770</v>
      </c>
      <c r="E364" s="7" t="str">
        <f t="shared" si="63"/>
        <v>Начисленные расходы по административно-хозяйственной деятельности</v>
      </c>
      <c r="F364" s="5" t="str">
        <f t="shared" si="61"/>
        <v>1</v>
      </c>
      <c r="G364" s="5" t="str">
        <f>"9"</f>
        <v>9</v>
      </c>
      <c r="H364" s="5" t="str">
        <f t="shared" si="60"/>
        <v>1</v>
      </c>
      <c r="I364" s="16">
        <v>61108459</v>
      </c>
      <c r="K364" s="23"/>
      <c r="M364" s="24"/>
    </row>
    <row r="365" spans="1:13" ht="11.45" customHeight="1" x14ac:dyDescent="0.25">
      <c r="A365" s="15">
        <v>426</v>
      </c>
      <c r="B365" s="6">
        <v>44651</v>
      </c>
      <c r="C365" s="5">
        <v>9</v>
      </c>
      <c r="D365" s="5" t="str">
        <f t="shared" si="62"/>
        <v>2770</v>
      </c>
      <c r="E365" s="7" t="str">
        <f t="shared" si="63"/>
        <v>Начисленные расходы по административно-хозяйственной деятельности</v>
      </c>
      <c r="F365" s="5" t="str">
        <f>"2"</f>
        <v>2</v>
      </c>
      <c r="G365" s="5" t="str">
        <f>"4"</f>
        <v>4</v>
      </c>
      <c r="H365" s="5" t="str">
        <f t="shared" si="60"/>
        <v>1</v>
      </c>
      <c r="I365" s="16">
        <v>1725984.7</v>
      </c>
      <c r="K365" s="23"/>
      <c r="M365" s="24"/>
    </row>
    <row r="366" spans="1:13" ht="11.45" customHeight="1" x14ac:dyDescent="0.25">
      <c r="A366" s="15">
        <v>21</v>
      </c>
      <c r="B366" s="6">
        <v>44651</v>
      </c>
      <c r="C366" s="5">
        <v>9</v>
      </c>
      <c r="D366" s="5" t="str">
        <f t="shared" si="62"/>
        <v>2770</v>
      </c>
      <c r="E366" s="7" t="str">
        <f t="shared" si="63"/>
        <v>Начисленные расходы по административно-хозяйственной деятельности</v>
      </c>
      <c r="F366" s="5" t="str">
        <f>"2"</f>
        <v>2</v>
      </c>
      <c r="G366" s="5" t="str">
        <f>"7"</f>
        <v>7</v>
      </c>
      <c r="H366" s="5" t="str">
        <f t="shared" si="60"/>
        <v>1</v>
      </c>
      <c r="I366" s="16">
        <v>358082794.02999997</v>
      </c>
      <c r="K366" s="23"/>
      <c r="M366" s="24"/>
    </row>
    <row r="367" spans="1:13" ht="11.45" customHeight="1" x14ac:dyDescent="0.25">
      <c r="A367" s="15">
        <v>360</v>
      </c>
      <c r="B367" s="6">
        <v>44651</v>
      </c>
      <c r="C367" s="5">
        <v>9</v>
      </c>
      <c r="D367" s="5" t="str">
        <f t="shared" si="62"/>
        <v>2770</v>
      </c>
      <c r="E367" s="7" t="str">
        <f t="shared" si="63"/>
        <v>Начисленные расходы по административно-хозяйственной деятельности</v>
      </c>
      <c r="F367" s="5" t="str">
        <f>"2"</f>
        <v>2</v>
      </c>
      <c r="G367" s="5" t="str">
        <f>"9"</f>
        <v>9</v>
      </c>
      <c r="H367" s="5" t="str">
        <f t="shared" si="60"/>
        <v>1</v>
      </c>
      <c r="I367" s="16">
        <v>3256341.73</v>
      </c>
      <c r="K367" s="23"/>
      <c r="M367" s="24"/>
    </row>
    <row r="368" spans="1:13" ht="11.45" customHeight="1" x14ac:dyDescent="0.25">
      <c r="A368" s="15">
        <v>428</v>
      </c>
      <c r="B368" s="6">
        <v>44651</v>
      </c>
      <c r="C368" s="5">
        <v>9</v>
      </c>
      <c r="D368" s="5" t="str">
        <f>"2792"</f>
        <v>2792</v>
      </c>
      <c r="E368" s="7" t="str">
        <f>"Предоплата вознаграждения по предоставленным займам"</f>
        <v>Предоплата вознаграждения по предоставленным займам</v>
      </c>
      <c r="F368" s="5" t="str">
        <f t="shared" ref="F368:F374" si="64">"1"</f>
        <v>1</v>
      </c>
      <c r="G368" s="5" t="str">
        <f>"5"</f>
        <v>5</v>
      </c>
      <c r="H368" s="5" t="str">
        <f t="shared" si="60"/>
        <v>1</v>
      </c>
      <c r="I368" s="16">
        <v>1763499.97</v>
      </c>
      <c r="K368" s="23"/>
      <c r="M368" s="24"/>
    </row>
    <row r="369" spans="1:13" ht="11.45" customHeight="1" x14ac:dyDescent="0.25">
      <c r="A369" s="15">
        <v>100</v>
      </c>
      <c r="B369" s="6">
        <v>44651</v>
      </c>
      <c r="C369" s="5">
        <v>9</v>
      </c>
      <c r="D369" s="5" t="str">
        <f t="shared" ref="D369:D375" si="65">"2794"</f>
        <v>2794</v>
      </c>
      <c r="E369" s="7" t="str">
        <f t="shared" ref="E369:E375" si="66">"Доходы будущих периодов"</f>
        <v>Доходы будущих периодов</v>
      </c>
      <c r="F369" s="5" t="str">
        <f t="shared" si="64"/>
        <v>1</v>
      </c>
      <c r="G369" s="5" t="str">
        <f>"5"</f>
        <v>5</v>
      </c>
      <c r="H369" s="5" t="str">
        <f t="shared" si="60"/>
        <v>1</v>
      </c>
      <c r="I369" s="16">
        <v>45000</v>
      </c>
      <c r="K369" s="23"/>
      <c r="M369" s="24"/>
    </row>
    <row r="370" spans="1:13" ht="11.45" customHeight="1" x14ac:dyDescent="0.25">
      <c r="A370" s="15">
        <v>247</v>
      </c>
      <c r="B370" s="6">
        <v>44651</v>
      </c>
      <c r="C370" s="5">
        <v>9</v>
      </c>
      <c r="D370" s="5" t="str">
        <f t="shared" si="65"/>
        <v>2794</v>
      </c>
      <c r="E370" s="7" t="str">
        <f t="shared" si="66"/>
        <v>Доходы будущих периодов</v>
      </c>
      <c r="F370" s="5" t="str">
        <f t="shared" si="64"/>
        <v>1</v>
      </c>
      <c r="G370" s="5" t="str">
        <f>"6"</f>
        <v>6</v>
      </c>
      <c r="H370" s="5" t="str">
        <f t="shared" si="60"/>
        <v>1</v>
      </c>
      <c r="I370" s="16">
        <v>6889853.7599999998</v>
      </c>
      <c r="K370" s="23"/>
      <c r="M370" s="24"/>
    </row>
    <row r="371" spans="1:13" ht="11.45" customHeight="1" x14ac:dyDescent="0.25">
      <c r="A371" s="15">
        <v>249</v>
      </c>
      <c r="B371" s="6">
        <v>44651</v>
      </c>
      <c r="C371" s="5">
        <v>9</v>
      </c>
      <c r="D371" s="5" t="str">
        <f t="shared" si="65"/>
        <v>2794</v>
      </c>
      <c r="E371" s="7" t="str">
        <f t="shared" si="66"/>
        <v>Доходы будущих периодов</v>
      </c>
      <c r="F371" s="5" t="str">
        <f t="shared" si="64"/>
        <v>1</v>
      </c>
      <c r="G371" s="5" t="str">
        <f>"7"</f>
        <v>7</v>
      </c>
      <c r="H371" s="5" t="str">
        <f t="shared" si="60"/>
        <v>1</v>
      </c>
      <c r="I371" s="16">
        <v>97466409.379999995</v>
      </c>
      <c r="K371" s="23"/>
      <c r="M371" s="24"/>
    </row>
    <row r="372" spans="1:13" ht="11.45" customHeight="1" x14ac:dyDescent="0.25">
      <c r="A372" s="15">
        <v>328</v>
      </c>
      <c r="B372" s="6">
        <v>44651</v>
      </c>
      <c r="C372" s="5">
        <v>9</v>
      </c>
      <c r="D372" s="5" t="str">
        <f t="shared" si="65"/>
        <v>2794</v>
      </c>
      <c r="E372" s="7" t="str">
        <f t="shared" si="66"/>
        <v>Доходы будущих периодов</v>
      </c>
      <c r="F372" s="5" t="str">
        <f t="shared" si="64"/>
        <v>1</v>
      </c>
      <c r="G372" s="5" t="str">
        <f>"7"</f>
        <v>7</v>
      </c>
      <c r="H372" s="5" t="str">
        <f>"2"</f>
        <v>2</v>
      </c>
      <c r="I372" s="16">
        <v>18836872.23</v>
      </c>
      <c r="K372" s="23"/>
      <c r="M372" s="24"/>
    </row>
    <row r="373" spans="1:13" ht="11.45" customHeight="1" x14ac:dyDescent="0.25">
      <c r="A373" s="15">
        <v>547</v>
      </c>
      <c r="B373" s="6">
        <v>44651</v>
      </c>
      <c r="C373" s="5">
        <v>9</v>
      </c>
      <c r="D373" s="5" t="str">
        <f t="shared" si="65"/>
        <v>2794</v>
      </c>
      <c r="E373" s="7" t="str">
        <f t="shared" si="66"/>
        <v>Доходы будущих периодов</v>
      </c>
      <c r="F373" s="5" t="str">
        <f t="shared" si="64"/>
        <v>1</v>
      </c>
      <c r="G373" s="5" t="str">
        <f>"8"</f>
        <v>8</v>
      </c>
      <c r="H373" s="5" t="str">
        <f>"1"</f>
        <v>1</v>
      </c>
      <c r="I373" s="16">
        <v>30000</v>
      </c>
      <c r="K373" s="23"/>
      <c r="M373" s="24"/>
    </row>
    <row r="374" spans="1:13" ht="11.45" customHeight="1" x14ac:dyDescent="0.25">
      <c r="A374" s="15">
        <v>105</v>
      </c>
      <c r="B374" s="6">
        <v>44651</v>
      </c>
      <c r="C374" s="5">
        <v>9</v>
      </c>
      <c r="D374" s="5" t="str">
        <f t="shared" si="65"/>
        <v>2794</v>
      </c>
      <c r="E374" s="7" t="str">
        <f t="shared" si="66"/>
        <v>Доходы будущих периодов</v>
      </c>
      <c r="F374" s="5" t="str">
        <f t="shared" si="64"/>
        <v>1</v>
      </c>
      <c r="G374" s="5" t="str">
        <f>"9"</f>
        <v>9</v>
      </c>
      <c r="H374" s="5" t="str">
        <f>"1"</f>
        <v>1</v>
      </c>
      <c r="I374" s="16">
        <v>21159074.489999998</v>
      </c>
      <c r="K374" s="23"/>
      <c r="M374" s="24"/>
    </row>
    <row r="375" spans="1:13" ht="11.45" customHeight="1" x14ac:dyDescent="0.25">
      <c r="A375" s="15">
        <v>248</v>
      </c>
      <c r="B375" s="6">
        <v>44651</v>
      </c>
      <c r="C375" s="5">
        <v>9</v>
      </c>
      <c r="D375" s="5" t="str">
        <f t="shared" si="65"/>
        <v>2794</v>
      </c>
      <c r="E375" s="7" t="str">
        <f t="shared" si="66"/>
        <v>Доходы будущих периодов</v>
      </c>
      <c r="F375" s="5" t="str">
        <f>"2"</f>
        <v>2</v>
      </c>
      <c r="G375" s="5" t="str">
        <f>"9"</f>
        <v>9</v>
      </c>
      <c r="H375" s="5" t="str">
        <f>"1"</f>
        <v>1</v>
      </c>
      <c r="I375" s="16">
        <v>851584.95</v>
      </c>
      <c r="K375" s="23"/>
      <c r="M375" s="24"/>
    </row>
    <row r="376" spans="1:13" ht="11.45" customHeight="1" x14ac:dyDescent="0.25">
      <c r="A376" s="15">
        <v>103</v>
      </c>
      <c r="B376" s="6">
        <v>44651</v>
      </c>
      <c r="C376" s="5">
        <v>9</v>
      </c>
      <c r="D376" s="5" t="str">
        <f>"2799"</f>
        <v>2799</v>
      </c>
      <c r="E376" s="7" t="str">
        <f>"Прочие предоплаты"</f>
        <v>Прочие предоплаты</v>
      </c>
      <c r="F376" s="5" t="str">
        <f>"1"</f>
        <v>1</v>
      </c>
      <c r="G376" s="5" t="str">
        <f>"4"</f>
        <v>4</v>
      </c>
      <c r="H376" s="5" t="str">
        <f>"2"</f>
        <v>2</v>
      </c>
      <c r="I376" s="16">
        <v>46631</v>
      </c>
      <c r="K376" s="23"/>
      <c r="M376" s="24"/>
    </row>
    <row r="377" spans="1:13" ht="11.45" customHeight="1" x14ac:dyDescent="0.25">
      <c r="A377" s="15">
        <v>384</v>
      </c>
      <c r="B377" s="6">
        <v>44651</v>
      </c>
      <c r="C377" s="5">
        <v>9</v>
      </c>
      <c r="D377" s="5" t="str">
        <f>"2799"</f>
        <v>2799</v>
      </c>
      <c r="E377" s="7" t="str">
        <f>"Прочие предоплаты"</f>
        <v>Прочие предоплаты</v>
      </c>
      <c r="F377" s="5" t="str">
        <f>"1"</f>
        <v>1</v>
      </c>
      <c r="G377" s="5" t="str">
        <f>"7"</f>
        <v>7</v>
      </c>
      <c r="H377" s="5" t="str">
        <f>"1"</f>
        <v>1</v>
      </c>
      <c r="I377" s="16">
        <v>22300</v>
      </c>
      <c r="K377" s="23"/>
      <c r="M377" s="24"/>
    </row>
    <row r="378" spans="1:13" ht="11.45" customHeight="1" x14ac:dyDescent="0.25">
      <c r="A378" s="15">
        <v>514</v>
      </c>
      <c r="B378" s="6">
        <v>44651</v>
      </c>
      <c r="C378" s="5">
        <v>9</v>
      </c>
      <c r="D378" s="5" t="str">
        <f>"2799"</f>
        <v>2799</v>
      </c>
      <c r="E378" s="7" t="str">
        <f>"Прочие предоплаты"</f>
        <v>Прочие предоплаты</v>
      </c>
      <c r="F378" s="5" t="str">
        <f>"1"</f>
        <v>1</v>
      </c>
      <c r="G378" s="5" t="str">
        <f>"9"</f>
        <v>9</v>
      </c>
      <c r="H378" s="5" t="str">
        <f>"1"</f>
        <v>1</v>
      </c>
      <c r="I378" s="16">
        <v>38500</v>
      </c>
      <c r="K378" s="23"/>
      <c r="M378" s="24"/>
    </row>
    <row r="379" spans="1:13" ht="11.45" customHeight="1" x14ac:dyDescent="0.25">
      <c r="A379" s="15">
        <v>580</v>
      </c>
      <c r="B379" s="6">
        <v>44651</v>
      </c>
      <c r="C379" s="5">
        <v>9</v>
      </c>
      <c r="D379" s="5" t="str">
        <f>"2799"</f>
        <v>2799</v>
      </c>
      <c r="E379" s="7" t="str">
        <f>"Прочие предоплаты"</f>
        <v>Прочие предоплаты</v>
      </c>
      <c r="F379" s="5" t="str">
        <f>"2"</f>
        <v>2</v>
      </c>
      <c r="G379" s="5" t="str">
        <f>"4"</f>
        <v>4</v>
      </c>
      <c r="H379" s="5" t="str">
        <f>"1"</f>
        <v>1</v>
      </c>
      <c r="I379" s="16">
        <v>797333.33</v>
      </c>
      <c r="K379" s="23"/>
      <c r="M379" s="24"/>
    </row>
    <row r="380" spans="1:13" ht="11.45" customHeight="1" x14ac:dyDescent="0.25">
      <c r="A380" s="15">
        <v>104</v>
      </c>
      <c r="B380" s="6">
        <v>44651</v>
      </c>
      <c r="C380" s="5">
        <v>9</v>
      </c>
      <c r="D380" s="5" t="str">
        <f>"2799"</f>
        <v>2799</v>
      </c>
      <c r="E380" s="7" t="str">
        <f>"Прочие предоплаты"</f>
        <v>Прочие предоплаты</v>
      </c>
      <c r="F380" s="5" t="str">
        <f>"2"</f>
        <v>2</v>
      </c>
      <c r="G380" s="5" t="str">
        <f>"4"</f>
        <v>4</v>
      </c>
      <c r="H380" s="5" t="str">
        <f>"3"</f>
        <v>3</v>
      </c>
      <c r="I380" s="16">
        <v>2565000</v>
      </c>
      <c r="K380" s="23"/>
      <c r="M380" s="24"/>
    </row>
    <row r="381" spans="1:13" ht="11.45" customHeight="1" x14ac:dyDescent="0.25">
      <c r="A381" s="15">
        <v>101</v>
      </c>
      <c r="B381" s="6">
        <v>44651</v>
      </c>
      <c r="C381" s="5">
        <v>9</v>
      </c>
      <c r="D381" s="5" t="str">
        <f>"2811"</f>
        <v>2811</v>
      </c>
      <c r="E381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81" s="5" t="str">
        <f>"1"</f>
        <v>1</v>
      </c>
      <c r="G381" s="5"/>
      <c r="H381" s="5" t="str">
        <f>"1"</f>
        <v>1</v>
      </c>
      <c r="I381" s="16">
        <v>21689500</v>
      </c>
      <c r="K381" s="23"/>
      <c r="M381" s="24"/>
    </row>
    <row r="382" spans="1:13" ht="11.45" customHeight="1" x14ac:dyDescent="0.25">
      <c r="A382" s="15">
        <v>488</v>
      </c>
      <c r="B382" s="6">
        <v>44651</v>
      </c>
      <c r="C382" s="5">
        <v>9</v>
      </c>
      <c r="D382" s="5" t="str">
        <f>"2811"</f>
        <v>2811</v>
      </c>
      <c r="E382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82" s="5" t="str">
        <f>"2"</f>
        <v>2</v>
      </c>
      <c r="G382" s="5"/>
      <c r="H382" s="5" t="str">
        <f>"1"</f>
        <v>1</v>
      </c>
      <c r="I382" s="16">
        <v>697648</v>
      </c>
      <c r="K382" s="23"/>
      <c r="M382" s="24"/>
    </row>
    <row r="383" spans="1:13" ht="11.45" customHeight="1" x14ac:dyDescent="0.25">
      <c r="A383" s="15">
        <v>513</v>
      </c>
      <c r="B383" s="6">
        <v>44651</v>
      </c>
      <c r="C383" s="5">
        <v>9</v>
      </c>
      <c r="D383" s="5" t="str">
        <f>"2811"</f>
        <v>2811</v>
      </c>
      <c r="E383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83" s="5" t="str">
        <f>"2"</f>
        <v>2</v>
      </c>
      <c r="G383" s="5"/>
      <c r="H383" s="5" t="str">
        <f>"2"</f>
        <v>2</v>
      </c>
      <c r="I383" s="16">
        <v>17504431</v>
      </c>
      <c r="K383" s="23"/>
      <c r="M383" s="24"/>
    </row>
    <row r="384" spans="1:13" ht="11.45" customHeight="1" x14ac:dyDescent="0.25">
      <c r="A384" s="15">
        <v>402</v>
      </c>
      <c r="B384" s="6">
        <v>44651</v>
      </c>
      <c r="C384" s="5">
        <v>9</v>
      </c>
      <c r="D384" s="5" t="str">
        <f>"2811"</f>
        <v>2811</v>
      </c>
      <c r="E384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84" s="5" t="str">
        <f>"2"</f>
        <v>2</v>
      </c>
      <c r="G384" s="5"/>
      <c r="H384" s="5" t="str">
        <f>"3"</f>
        <v>3</v>
      </c>
      <c r="I384" s="16">
        <v>273600</v>
      </c>
      <c r="K384" s="23"/>
      <c r="M384" s="24"/>
    </row>
    <row r="385" spans="1:13" ht="11.45" customHeight="1" x14ac:dyDescent="0.25">
      <c r="A385" s="15">
        <v>579</v>
      </c>
      <c r="B385" s="6">
        <v>44651</v>
      </c>
      <c r="C385" s="5">
        <v>9</v>
      </c>
      <c r="D385" s="5" t="str">
        <f>"2812"</f>
        <v>2812</v>
      </c>
      <c r="E385" s="7" t="str">
        <f>"Начисленные комиссионные расходы по агентским услугам"</f>
        <v>Начисленные комиссионные расходы по агентским услугам</v>
      </c>
      <c r="F385" s="5" t="str">
        <f>"1"</f>
        <v>1</v>
      </c>
      <c r="G385" s="5"/>
      <c r="H385" s="5" t="str">
        <f>"1"</f>
        <v>1</v>
      </c>
      <c r="I385" s="16">
        <v>213340211</v>
      </c>
      <c r="K385" s="23"/>
      <c r="M385" s="24"/>
    </row>
    <row r="386" spans="1:13" ht="11.45" customHeight="1" x14ac:dyDescent="0.25">
      <c r="A386" s="15">
        <v>246</v>
      </c>
      <c r="B386" s="6">
        <v>44651</v>
      </c>
      <c r="C386" s="5">
        <v>9</v>
      </c>
      <c r="D386" s="5" t="str">
        <f>"2818"</f>
        <v>2818</v>
      </c>
      <c r="E386" s="7" t="str">
        <f>"Начисленные прочие комиссионные расходы"</f>
        <v>Начисленные прочие комиссионные расходы</v>
      </c>
      <c r="F386" s="5" t="str">
        <f>"1"</f>
        <v>1</v>
      </c>
      <c r="G386" s="5"/>
      <c r="H386" s="5" t="str">
        <f>"1"</f>
        <v>1</v>
      </c>
      <c r="I386" s="16">
        <v>239889981</v>
      </c>
      <c r="K386" s="23"/>
      <c r="M386" s="24"/>
    </row>
    <row r="387" spans="1:13" ht="11.45" customHeight="1" x14ac:dyDescent="0.25">
      <c r="A387" s="15">
        <v>515</v>
      </c>
      <c r="B387" s="6">
        <v>44651</v>
      </c>
      <c r="C387" s="5">
        <v>9</v>
      </c>
      <c r="D387" s="5" t="str">
        <f>"2818"</f>
        <v>2818</v>
      </c>
      <c r="E387" s="7" t="str">
        <f>"Начисленные прочие комиссионные расходы"</f>
        <v>Начисленные прочие комиссионные расходы</v>
      </c>
      <c r="F387" s="5" t="str">
        <f>"2"</f>
        <v>2</v>
      </c>
      <c r="G387" s="5"/>
      <c r="H387" s="5" t="str">
        <f>"1"</f>
        <v>1</v>
      </c>
      <c r="I387" s="16">
        <v>61882396</v>
      </c>
      <c r="K387" s="23"/>
      <c r="M387" s="24"/>
    </row>
    <row r="388" spans="1:13" ht="11.45" customHeight="1" x14ac:dyDescent="0.25">
      <c r="A388" s="15">
        <v>549</v>
      </c>
      <c r="B388" s="6">
        <v>44651</v>
      </c>
      <c r="C388" s="5">
        <v>9</v>
      </c>
      <c r="D388" s="5" t="str">
        <f>"2818"</f>
        <v>2818</v>
      </c>
      <c r="E388" s="7" t="str">
        <f>"Начисленные прочие комиссионные расходы"</f>
        <v>Начисленные прочие комиссионные расходы</v>
      </c>
      <c r="F388" s="5" t="str">
        <f>"2"</f>
        <v>2</v>
      </c>
      <c r="G388" s="5"/>
      <c r="H388" s="5" t="str">
        <f>"3"</f>
        <v>3</v>
      </c>
      <c r="I388" s="16">
        <v>5700</v>
      </c>
      <c r="K388" s="23"/>
      <c r="M388" s="24"/>
    </row>
    <row r="389" spans="1:13" ht="11.45" customHeight="1" x14ac:dyDescent="0.25">
      <c r="A389" s="15">
        <v>106</v>
      </c>
      <c r="B389" s="6">
        <v>44651</v>
      </c>
      <c r="C389" s="5">
        <v>9</v>
      </c>
      <c r="D389" s="5" t="str">
        <f>"2819"</f>
        <v>2819</v>
      </c>
      <c r="E389" s="7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389" s="5" t="str">
        <f>"1"</f>
        <v>1</v>
      </c>
      <c r="G389" s="5"/>
      <c r="H389" s="5" t="str">
        <f>"1"</f>
        <v>1</v>
      </c>
      <c r="I389" s="16">
        <v>20005000</v>
      </c>
      <c r="K389" s="23"/>
      <c r="M389" s="24"/>
    </row>
    <row r="390" spans="1:13" ht="11.45" customHeight="1" x14ac:dyDescent="0.25">
      <c r="A390" s="15">
        <v>22</v>
      </c>
      <c r="B390" s="6">
        <v>44651</v>
      </c>
      <c r="C390" s="5">
        <v>9</v>
      </c>
      <c r="D390" s="5" t="str">
        <f>"2820"</f>
        <v>2820</v>
      </c>
      <c r="E390" s="7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390" s="5" t="str">
        <f>"1"</f>
        <v>1</v>
      </c>
      <c r="G390" s="5"/>
      <c r="H390" s="5" t="str">
        <f>"1"</f>
        <v>1</v>
      </c>
      <c r="I390" s="16">
        <v>263848500</v>
      </c>
      <c r="K390" s="23"/>
      <c r="M390" s="24"/>
    </row>
    <row r="391" spans="1:13" ht="11.45" customHeight="1" x14ac:dyDescent="0.25">
      <c r="A391" s="15">
        <v>102</v>
      </c>
      <c r="B391" s="6">
        <v>44651</v>
      </c>
      <c r="C391" s="5">
        <v>9</v>
      </c>
      <c r="D391" s="5" t="str">
        <f>"2820"</f>
        <v>2820</v>
      </c>
      <c r="E391" s="7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391" s="5" t="str">
        <f>"2"</f>
        <v>2</v>
      </c>
      <c r="G391" s="5"/>
      <c r="H391" s="5" t="str">
        <f>"1"</f>
        <v>1</v>
      </c>
      <c r="I391" s="16">
        <v>4143105.4</v>
      </c>
      <c r="K391" s="23"/>
      <c r="M391" s="24"/>
    </row>
    <row r="392" spans="1:13" ht="11.45" customHeight="1" x14ac:dyDescent="0.25">
      <c r="A392" s="15">
        <v>251</v>
      </c>
      <c r="B392" s="6">
        <v>44651</v>
      </c>
      <c r="C392" s="5">
        <v>9</v>
      </c>
      <c r="D392" s="5" t="str">
        <f>"2851"</f>
        <v>2851</v>
      </c>
      <c r="E392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92" s="5" t="str">
        <f>"1"</f>
        <v>1</v>
      </c>
      <c r="G392" s="5" t="str">
        <f>"1"</f>
        <v>1</v>
      </c>
      <c r="H392" s="5" t="str">
        <f>"1"</f>
        <v>1</v>
      </c>
      <c r="I392" s="16">
        <v>2430860016.29</v>
      </c>
      <c r="K392" s="23"/>
      <c r="M392" s="24"/>
    </row>
    <row r="393" spans="1:13" ht="11.45" customHeight="1" x14ac:dyDescent="0.25">
      <c r="A393" s="15">
        <v>453</v>
      </c>
      <c r="B393" s="6">
        <v>44651</v>
      </c>
      <c r="C393" s="5">
        <v>9</v>
      </c>
      <c r="D393" s="5" t="str">
        <f>"2854"</f>
        <v>2854</v>
      </c>
      <c r="E393" s="7" t="str">
        <f>"Расчеты с работниками"</f>
        <v>Расчеты с работниками</v>
      </c>
      <c r="F393" s="5" t="str">
        <f>""</f>
        <v/>
      </c>
      <c r="G393" s="5"/>
      <c r="H393" s="5" t="str">
        <f>""</f>
        <v/>
      </c>
      <c r="I393" s="16">
        <v>4476968115.8500004</v>
      </c>
      <c r="K393" s="23"/>
      <c r="M393" s="24"/>
    </row>
    <row r="394" spans="1:13" ht="11.45" customHeight="1" x14ac:dyDescent="0.25">
      <c r="A394" s="15">
        <v>408</v>
      </c>
      <c r="B394" s="6">
        <v>44651</v>
      </c>
      <c r="C394" s="5">
        <v>9</v>
      </c>
      <c r="D394" s="5" t="str">
        <f>"2855"</f>
        <v>2855</v>
      </c>
      <c r="E394" s="7" t="str">
        <f>"Кредиторы по документарным расчетам"</f>
        <v>Кредиторы по документарным расчетам</v>
      </c>
      <c r="F394" s="5" t="str">
        <f t="shared" ref="F394:F403" si="67">"1"</f>
        <v>1</v>
      </c>
      <c r="G394" s="5" t="str">
        <f>"5"</f>
        <v>5</v>
      </c>
      <c r="H394" s="5" t="str">
        <f>"2"</f>
        <v>2</v>
      </c>
      <c r="I394" s="16">
        <v>197201201.75999999</v>
      </c>
      <c r="K394" s="23"/>
      <c r="M394" s="24"/>
    </row>
    <row r="395" spans="1:13" ht="11.45" customHeight="1" x14ac:dyDescent="0.25">
      <c r="A395" s="15">
        <v>329</v>
      </c>
      <c r="B395" s="6">
        <v>44651</v>
      </c>
      <c r="C395" s="5">
        <v>9</v>
      </c>
      <c r="D395" s="5" t="str">
        <f>"2855"</f>
        <v>2855</v>
      </c>
      <c r="E395" s="7" t="str">
        <f>"Кредиторы по документарным расчетам"</f>
        <v>Кредиторы по документарным расчетам</v>
      </c>
      <c r="F395" s="5" t="str">
        <f t="shared" si="67"/>
        <v>1</v>
      </c>
      <c r="G395" s="5" t="str">
        <f>"7"</f>
        <v>7</v>
      </c>
      <c r="H395" s="5" t="str">
        <f>"2"</f>
        <v>2</v>
      </c>
      <c r="I395" s="16">
        <v>2205390300</v>
      </c>
      <c r="K395" s="23"/>
      <c r="M395" s="24"/>
    </row>
    <row r="396" spans="1:13" ht="11.45" customHeight="1" x14ac:dyDescent="0.25">
      <c r="A396" s="15">
        <v>252</v>
      </c>
      <c r="B396" s="6">
        <v>44651</v>
      </c>
      <c r="C396" s="5">
        <v>9</v>
      </c>
      <c r="D396" s="5" t="str">
        <f t="shared" ref="D396:D408" si="68">"2860"</f>
        <v>2860</v>
      </c>
      <c r="E396" s="7" t="str">
        <f t="shared" ref="E396:E408" si="69">"Прочие кредиторы по банковской деятельности"</f>
        <v>Прочие кредиторы по банковской деятельности</v>
      </c>
      <c r="F396" s="5" t="str">
        <f t="shared" si="67"/>
        <v>1</v>
      </c>
      <c r="G396" s="5" t="str">
        <f>"4"</f>
        <v>4</v>
      </c>
      <c r="H396" s="5" t="str">
        <f>"1"</f>
        <v>1</v>
      </c>
      <c r="I396" s="16">
        <v>8201635682.1499996</v>
      </c>
      <c r="K396" s="23"/>
      <c r="M396" s="24"/>
    </row>
    <row r="397" spans="1:13" ht="11.45" customHeight="1" x14ac:dyDescent="0.25">
      <c r="A397" s="15">
        <v>253</v>
      </c>
      <c r="B397" s="6">
        <v>44651</v>
      </c>
      <c r="C397" s="5">
        <v>9</v>
      </c>
      <c r="D397" s="5" t="str">
        <f t="shared" si="68"/>
        <v>2860</v>
      </c>
      <c r="E397" s="7" t="str">
        <f t="shared" si="69"/>
        <v>Прочие кредиторы по банковской деятельности</v>
      </c>
      <c r="F397" s="5" t="str">
        <f t="shared" si="67"/>
        <v>1</v>
      </c>
      <c r="G397" s="5" t="str">
        <f>"4"</f>
        <v>4</v>
      </c>
      <c r="H397" s="5" t="str">
        <f>"2"</f>
        <v>2</v>
      </c>
      <c r="I397" s="16">
        <v>156432671.18000001</v>
      </c>
      <c r="K397" s="23"/>
      <c r="M397" s="24"/>
    </row>
    <row r="398" spans="1:13" ht="11.45" customHeight="1" x14ac:dyDescent="0.25">
      <c r="A398" s="15">
        <v>250</v>
      </c>
      <c r="B398" s="6">
        <v>44651</v>
      </c>
      <c r="C398" s="5">
        <v>9</v>
      </c>
      <c r="D398" s="5" t="str">
        <f t="shared" si="68"/>
        <v>2860</v>
      </c>
      <c r="E398" s="7" t="str">
        <f t="shared" si="69"/>
        <v>Прочие кредиторы по банковской деятельности</v>
      </c>
      <c r="F398" s="5" t="str">
        <f t="shared" si="67"/>
        <v>1</v>
      </c>
      <c r="G398" s="5" t="str">
        <f>"4"</f>
        <v>4</v>
      </c>
      <c r="H398" s="5" t="str">
        <f>"3"</f>
        <v>3</v>
      </c>
      <c r="I398" s="16">
        <v>21258010.460000001</v>
      </c>
      <c r="K398" s="23"/>
      <c r="M398" s="24"/>
    </row>
    <row r="399" spans="1:13" ht="11.45" customHeight="1" x14ac:dyDescent="0.25">
      <c r="A399" s="15">
        <v>361</v>
      </c>
      <c r="B399" s="6">
        <v>44651</v>
      </c>
      <c r="C399" s="5">
        <v>9</v>
      </c>
      <c r="D399" s="5" t="str">
        <f t="shared" si="68"/>
        <v>2860</v>
      </c>
      <c r="E399" s="7" t="str">
        <f t="shared" si="69"/>
        <v>Прочие кредиторы по банковской деятельности</v>
      </c>
      <c r="F399" s="5" t="str">
        <f t="shared" si="67"/>
        <v>1</v>
      </c>
      <c r="G399" s="5" t="str">
        <f>"5"</f>
        <v>5</v>
      </c>
      <c r="H399" s="5" t="str">
        <f>"1"</f>
        <v>1</v>
      </c>
      <c r="I399" s="16">
        <v>34052915.390000001</v>
      </c>
      <c r="K399" s="23"/>
      <c r="M399" s="24"/>
    </row>
    <row r="400" spans="1:13" ht="11.45" customHeight="1" x14ac:dyDescent="0.25">
      <c r="A400" s="15">
        <v>108</v>
      </c>
      <c r="B400" s="6">
        <v>44651</v>
      </c>
      <c r="C400" s="5">
        <v>9</v>
      </c>
      <c r="D400" s="5" t="str">
        <f t="shared" si="68"/>
        <v>2860</v>
      </c>
      <c r="E400" s="7" t="str">
        <f t="shared" si="69"/>
        <v>Прочие кредиторы по банковской деятельности</v>
      </c>
      <c r="F400" s="5" t="str">
        <f t="shared" si="67"/>
        <v>1</v>
      </c>
      <c r="G400" s="5" t="str">
        <f>"7"</f>
        <v>7</v>
      </c>
      <c r="H400" s="5" t="str">
        <f>"1"</f>
        <v>1</v>
      </c>
      <c r="I400" s="16">
        <v>6578199437.96</v>
      </c>
      <c r="K400" s="23"/>
      <c r="M400" s="24"/>
    </row>
    <row r="401" spans="1:13" ht="11.45" customHeight="1" x14ac:dyDescent="0.25">
      <c r="A401" s="15">
        <v>552</v>
      </c>
      <c r="B401" s="6">
        <v>44651</v>
      </c>
      <c r="C401" s="5">
        <v>9</v>
      </c>
      <c r="D401" s="5" t="str">
        <f t="shared" si="68"/>
        <v>2860</v>
      </c>
      <c r="E401" s="7" t="str">
        <f t="shared" si="69"/>
        <v>Прочие кредиторы по банковской деятельности</v>
      </c>
      <c r="F401" s="5" t="str">
        <f t="shared" si="67"/>
        <v>1</v>
      </c>
      <c r="G401" s="5" t="str">
        <f>"8"</f>
        <v>8</v>
      </c>
      <c r="H401" s="5" t="str">
        <f>"1"</f>
        <v>1</v>
      </c>
      <c r="I401" s="16">
        <v>2369280.7999999998</v>
      </c>
      <c r="K401" s="23"/>
      <c r="M401" s="24"/>
    </row>
    <row r="402" spans="1:13" ht="11.45" customHeight="1" x14ac:dyDescent="0.25">
      <c r="A402" s="15">
        <v>472</v>
      </c>
      <c r="B402" s="6">
        <v>44651</v>
      </c>
      <c r="C402" s="5">
        <v>9</v>
      </c>
      <c r="D402" s="5" t="str">
        <f t="shared" si="68"/>
        <v>2860</v>
      </c>
      <c r="E402" s="7" t="str">
        <f t="shared" si="69"/>
        <v>Прочие кредиторы по банковской деятельности</v>
      </c>
      <c r="F402" s="5" t="str">
        <f t="shared" si="67"/>
        <v>1</v>
      </c>
      <c r="G402" s="5" t="str">
        <f>"9"</f>
        <v>9</v>
      </c>
      <c r="H402" s="5" t="str">
        <f>"1"</f>
        <v>1</v>
      </c>
      <c r="I402" s="16">
        <v>240832289.88</v>
      </c>
      <c r="K402" s="23"/>
      <c r="M402" s="24"/>
    </row>
    <row r="403" spans="1:13" ht="11.45" customHeight="1" x14ac:dyDescent="0.25">
      <c r="A403" s="15">
        <v>107</v>
      </c>
      <c r="B403" s="6">
        <v>44651</v>
      </c>
      <c r="C403" s="5">
        <v>9</v>
      </c>
      <c r="D403" s="5" t="str">
        <f t="shared" si="68"/>
        <v>2860</v>
      </c>
      <c r="E403" s="7" t="str">
        <f t="shared" si="69"/>
        <v>Прочие кредиторы по банковской деятельности</v>
      </c>
      <c r="F403" s="5" t="str">
        <f t="shared" si="67"/>
        <v>1</v>
      </c>
      <c r="G403" s="5" t="str">
        <f>"9"</f>
        <v>9</v>
      </c>
      <c r="H403" s="5" t="str">
        <f>"2"</f>
        <v>2</v>
      </c>
      <c r="I403" s="16">
        <v>73388234.900000006</v>
      </c>
      <c r="K403" s="23"/>
      <c r="M403" s="24"/>
    </row>
    <row r="404" spans="1:13" ht="11.45" customHeight="1" x14ac:dyDescent="0.25">
      <c r="A404" s="15">
        <v>551</v>
      </c>
      <c r="B404" s="6">
        <v>44651</v>
      </c>
      <c r="C404" s="5">
        <v>9</v>
      </c>
      <c r="D404" s="5" t="str">
        <f t="shared" si="68"/>
        <v>2860</v>
      </c>
      <c r="E404" s="7" t="str">
        <f t="shared" si="69"/>
        <v>Прочие кредиторы по банковской деятельности</v>
      </c>
      <c r="F404" s="5" t="str">
        <f>"2"</f>
        <v>2</v>
      </c>
      <c r="G404" s="5" t="str">
        <f>"4"</f>
        <v>4</v>
      </c>
      <c r="H404" s="5" t="str">
        <f>"1"</f>
        <v>1</v>
      </c>
      <c r="I404" s="16">
        <v>4569162.1100000003</v>
      </c>
      <c r="K404" s="23"/>
      <c r="M404" s="24"/>
    </row>
    <row r="405" spans="1:13" ht="11.45" customHeight="1" x14ac:dyDescent="0.25">
      <c r="A405" s="15">
        <v>429</v>
      </c>
      <c r="B405" s="6">
        <v>44651</v>
      </c>
      <c r="C405" s="5">
        <v>9</v>
      </c>
      <c r="D405" s="5" t="str">
        <f t="shared" si="68"/>
        <v>2860</v>
      </c>
      <c r="E405" s="7" t="str">
        <f t="shared" si="69"/>
        <v>Прочие кредиторы по банковской деятельности</v>
      </c>
      <c r="F405" s="5" t="str">
        <f>"2"</f>
        <v>2</v>
      </c>
      <c r="G405" s="5" t="str">
        <f>"7"</f>
        <v>7</v>
      </c>
      <c r="H405" s="5" t="str">
        <f>"2"</f>
        <v>2</v>
      </c>
      <c r="I405" s="16">
        <v>40578.300000000003</v>
      </c>
      <c r="K405" s="23"/>
      <c r="M405" s="24"/>
    </row>
    <row r="406" spans="1:13" ht="11.45" customHeight="1" x14ac:dyDescent="0.25">
      <c r="A406" s="15">
        <v>550</v>
      </c>
      <c r="B406" s="6">
        <v>44651</v>
      </c>
      <c r="C406" s="5">
        <v>9</v>
      </c>
      <c r="D406" s="5" t="str">
        <f t="shared" si="68"/>
        <v>2860</v>
      </c>
      <c r="E406" s="7" t="str">
        <f t="shared" si="69"/>
        <v>Прочие кредиторы по банковской деятельности</v>
      </c>
      <c r="F406" s="5" t="str">
        <f>"2"</f>
        <v>2</v>
      </c>
      <c r="G406" s="5" t="str">
        <f>"7"</f>
        <v>7</v>
      </c>
      <c r="H406" s="5" t="str">
        <f>"3"</f>
        <v>3</v>
      </c>
      <c r="I406" s="16">
        <v>10082.9</v>
      </c>
      <c r="K406" s="23"/>
      <c r="M406" s="24"/>
    </row>
    <row r="407" spans="1:13" ht="11.45" customHeight="1" x14ac:dyDescent="0.25">
      <c r="A407" s="15">
        <v>362</v>
      </c>
      <c r="B407" s="6">
        <v>44651</v>
      </c>
      <c r="C407" s="5">
        <v>9</v>
      </c>
      <c r="D407" s="5" t="str">
        <f t="shared" si="68"/>
        <v>2860</v>
      </c>
      <c r="E407" s="7" t="str">
        <f t="shared" si="69"/>
        <v>Прочие кредиторы по банковской деятельности</v>
      </c>
      <c r="F407" s="5" t="str">
        <f>"2"</f>
        <v>2</v>
      </c>
      <c r="G407" s="5" t="str">
        <f>"9"</f>
        <v>9</v>
      </c>
      <c r="H407" s="5" t="str">
        <f>"1"</f>
        <v>1</v>
      </c>
      <c r="I407" s="16">
        <v>5904530</v>
      </c>
      <c r="K407" s="23"/>
      <c r="M407" s="24"/>
    </row>
    <row r="408" spans="1:13" ht="11.45" customHeight="1" x14ac:dyDescent="0.25">
      <c r="A408" s="15">
        <v>393</v>
      </c>
      <c r="B408" s="6">
        <v>44651</v>
      </c>
      <c r="C408" s="5">
        <v>9</v>
      </c>
      <c r="D408" s="5" t="str">
        <f t="shared" si="68"/>
        <v>2860</v>
      </c>
      <c r="E408" s="7" t="str">
        <f t="shared" si="69"/>
        <v>Прочие кредиторы по банковской деятельности</v>
      </c>
      <c r="F408" s="5" t="str">
        <f>"2"</f>
        <v>2</v>
      </c>
      <c r="G408" s="5" t="str">
        <f>"9"</f>
        <v>9</v>
      </c>
      <c r="H408" s="5" t="str">
        <f>"2"</f>
        <v>2</v>
      </c>
      <c r="I408" s="16">
        <v>130.57</v>
      </c>
      <c r="K408" s="23"/>
      <c r="M408" s="24"/>
    </row>
    <row r="409" spans="1:13" ht="11.45" customHeight="1" x14ac:dyDescent="0.25">
      <c r="A409" s="15">
        <v>385</v>
      </c>
      <c r="B409" s="6">
        <v>44651</v>
      </c>
      <c r="C409" s="5">
        <v>9</v>
      </c>
      <c r="D409" s="5" t="str">
        <f>"2861"</f>
        <v>2861</v>
      </c>
      <c r="E409" s="7" t="str">
        <f>"Резерв на отпускные выплаты"</f>
        <v>Резерв на отпускные выплаты</v>
      </c>
      <c r="F409" s="5" t="str">
        <f>""</f>
        <v/>
      </c>
      <c r="G409" s="5"/>
      <c r="H409" s="5" t="str">
        <f>""</f>
        <v/>
      </c>
      <c r="I409" s="16">
        <v>2400841870.4499998</v>
      </c>
      <c r="K409" s="23"/>
      <c r="M409" s="24"/>
    </row>
    <row r="410" spans="1:13" ht="11.45" customHeight="1" x14ac:dyDescent="0.25">
      <c r="A410" s="15">
        <v>409</v>
      </c>
      <c r="B410" s="6">
        <v>44651</v>
      </c>
      <c r="C410" s="5">
        <v>9</v>
      </c>
      <c r="D410" s="5" t="str">
        <f>"2865"</f>
        <v>2865</v>
      </c>
      <c r="E410" s="7" t="str">
        <f>"Обязательства по выпущенным электронным деньгам"</f>
        <v>Обязательства по выпущенным электронным деньгам</v>
      </c>
      <c r="F410" s="5" t="str">
        <f t="shared" ref="F410:F421" si="70">"1"</f>
        <v>1</v>
      </c>
      <c r="G410" s="5" t="str">
        <f>"7"</f>
        <v>7</v>
      </c>
      <c r="H410" s="5" t="str">
        <f t="shared" ref="H410:H415" si="71">"1"</f>
        <v>1</v>
      </c>
      <c r="I410" s="16">
        <v>2300382722.0799999</v>
      </c>
      <c r="K410" s="23"/>
      <c r="M410" s="24"/>
    </row>
    <row r="411" spans="1:13" ht="11.45" customHeight="1" x14ac:dyDescent="0.25">
      <c r="A411" s="15">
        <v>267</v>
      </c>
      <c r="B411" s="6">
        <v>44651</v>
      </c>
      <c r="C411" s="5">
        <v>9</v>
      </c>
      <c r="D411" s="5" t="str">
        <f>"2867"</f>
        <v>2867</v>
      </c>
      <c r="E411" s="7" t="str">
        <f>"Прочие кредиторы по неосновной деятельности"</f>
        <v>Прочие кредиторы по неосновной деятельности</v>
      </c>
      <c r="F411" s="5" t="str">
        <f t="shared" si="70"/>
        <v>1</v>
      </c>
      <c r="G411" s="5" t="str">
        <f>"5"</f>
        <v>5</v>
      </c>
      <c r="H411" s="5" t="str">
        <f t="shared" si="71"/>
        <v>1</v>
      </c>
      <c r="I411" s="16">
        <v>1993215.69</v>
      </c>
      <c r="K411" s="23"/>
      <c r="M411" s="24"/>
    </row>
    <row r="412" spans="1:13" ht="11.45" customHeight="1" x14ac:dyDescent="0.25">
      <c r="A412" s="15">
        <v>517</v>
      </c>
      <c r="B412" s="6">
        <v>44651</v>
      </c>
      <c r="C412" s="5">
        <v>9</v>
      </c>
      <c r="D412" s="5" t="str">
        <f>"2867"</f>
        <v>2867</v>
      </c>
      <c r="E412" s="7" t="str">
        <f>"Прочие кредиторы по неосновной деятельности"</f>
        <v>Прочие кредиторы по неосновной деятельности</v>
      </c>
      <c r="F412" s="5" t="str">
        <f t="shared" si="70"/>
        <v>1</v>
      </c>
      <c r="G412" s="5" t="str">
        <f>"7"</f>
        <v>7</v>
      </c>
      <c r="H412" s="5" t="str">
        <f t="shared" si="71"/>
        <v>1</v>
      </c>
      <c r="I412" s="16">
        <v>19827</v>
      </c>
      <c r="K412" s="23"/>
      <c r="M412" s="24"/>
    </row>
    <row r="413" spans="1:13" ht="11.45" customHeight="1" x14ac:dyDescent="0.25">
      <c r="A413" s="15">
        <v>266</v>
      </c>
      <c r="B413" s="6">
        <v>44651</v>
      </c>
      <c r="C413" s="5">
        <v>9</v>
      </c>
      <c r="D413" s="5" t="str">
        <f>"2867"</f>
        <v>2867</v>
      </c>
      <c r="E413" s="7" t="str">
        <f>"Прочие кредиторы по неосновной деятельности"</f>
        <v>Прочие кредиторы по неосновной деятельности</v>
      </c>
      <c r="F413" s="5" t="str">
        <f t="shared" si="70"/>
        <v>1</v>
      </c>
      <c r="G413" s="5" t="str">
        <f>"9"</f>
        <v>9</v>
      </c>
      <c r="H413" s="5" t="str">
        <f t="shared" si="71"/>
        <v>1</v>
      </c>
      <c r="I413" s="16">
        <v>12701646.630000001</v>
      </c>
      <c r="K413" s="23"/>
      <c r="M413" s="24"/>
    </row>
    <row r="414" spans="1:13" ht="11.45" customHeight="1" x14ac:dyDescent="0.25">
      <c r="A414" s="15">
        <v>531</v>
      </c>
      <c r="B414" s="6">
        <v>44651</v>
      </c>
      <c r="C414" s="5">
        <v>9</v>
      </c>
      <c r="D414" s="5" t="str">
        <f t="shared" ref="D414:D423" si="72">"2869"</f>
        <v>2869</v>
      </c>
      <c r="E414" s="7" t="str">
        <f t="shared" ref="E414:E423" si="73">"Выданные гарантии"</f>
        <v>Выданные гарантии</v>
      </c>
      <c r="F414" s="5" t="str">
        <f t="shared" si="70"/>
        <v>1</v>
      </c>
      <c r="G414" s="5" t="str">
        <f>"5"</f>
        <v>5</v>
      </c>
      <c r="H414" s="5" t="str">
        <f t="shared" si="71"/>
        <v>1</v>
      </c>
      <c r="I414" s="16">
        <v>11987950.52</v>
      </c>
      <c r="K414" s="23"/>
      <c r="M414" s="24"/>
    </row>
    <row r="415" spans="1:13" ht="11.45" customHeight="1" x14ac:dyDescent="0.25">
      <c r="A415" s="15">
        <v>114</v>
      </c>
      <c r="B415" s="6">
        <v>44651</v>
      </c>
      <c r="C415" s="5">
        <v>9</v>
      </c>
      <c r="D415" s="5" t="str">
        <f t="shared" si="72"/>
        <v>2869</v>
      </c>
      <c r="E415" s="7" t="str">
        <f t="shared" si="73"/>
        <v>Выданные гарантии</v>
      </c>
      <c r="F415" s="5" t="str">
        <f t="shared" si="70"/>
        <v>1</v>
      </c>
      <c r="G415" s="5" t="str">
        <f>"6"</f>
        <v>6</v>
      </c>
      <c r="H415" s="5" t="str">
        <f t="shared" si="71"/>
        <v>1</v>
      </c>
      <c r="I415" s="16">
        <v>1761373.34</v>
      </c>
      <c r="K415" s="23"/>
      <c r="M415" s="24"/>
    </row>
    <row r="416" spans="1:13" ht="11.45" customHeight="1" x14ac:dyDescent="0.25">
      <c r="A416" s="15">
        <v>116</v>
      </c>
      <c r="B416" s="6">
        <v>44651</v>
      </c>
      <c r="C416" s="5">
        <v>9</v>
      </c>
      <c r="D416" s="5" t="str">
        <f t="shared" si="72"/>
        <v>2869</v>
      </c>
      <c r="E416" s="7" t="str">
        <f t="shared" si="73"/>
        <v>Выданные гарантии</v>
      </c>
      <c r="F416" s="5" t="str">
        <f t="shared" si="70"/>
        <v>1</v>
      </c>
      <c r="G416" s="5" t="str">
        <f>"6"</f>
        <v>6</v>
      </c>
      <c r="H416" s="5" t="str">
        <f>"2"</f>
        <v>2</v>
      </c>
      <c r="I416" s="16">
        <v>127745.62</v>
      </c>
      <c r="K416" s="23"/>
      <c r="M416" s="24"/>
    </row>
    <row r="417" spans="1:13" ht="11.45" customHeight="1" x14ac:dyDescent="0.25">
      <c r="A417" s="15">
        <v>433</v>
      </c>
      <c r="B417" s="6">
        <v>44651</v>
      </c>
      <c r="C417" s="5">
        <v>9</v>
      </c>
      <c r="D417" s="5" t="str">
        <f t="shared" si="72"/>
        <v>2869</v>
      </c>
      <c r="E417" s="7" t="str">
        <f t="shared" si="73"/>
        <v>Выданные гарантии</v>
      </c>
      <c r="F417" s="5" t="str">
        <f t="shared" si="70"/>
        <v>1</v>
      </c>
      <c r="G417" s="5" t="str">
        <f>"7"</f>
        <v>7</v>
      </c>
      <c r="H417" s="5" t="str">
        <f>"1"</f>
        <v>1</v>
      </c>
      <c r="I417" s="16">
        <v>135603595.62</v>
      </c>
      <c r="K417" s="23"/>
      <c r="M417" s="24"/>
    </row>
    <row r="418" spans="1:13" ht="11.45" customHeight="1" x14ac:dyDescent="0.25">
      <c r="A418" s="15">
        <v>263</v>
      </c>
      <c r="B418" s="6">
        <v>44651</v>
      </c>
      <c r="C418" s="5">
        <v>9</v>
      </c>
      <c r="D418" s="5" t="str">
        <f t="shared" si="72"/>
        <v>2869</v>
      </c>
      <c r="E418" s="7" t="str">
        <f t="shared" si="73"/>
        <v>Выданные гарантии</v>
      </c>
      <c r="F418" s="5" t="str">
        <f t="shared" si="70"/>
        <v>1</v>
      </c>
      <c r="G418" s="5" t="str">
        <f>"7"</f>
        <v>7</v>
      </c>
      <c r="H418" s="5" t="str">
        <f>"2"</f>
        <v>2</v>
      </c>
      <c r="I418" s="16">
        <v>62479894.100000001</v>
      </c>
      <c r="K418" s="23"/>
      <c r="M418" s="24"/>
    </row>
    <row r="419" spans="1:13" ht="11.45" customHeight="1" x14ac:dyDescent="0.25">
      <c r="A419" s="15">
        <v>516</v>
      </c>
      <c r="B419" s="6">
        <v>44651</v>
      </c>
      <c r="C419" s="5">
        <v>9</v>
      </c>
      <c r="D419" s="5" t="str">
        <f t="shared" si="72"/>
        <v>2869</v>
      </c>
      <c r="E419" s="7" t="str">
        <f t="shared" si="73"/>
        <v>Выданные гарантии</v>
      </c>
      <c r="F419" s="5" t="str">
        <f t="shared" si="70"/>
        <v>1</v>
      </c>
      <c r="G419" s="5" t="str">
        <f>"7"</f>
        <v>7</v>
      </c>
      <c r="H419" s="5" t="str">
        <f>"3"</f>
        <v>3</v>
      </c>
      <c r="I419" s="16">
        <v>2231911</v>
      </c>
      <c r="K419" s="23"/>
      <c r="M419" s="24"/>
    </row>
    <row r="420" spans="1:13" ht="11.45" customHeight="1" x14ac:dyDescent="0.25">
      <c r="A420" s="15">
        <v>582</v>
      </c>
      <c r="B420" s="6">
        <v>44651</v>
      </c>
      <c r="C420" s="5">
        <v>9</v>
      </c>
      <c r="D420" s="5" t="str">
        <f t="shared" si="72"/>
        <v>2869</v>
      </c>
      <c r="E420" s="7" t="str">
        <f t="shared" si="73"/>
        <v>Выданные гарантии</v>
      </c>
      <c r="F420" s="5" t="str">
        <f t="shared" si="70"/>
        <v>1</v>
      </c>
      <c r="G420" s="5" t="str">
        <f>"9"</f>
        <v>9</v>
      </c>
      <c r="H420" s="5" t="str">
        <f>"1"</f>
        <v>1</v>
      </c>
      <c r="I420" s="16">
        <v>626753.24</v>
      </c>
      <c r="K420" s="23"/>
      <c r="M420" s="24"/>
    </row>
    <row r="421" spans="1:13" ht="11.45" customHeight="1" x14ac:dyDescent="0.25">
      <c r="A421" s="15">
        <v>257</v>
      </c>
      <c r="B421" s="6">
        <v>44651</v>
      </c>
      <c r="C421" s="5">
        <v>9</v>
      </c>
      <c r="D421" s="5" t="str">
        <f t="shared" si="72"/>
        <v>2869</v>
      </c>
      <c r="E421" s="7" t="str">
        <f t="shared" si="73"/>
        <v>Выданные гарантии</v>
      </c>
      <c r="F421" s="5" t="str">
        <f t="shared" si="70"/>
        <v>1</v>
      </c>
      <c r="G421" s="5" t="str">
        <f>"9"</f>
        <v>9</v>
      </c>
      <c r="H421" s="5" t="str">
        <f>"2"</f>
        <v>2</v>
      </c>
      <c r="I421" s="16">
        <v>2289.58</v>
      </c>
      <c r="K421" s="23"/>
      <c r="M421" s="24"/>
    </row>
    <row r="422" spans="1:13" ht="11.45" customHeight="1" x14ac:dyDescent="0.25">
      <c r="A422" s="15">
        <v>430</v>
      </c>
      <c r="B422" s="6">
        <v>44651</v>
      </c>
      <c r="C422" s="5">
        <v>9</v>
      </c>
      <c r="D422" s="5" t="str">
        <f t="shared" si="72"/>
        <v>2869</v>
      </c>
      <c r="E422" s="7" t="str">
        <f t="shared" si="73"/>
        <v>Выданные гарантии</v>
      </c>
      <c r="F422" s="5" t="str">
        <f>"2"</f>
        <v>2</v>
      </c>
      <c r="G422" s="5" t="str">
        <f>"4"</f>
        <v>4</v>
      </c>
      <c r="H422" s="5" t="str">
        <f>"1"</f>
        <v>1</v>
      </c>
      <c r="I422" s="16">
        <v>2073240</v>
      </c>
      <c r="K422" s="23"/>
      <c r="M422" s="24"/>
    </row>
    <row r="423" spans="1:13" ht="11.45" customHeight="1" x14ac:dyDescent="0.25">
      <c r="A423" s="15">
        <v>431</v>
      </c>
      <c r="B423" s="6">
        <v>44651</v>
      </c>
      <c r="C423" s="5">
        <v>9</v>
      </c>
      <c r="D423" s="5" t="str">
        <f t="shared" si="72"/>
        <v>2869</v>
      </c>
      <c r="E423" s="7" t="str">
        <f t="shared" si="73"/>
        <v>Выданные гарантии</v>
      </c>
      <c r="F423" s="5" t="str">
        <f>"2"</f>
        <v>2</v>
      </c>
      <c r="G423" s="5" t="str">
        <f>"4"</f>
        <v>4</v>
      </c>
      <c r="H423" s="5" t="str">
        <f>"3"</f>
        <v>3</v>
      </c>
      <c r="I423" s="16">
        <v>3843510</v>
      </c>
      <c r="K423" s="23"/>
      <c r="M423" s="24"/>
    </row>
    <row r="424" spans="1:13" ht="11.45" customHeight="1" x14ac:dyDescent="0.25">
      <c r="A424" s="15">
        <v>363</v>
      </c>
      <c r="B424" s="6">
        <v>44651</v>
      </c>
      <c r="C424" s="5">
        <v>9</v>
      </c>
      <c r="D424" s="5" t="str">
        <f t="shared" ref="D424:D437" si="74">"2870"</f>
        <v>2870</v>
      </c>
      <c r="E424" s="7" t="str">
        <f t="shared" ref="E424:E437" si="75">"Прочие транзитные счета"</f>
        <v>Прочие транзитные счета</v>
      </c>
      <c r="F424" s="5" t="str">
        <f t="shared" ref="F424:F432" si="76">"1"</f>
        <v>1</v>
      </c>
      <c r="G424" s="5" t="str">
        <f>"4"</f>
        <v>4</v>
      </c>
      <c r="H424" s="5" t="str">
        <f>"1"</f>
        <v>1</v>
      </c>
      <c r="I424" s="16">
        <v>20245614.690000001</v>
      </c>
      <c r="K424" s="23"/>
      <c r="M424" s="24"/>
    </row>
    <row r="425" spans="1:13" ht="11.45" customHeight="1" x14ac:dyDescent="0.25">
      <c r="A425" s="15">
        <v>330</v>
      </c>
      <c r="B425" s="6">
        <v>44651</v>
      </c>
      <c r="C425" s="5">
        <v>9</v>
      </c>
      <c r="D425" s="5" t="str">
        <f t="shared" si="74"/>
        <v>2870</v>
      </c>
      <c r="E425" s="7" t="str">
        <f t="shared" si="75"/>
        <v>Прочие транзитные счета</v>
      </c>
      <c r="F425" s="5" t="str">
        <f t="shared" si="76"/>
        <v>1</v>
      </c>
      <c r="G425" s="5" t="str">
        <f>"4"</f>
        <v>4</v>
      </c>
      <c r="H425" s="5" t="str">
        <f>"2"</f>
        <v>2</v>
      </c>
      <c r="I425" s="16">
        <v>1936305.64</v>
      </c>
      <c r="K425" s="23"/>
      <c r="M425" s="24"/>
    </row>
    <row r="426" spans="1:13" ht="11.45" customHeight="1" x14ac:dyDescent="0.25">
      <c r="A426" s="15">
        <v>432</v>
      </c>
      <c r="B426" s="6">
        <v>44651</v>
      </c>
      <c r="C426" s="5">
        <v>9</v>
      </c>
      <c r="D426" s="5" t="str">
        <f t="shared" si="74"/>
        <v>2870</v>
      </c>
      <c r="E426" s="7" t="str">
        <f t="shared" si="75"/>
        <v>Прочие транзитные счета</v>
      </c>
      <c r="F426" s="5" t="str">
        <f t="shared" si="76"/>
        <v>1</v>
      </c>
      <c r="G426" s="5" t="str">
        <f>"4"</f>
        <v>4</v>
      </c>
      <c r="H426" s="5" t="str">
        <f>"3"</f>
        <v>3</v>
      </c>
      <c r="I426" s="16">
        <v>2720672.07</v>
      </c>
      <c r="K426" s="23"/>
      <c r="M426" s="24"/>
    </row>
    <row r="427" spans="1:13" ht="11.45" customHeight="1" x14ac:dyDescent="0.25">
      <c r="A427" s="15">
        <v>109</v>
      </c>
      <c r="B427" s="6">
        <v>44651</v>
      </c>
      <c r="C427" s="5">
        <v>9</v>
      </c>
      <c r="D427" s="5" t="str">
        <f t="shared" si="74"/>
        <v>2870</v>
      </c>
      <c r="E427" s="7" t="str">
        <f t="shared" si="75"/>
        <v>Прочие транзитные счета</v>
      </c>
      <c r="F427" s="5" t="str">
        <f t="shared" si="76"/>
        <v>1</v>
      </c>
      <c r="G427" s="5" t="str">
        <f>"5"</f>
        <v>5</v>
      </c>
      <c r="H427" s="5" t="str">
        <f>"1"</f>
        <v>1</v>
      </c>
      <c r="I427" s="16">
        <v>14536811</v>
      </c>
      <c r="K427" s="23"/>
      <c r="M427" s="24"/>
    </row>
    <row r="428" spans="1:13" ht="11.45" customHeight="1" x14ac:dyDescent="0.25">
      <c r="A428" s="15">
        <v>489</v>
      </c>
      <c r="B428" s="6">
        <v>44651</v>
      </c>
      <c r="C428" s="5">
        <v>9</v>
      </c>
      <c r="D428" s="5" t="str">
        <f t="shared" si="74"/>
        <v>2870</v>
      </c>
      <c r="E428" s="7" t="str">
        <f t="shared" si="75"/>
        <v>Прочие транзитные счета</v>
      </c>
      <c r="F428" s="5" t="str">
        <f t="shared" si="76"/>
        <v>1</v>
      </c>
      <c r="G428" s="5" t="str">
        <f>"6"</f>
        <v>6</v>
      </c>
      <c r="H428" s="5" t="str">
        <f>"1"</f>
        <v>1</v>
      </c>
      <c r="I428" s="16">
        <v>45210</v>
      </c>
      <c r="K428" s="23"/>
      <c r="M428" s="24"/>
    </row>
    <row r="429" spans="1:13" ht="11.45" customHeight="1" x14ac:dyDescent="0.25">
      <c r="A429" s="15">
        <v>581</v>
      </c>
      <c r="B429" s="6">
        <v>44651</v>
      </c>
      <c r="C429" s="5">
        <v>9</v>
      </c>
      <c r="D429" s="5" t="str">
        <f t="shared" si="74"/>
        <v>2870</v>
      </c>
      <c r="E429" s="7" t="str">
        <f t="shared" si="75"/>
        <v>Прочие транзитные счета</v>
      </c>
      <c r="F429" s="5" t="str">
        <f t="shared" si="76"/>
        <v>1</v>
      </c>
      <c r="G429" s="5" t="str">
        <f>"7"</f>
        <v>7</v>
      </c>
      <c r="H429" s="5" t="str">
        <f>"1"</f>
        <v>1</v>
      </c>
      <c r="I429" s="16">
        <v>894019473.40999997</v>
      </c>
      <c r="K429" s="23"/>
      <c r="M429" s="24"/>
    </row>
    <row r="430" spans="1:13" ht="11.45" customHeight="1" x14ac:dyDescent="0.25">
      <c r="A430" s="15">
        <v>260</v>
      </c>
      <c r="B430" s="6">
        <v>44651</v>
      </c>
      <c r="C430" s="5">
        <v>9</v>
      </c>
      <c r="D430" s="5" t="str">
        <f t="shared" si="74"/>
        <v>2870</v>
      </c>
      <c r="E430" s="7" t="str">
        <f t="shared" si="75"/>
        <v>Прочие транзитные счета</v>
      </c>
      <c r="F430" s="5" t="str">
        <f t="shared" si="76"/>
        <v>1</v>
      </c>
      <c r="G430" s="5" t="str">
        <f>"7"</f>
        <v>7</v>
      </c>
      <c r="H430" s="5" t="str">
        <f>"2"</f>
        <v>2</v>
      </c>
      <c r="I430" s="16">
        <v>2687797.97</v>
      </c>
      <c r="K430" s="23"/>
      <c r="M430" s="24"/>
    </row>
    <row r="431" spans="1:13" ht="11.45" customHeight="1" x14ac:dyDescent="0.25">
      <c r="A431" s="15">
        <v>454</v>
      </c>
      <c r="B431" s="6">
        <v>44651</v>
      </c>
      <c r="C431" s="5">
        <v>9</v>
      </c>
      <c r="D431" s="5" t="str">
        <f t="shared" si="74"/>
        <v>2870</v>
      </c>
      <c r="E431" s="7" t="str">
        <f t="shared" si="75"/>
        <v>Прочие транзитные счета</v>
      </c>
      <c r="F431" s="5" t="str">
        <f t="shared" si="76"/>
        <v>1</v>
      </c>
      <c r="G431" s="5" t="str">
        <f>"7"</f>
        <v>7</v>
      </c>
      <c r="H431" s="5" t="str">
        <f>"3"</f>
        <v>3</v>
      </c>
      <c r="I431" s="16">
        <v>1140342</v>
      </c>
      <c r="K431" s="23"/>
      <c r="M431" s="24"/>
    </row>
    <row r="432" spans="1:13" ht="11.45" customHeight="1" x14ac:dyDescent="0.25">
      <c r="A432" s="15">
        <v>256</v>
      </c>
      <c r="B432" s="6">
        <v>44651</v>
      </c>
      <c r="C432" s="5">
        <v>9</v>
      </c>
      <c r="D432" s="5" t="str">
        <f t="shared" si="74"/>
        <v>2870</v>
      </c>
      <c r="E432" s="7" t="str">
        <f t="shared" si="75"/>
        <v>Прочие транзитные счета</v>
      </c>
      <c r="F432" s="5" t="str">
        <f t="shared" si="76"/>
        <v>1</v>
      </c>
      <c r="G432" s="5" t="str">
        <f>"9"</f>
        <v>9</v>
      </c>
      <c r="H432" s="5" t="str">
        <f>"1"</f>
        <v>1</v>
      </c>
      <c r="I432" s="16">
        <v>60646090.189999998</v>
      </c>
      <c r="K432" s="23"/>
      <c r="M432" s="24"/>
    </row>
    <row r="433" spans="1:13" ht="11.45" customHeight="1" x14ac:dyDescent="0.25">
      <c r="A433" s="15">
        <v>258</v>
      </c>
      <c r="B433" s="6">
        <v>44651</v>
      </c>
      <c r="C433" s="5">
        <v>9</v>
      </c>
      <c r="D433" s="5" t="str">
        <f t="shared" si="74"/>
        <v>2870</v>
      </c>
      <c r="E433" s="7" t="str">
        <f t="shared" si="75"/>
        <v>Прочие транзитные счета</v>
      </c>
      <c r="F433" s="5" t="str">
        <f>"2"</f>
        <v>2</v>
      </c>
      <c r="G433" s="5" t="str">
        <f>"4"</f>
        <v>4</v>
      </c>
      <c r="H433" s="5" t="str">
        <f>"2"</f>
        <v>2</v>
      </c>
      <c r="I433" s="16">
        <v>16758168741.379999</v>
      </c>
      <c r="K433" s="23"/>
      <c r="M433" s="24"/>
    </row>
    <row r="434" spans="1:13" ht="11.45" customHeight="1" x14ac:dyDescent="0.25">
      <c r="A434" s="15">
        <v>455</v>
      </c>
      <c r="B434" s="6">
        <v>44651</v>
      </c>
      <c r="C434" s="5">
        <v>9</v>
      </c>
      <c r="D434" s="5" t="str">
        <f t="shared" si="74"/>
        <v>2870</v>
      </c>
      <c r="E434" s="7" t="str">
        <f t="shared" si="75"/>
        <v>Прочие транзитные счета</v>
      </c>
      <c r="F434" s="5" t="str">
        <f>"2"</f>
        <v>2</v>
      </c>
      <c r="G434" s="5" t="str">
        <f>"7"</f>
        <v>7</v>
      </c>
      <c r="H434" s="5" t="str">
        <f>"2"</f>
        <v>2</v>
      </c>
      <c r="I434" s="16">
        <v>103667629.58</v>
      </c>
      <c r="K434" s="23"/>
      <c r="M434" s="24"/>
    </row>
    <row r="435" spans="1:13" ht="11.45" customHeight="1" x14ac:dyDescent="0.25">
      <c r="A435" s="15">
        <v>254</v>
      </c>
      <c r="B435" s="6">
        <v>44651</v>
      </c>
      <c r="C435" s="5">
        <v>9</v>
      </c>
      <c r="D435" s="5" t="str">
        <f t="shared" si="74"/>
        <v>2870</v>
      </c>
      <c r="E435" s="7" t="str">
        <f t="shared" si="75"/>
        <v>Прочие транзитные счета</v>
      </c>
      <c r="F435" s="5" t="str">
        <f>"2"</f>
        <v>2</v>
      </c>
      <c r="G435" s="5" t="str">
        <f>"7"</f>
        <v>7</v>
      </c>
      <c r="H435" s="5" t="str">
        <f>"3"</f>
        <v>3</v>
      </c>
      <c r="I435" s="16">
        <v>31923057.829999998</v>
      </c>
      <c r="K435" s="23"/>
      <c r="M435" s="24"/>
    </row>
    <row r="436" spans="1:13" ht="11.45" customHeight="1" x14ac:dyDescent="0.25">
      <c r="A436" s="15">
        <v>110</v>
      </c>
      <c r="B436" s="6">
        <v>44651</v>
      </c>
      <c r="C436" s="5">
        <v>9</v>
      </c>
      <c r="D436" s="5" t="str">
        <f t="shared" si="74"/>
        <v>2870</v>
      </c>
      <c r="E436" s="7" t="str">
        <f t="shared" si="75"/>
        <v>Прочие транзитные счета</v>
      </c>
      <c r="F436" s="5" t="str">
        <f>"2"</f>
        <v>2</v>
      </c>
      <c r="G436" s="5" t="str">
        <f>"9"</f>
        <v>9</v>
      </c>
      <c r="H436" s="5" t="str">
        <f>"2"</f>
        <v>2</v>
      </c>
      <c r="I436" s="16">
        <v>1035.96</v>
      </c>
      <c r="K436" s="23"/>
      <c r="M436" s="24"/>
    </row>
    <row r="437" spans="1:13" ht="11.45" customHeight="1" x14ac:dyDescent="0.25">
      <c r="A437" s="15">
        <v>364</v>
      </c>
      <c r="B437" s="6">
        <v>44651</v>
      </c>
      <c r="C437" s="5">
        <v>9</v>
      </c>
      <c r="D437" s="5" t="str">
        <f t="shared" si="74"/>
        <v>2870</v>
      </c>
      <c r="E437" s="7" t="str">
        <f t="shared" si="75"/>
        <v>Прочие транзитные счета</v>
      </c>
      <c r="F437" s="5" t="str">
        <f>"2"</f>
        <v>2</v>
      </c>
      <c r="G437" s="5" t="str">
        <f>"9"</f>
        <v>9</v>
      </c>
      <c r="H437" s="5" t="str">
        <f>"3"</f>
        <v>3</v>
      </c>
      <c r="I437" s="16">
        <v>57000</v>
      </c>
      <c r="K437" s="23"/>
      <c r="M437" s="24"/>
    </row>
    <row r="438" spans="1:13" ht="11.45" customHeight="1" x14ac:dyDescent="0.25">
      <c r="A438" s="15">
        <v>112</v>
      </c>
      <c r="B438" s="6">
        <v>44651</v>
      </c>
      <c r="C438" s="5">
        <v>9</v>
      </c>
      <c r="D438" s="5" t="str">
        <f>"2875"</f>
        <v>2875</v>
      </c>
      <c r="E438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38" s="5" t="str">
        <f>"1"</f>
        <v>1</v>
      </c>
      <c r="G438" s="5" t="str">
        <f>"7"</f>
        <v>7</v>
      </c>
      <c r="H438" s="5" t="str">
        <f>"2"</f>
        <v>2</v>
      </c>
      <c r="I438" s="16">
        <v>10872346.890000001</v>
      </c>
      <c r="K438" s="23"/>
      <c r="M438" s="24"/>
    </row>
    <row r="439" spans="1:13" ht="11.45" customHeight="1" x14ac:dyDescent="0.25">
      <c r="A439" s="15">
        <v>365</v>
      </c>
      <c r="B439" s="6">
        <v>44651</v>
      </c>
      <c r="C439" s="5">
        <v>9</v>
      </c>
      <c r="D439" s="5" t="str">
        <f>"2875"</f>
        <v>2875</v>
      </c>
      <c r="E439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39" s="5" t="str">
        <f>"1"</f>
        <v>1</v>
      </c>
      <c r="G439" s="5" t="str">
        <f>"7"</f>
        <v>7</v>
      </c>
      <c r="H439" s="5" t="str">
        <f>"3"</f>
        <v>3</v>
      </c>
      <c r="I439" s="16">
        <v>52474.77</v>
      </c>
      <c r="K439" s="23"/>
      <c r="M439" s="24"/>
    </row>
    <row r="440" spans="1:13" ht="11.45" customHeight="1" x14ac:dyDescent="0.25">
      <c r="A440" s="15">
        <v>264</v>
      </c>
      <c r="B440" s="6">
        <v>44651</v>
      </c>
      <c r="C440" s="5">
        <v>9</v>
      </c>
      <c r="D440" s="5" t="str">
        <f>"2875"</f>
        <v>2875</v>
      </c>
      <c r="E440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40" s="5" t="str">
        <f>"2"</f>
        <v>2</v>
      </c>
      <c r="G440" s="5" t="str">
        <f>"4"</f>
        <v>4</v>
      </c>
      <c r="H440" s="5" t="str">
        <f>"2"</f>
        <v>2</v>
      </c>
      <c r="I440" s="16">
        <v>12086.76</v>
      </c>
      <c r="K440" s="23"/>
      <c r="M440" s="24"/>
    </row>
    <row r="441" spans="1:13" ht="11.45" customHeight="1" x14ac:dyDescent="0.25">
      <c r="A441" s="15">
        <v>118</v>
      </c>
      <c r="B441" s="6">
        <v>44651</v>
      </c>
      <c r="C441" s="5">
        <v>9</v>
      </c>
      <c r="D441" s="5" t="str">
        <f>"2894"</f>
        <v>2894</v>
      </c>
      <c r="E441" s="7" t="str">
        <f>"Обязательства по операциям спот"</f>
        <v>Обязательства по операциям спот</v>
      </c>
      <c r="F441" s="5" t="str">
        <f>"1"</f>
        <v>1</v>
      </c>
      <c r="G441" s="5" t="str">
        <f>"4"</f>
        <v>4</v>
      </c>
      <c r="H441" s="5" t="str">
        <f>"2"</f>
        <v>2</v>
      </c>
      <c r="I441" s="16">
        <v>1558687806</v>
      </c>
      <c r="K441" s="23"/>
      <c r="M441" s="24"/>
    </row>
    <row r="442" spans="1:13" ht="11.45" customHeight="1" x14ac:dyDescent="0.25">
      <c r="A442" s="15">
        <v>265</v>
      </c>
      <c r="B442" s="6">
        <v>44651</v>
      </c>
      <c r="C442" s="5">
        <v>9</v>
      </c>
      <c r="D442" s="5" t="str">
        <f>"2894"</f>
        <v>2894</v>
      </c>
      <c r="E442" s="7" t="str">
        <f>"Обязательства по операциям спот"</f>
        <v>Обязательства по операциям спот</v>
      </c>
      <c r="F442" s="5" t="str">
        <f>"1"</f>
        <v>1</v>
      </c>
      <c r="G442" s="5" t="str">
        <f>"5"</f>
        <v>5</v>
      </c>
      <c r="H442" s="5" t="str">
        <f>"1"</f>
        <v>1</v>
      </c>
      <c r="I442" s="16">
        <v>7469439610</v>
      </c>
      <c r="K442" s="23"/>
      <c r="M442" s="24"/>
    </row>
    <row r="443" spans="1:13" ht="11.45" customHeight="1" x14ac:dyDescent="0.25">
      <c r="A443" s="15">
        <v>518</v>
      </c>
      <c r="B443" s="6">
        <v>44651</v>
      </c>
      <c r="C443" s="5">
        <v>9</v>
      </c>
      <c r="D443" s="5" t="str">
        <f>"2894"</f>
        <v>2894</v>
      </c>
      <c r="E443" s="7" t="str">
        <f>"Обязательства по операциям спот"</f>
        <v>Обязательства по операциям спот</v>
      </c>
      <c r="F443" s="5" t="str">
        <f>"2"</f>
        <v>2</v>
      </c>
      <c r="G443" s="5" t="str">
        <f>"4"</f>
        <v>4</v>
      </c>
      <c r="H443" s="5" t="str">
        <f>"1"</f>
        <v>1</v>
      </c>
      <c r="I443" s="16">
        <v>117125000</v>
      </c>
      <c r="K443" s="23"/>
      <c r="M443" s="24"/>
    </row>
    <row r="444" spans="1:13" ht="11.45" customHeight="1" x14ac:dyDescent="0.25">
      <c r="A444" s="15">
        <v>473</v>
      </c>
      <c r="B444" s="6">
        <v>44651</v>
      </c>
      <c r="C444" s="5">
        <v>9</v>
      </c>
      <c r="D444" s="5" t="str">
        <f>"2894"</f>
        <v>2894</v>
      </c>
      <c r="E444" s="7" t="str">
        <f>"Обязательства по операциям спот"</f>
        <v>Обязательства по операциям спот</v>
      </c>
      <c r="F444" s="5" t="str">
        <f>"2"</f>
        <v>2</v>
      </c>
      <c r="G444" s="5" t="str">
        <f>"4"</f>
        <v>4</v>
      </c>
      <c r="H444" s="5" t="str">
        <f>"2"</f>
        <v>2</v>
      </c>
      <c r="I444" s="16">
        <v>11221274588.41</v>
      </c>
      <c r="K444" s="23"/>
      <c r="M444" s="24"/>
    </row>
    <row r="445" spans="1:13" ht="11.45" customHeight="1" x14ac:dyDescent="0.25">
      <c r="A445" s="15">
        <v>255</v>
      </c>
      <c r="B445" s="6">
        <v>44651</v>
      </c>
      <c r="C445" s="5">
        <v>9</v>
      </c>
      <c r="D445" s="5" t="str">
        <f>"2895"</f>
        <v>2895</v>
      </c>
      <c r="E445" s="7" t="str">
        <f>"Обязательства по операциям своп"</f>
        <v>Обязательства по операциям своп</v>
      </c>
      <c r="F445" s="5" t="str">
        <f>"1"</f>
        <v>1</v>
      </c>
      <c r="G445" s="5" t="str">
        <f>"5"</f>
        <v>5</v>
      </c>
      <c r="H445" s="5" t="str">
        <f>"1"</f>
        <v>1</v>
      </c>
      <c r="I445" s="16">
        <v>42206386200</v>
      </c>
      <c r="K445" s="23"/>
      <c r="M445" s="24"/>
    </row>
    <row r="446" spans="1:13" ht="11.45" customHeight="1" x14ac:dyDescent="0.25">
      <c r="A446" s="15">
        <v>111</v>
      </c>
      <c r="B446" s="6">
        <v>44651</v>
      </c>
      <c r="C446" s="5">
        <v>9</v>
      </c>
      <c r="D446" s="5" t="str">
        <f>"3001"</f>
        <v>3001</v>
      </c>
      <c r="E446" s="7" t="str">
        <f>"Уставный капитал – простые акции"</f>
        <v>Уставный капитал – простые акции</v>
      </c>
      <c r="F446" s="5" t="str">
        <f>""</f>
        <v/>
      </c>
      <c r="G446" s="5"/>
      <c r="H446" s="5" t="str">
        <f>""</f>
        <v/>
      </c>
      <c r="I446" s="16">
        <v>5484000000</v>
      </c>
      <c r="K446" s="23"/>
      <c r="M446" s="24"/>
    </row>
    <row r="447" spans="1:13" ht="11.45" customHeight="1" x14ac:dyDescent="0.25">
      <c r="A447" s="15">
        <v>530</v>
      </c>
      <c r="B447" s="6">
        <v>44651</v>
      </c>
      <c r="C447" s="5">
        <v>9</v>
      </c>
      <c r="D447" s="5" t="str">
        <f>"3101"</f>
        <v>3101</v>
      </c>
      <c r="E447" s="7" t="str">
        <f>"Дополнительный оплаченный капитал"</f>
        <v>Дополнительный оплаченный капитал</v>
      </c>
      <c r="F447" s="5" t="str">
        <f>""</f>
        <v/>
      </c>
      <c r="G447" s="5"/>
      <c r="H447" s="5" t="str">
        <f>""</f>
        <v/>
      </c>
      <c r="I447" s="16">
        <v>22185000</v>
      </c>
      <c r="K447" s="23"/>
      <c r="M447" s="24"/>
    </row>
    <row r="448" spans="1:13" ht="11.45" customHeight="1" x14ac:dyDescent="0.25">
      <c r="A448" s="15">
        <v>259</v>
      </c>
      <c r="B448" s="6">
        <v>44651</v>
      </c>
      <c r="C448" s="5">
        <v>9</v>
      </c>
      <c r="D448" s="5" t="str">
        <f>"3540"</f>
        <v>3540</v>
      </c>
      <c r="E448" s="7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448" s="5" t="str">
        <f>""</f>
        <v/>
      </c>
      <c r="G448" s="5"/>
      <c r="H448" s="5" t="str">
        <f>""</f>
        <v/>
      </c>
      <c r="I448" s="16">
        <v>626854960.63</v>
      </c>
      <c r="K448" s="23"/>
      <c r="M448" s="24"/>
    </row>
    <row r="449" spans="1:13" ht="11.45" customHeight="1" x14ac:dyDescent="0.25">
      <c r="A449" s="15">
        <v>600</v>
      </c>
      <c r="B449" s="6">
        <v>44651</v>
      </c>
      <c r="C449" s="5">
        <v>9</v>
      </c>
      <c r="D449" s="5" t="str">
        <f>"3561"</f>
        <v>3561</v>
      </c>
      <c r="E449" s="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49" s="5" t="str">
        <f>"1"</f>
        <v>1</v>
      </c>
      <c r="G449" s="5"/>
      <c r="H449" s="5" t="str">
        <f>"1"</f>
        <v>1</v>
      </c>
      <c r="I449" s="16">
        <v>-313392983.81999999</v>
      </c>
      <c r="K449" s="23"/>
      <c r="M449" s="24"/>
    </row>
    <row r="450" spans="1:13" ht="11.45" customHeight="1" x14ac:dyDescent="0.25">
      <c r="A450" s="15">
        <v>113</v>
      </c>
      <c r="B450" s="6">
        <v>44651</v>
      </c>
      <c r="C450" s="5">
        <v>9</v>
      </c>
      <c r="D450" s="5" t="str">
        <f>"3580"</f>
        <v>3580</v>
      </c>
      <c r="E450" s="7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50" s="5" t="str">
        <f>""</f>
        <v/>
      </c>
      <c r="G450" s="5"/>
      <c r="H450" s="5" t="str">
        <f>""</f>
        <v/>
      </c>
      <c r="I450" s="16">
        <v>118019776588.56</v>
      </c>
      <c r="K450" s="23"/>
      <c r="M450" s="24"/>
    </row>
    <row r="451" spans="1:13" ht="11.45" customHeight="1" x14ac:dyDescent="0.25">
      <c r="A451" s="15">
        <v>119</v>
      </c>
      <c r="B451" s="6">
        <v>44651</v>
      </c>
      <c r="C451" s="5">
        <v>9</v>
      </c>
      <c r="D451" s="5" t="str">
        <f>"3599"</f>
        <v>3599</v>
      </c>
      <c r="E451" s="7" t="str">
        <f>"Нераспределенная чистая прибыль (непокрытый убыток)"</f>
        <v>Нераспределенная чистая прибыль (непокрытый убыток)</v>
      </c>
      <c r="F451" s="5" t="str">
        <f>""</f>
        <v/>
      </c>
      <c r="G451" s="5"/>
      <c r="H451" s="5" t="str">
        <f>""</f>
        <v/>
      </c>
      <c r="I451" s="16">
        <v>10326212083.559999</v>
      </c>
      <c r="K451" s="23"/>
      <c r="M451" s="24"/>
    </row>
    <row r="452" spans="1:13" ht="11.45" customHeight="1" x14ac:dyDescent="0.25">
      <c r="A452" s="15">
        <v>456</v>
      </c>
      <c r="B452" s="6">
        <v>44651</v>
      </c>
      <c r="C452" s="5">
        <v>9</v>
      </c>
      <c r="D452" s="5" t="str">
        <f>"4052"</f>
        <v>4052</v>
      </c>
      <c r="E452" s="7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52" s="5" t="str">
        <f>""</f>
        <v/>
      </c>
      <c r="G452" s="5"/>
      <c r="H452" s="5" t="str">
        <f>""</f>
        <v/>
      </c>
      <c r="I452" s="16">
        <v>24171439.870000001</v>
      </c>
      <c r="K452" s="23"/>
      <c r="M452" s="24"/>
    </row>
    <row r="453" spans="1:13" ht="11.45" customHeight="1" x14ac:dyDescent="0.25">
      <c r="A453" s="15">
        <v>261</v>
      </c>
      <c r="B453" s="6">
        <v>44651</v>
      </c>
      <c r="C453" s="5">
        <v>9</v>
      </c>
      <c r="D453" s="5" t="str">
        <f>"4103"</f>
        <v>4103</v>
      </c>
      <c r="E453" s="7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453" s="5" t="str">
        <f>""</f>
        <v/>
      </c>
      <c r="G453" s="5"/>
      <c r="H453" s="5" t="str">
        <f>""</f>
        <v/>
      </c>
      <c r="I453" s="16">
        <v>26346875.579999998</v>
      </c>
      <c r="K453" s="23"/>
      <c r="M453" s="24"/>
    </row>
    <row r="454" spans="1:13" ht="11.45" customHeight="1" x14ac:dyDescent="0.25">
      <c r="A454" s="15">
        <v>115</v>
      </c>
      <c r="B454" s="6">
        <v>44651</v>
      </c>
      <c r="C454" s="5">
        <v>9</v>
      </c>
      <c r="D454" s="5" t="str">
        <f>"4251"</f>
        <v>4251</v>
      </c>
      <c r="E454" s="7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454" s="5" t="str">
        <f>""</f>
        <v/>
      </c>
      <c r="G454" s="5"/>
      <c r="H454" s="5" t="str">
        <f>""</f>
        <v/>
      </c>
      <c r="I454" s="16">
        <v>55233790.880000003</v>
      </c>
      <c r="K454" s="23"/>
      <c r="M454" s="24"/>
    </row>
    <row r="455" spans="1:13" ht="11.45" customHeight="1" x14ac:dyDescent="0.25">
      <c r="A455" s="15">
        <v>262</v>
      </c>
      <c r="B455" s="6">
        <v>44651</v>
      </c>
      <c r="C455" s="5">
        <v>9</v>
      </c>
      <c r="D455" s="5" t="str">
        <f>"4253"</f>
        <v>4253</v>
      </c>
      <c r="E455" s="7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55" s="5" t="str">
        <f>""</f>
        <v/>
      </c>
      <c r="G455" s="5"/>
      <c r="H455" s="5" t="str">
        <f>""</f>
        <v/>
      </c>
      <c r="I455" s="16">
        <v>20446027.379999999</v>
      </c>
      <c r="K455" s="23"/>
      <c r="M455" s="24"/>
    </row>
    <row r="456" spans="1:13" ht="11.45" customHeight="1" x14ac:dyDescent="0.25">
      <c r="A456" s="15">
        <v>490</v>
      </c>
      <c r="B456" s="6">
        <v>44651</v>
      </c>
      <c r="C456" s="5">
        <v>9</v>
      </c>
      <c r="D456" s="5" t="str">
        <f>"4254"</f>
        <v>4254</v>
      </c>
      <c r="E456" s="7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456" s="5" t="str">
        <f>""</f>
        <v/>
      </c>
      <c r="G456" s="5"/>
      <c r="H456" s="5" t="str">
        <f>""</f>
        <v/>
      </c>
      <c r="I456" s="16">
        <v>51414875</v>
      </c>
      <c r="K456" s="23"/>
      <c r="M456" s="24"/>
    </row>
    <row r="457" spans="1:13" ht="11.45" customHeight="1" x14ac:dyDescent="0.25">
      <c r="A457" s="15">
        <v>491</v>
      </c>
      <c r="B457" s="6">
        <v>44651</v>
      </c>
      <c r="C457" s="5">
        <v>9</v>
      </c>
      <c r="D457" s="5" t="str">
        <f>"4265"</f>
        <v>4265</v>
      </c>
      <c r="E457" s="7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457" s="5" t="str">
        <f>""</f>
        <v/>
      </c>
      <c r="G457" s="5"/>
      <c r="H457" s="5" t="str">
        <f>""</f>
        <v/>
      </c>
      <c r="I457" s="16">
        <v>707261.03</v>
      </c>
      <c r="K457" s="23"/>
      <c r="M457" s="24"/>
    </row>
    <row r="458" spans="1:13" ht="11.45" customHeight="1" x14ac:dyDescent="0.25">
      <c r="A458" s="15">
        <v>366</v>
      </c>
      <c r="B458" s="6">
        <v>44651</v>
      </c>
      <c r="C458" s="5">
        <v>9</v>
      </c>
      <c r="D458" s="5" t="str">
        <f>"4267"</f>
        <v>4267</v>
      </c>
      <c r="E458" s="7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F458" s="5" t="str">
        <f>""</f>
        <v/>
      </c>
      <c r="G458" s="5"/>
      <c r="H458" s="5" t="str">
        <f>""</f>
        <v/>
      </c>
      <c r="I458" s="16">
        <v>4103.76</v>
      </c>
      <c r="K458" s="23"/>
      <c r="M458" s="24"/>
    </row>
    <row r="459" spans="1:13" ht="11.45" customHeight="1" x14ac:dyDescent="0.25">
      <c r="A459" s="15">
        <v>270</v>
      </c>
      <c r="B459" s="6">
        <v>44651</v>
      </c>
      <c r="C459" s="5">
        <v>9</v>
      </c>
      <c r="D459" s="5" t="str">
        <f>"4302"</f>
        <v>4302</v>
      </c>
      <c r="E459" s="7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459" s="5" t="str">
        <f>""</f>
        <v/>
      </c>
      <c r="G459" s="5"/>
      <c r="H459" s="5" t="str">
        <f>""</f>
        <v/>
      </c>
      <c r="I459" s="16">
        <v>79572304.769999996</v>
      </c>
      <c r="K459" s="23"/>
      <c r="M459" s="24"/>
    </row>
    <row r="460" spans="1:13" ht="11.45" customHeight="1" x14ac:dyDescent="0.25">
      <c r="A460" s="15">
        <v>121</v>
      </c>
      <c r="B460" s="6">
        <v>44651</v>
      </c>
      <c r="C460" s="5">
        <v>9</v>
      </c>
      <c r="D460" s="5" t="str">
        <f>"4303"</f>
        <v>4303</v>
      </c>
      <c r="E460" s="7" t="str">
        <f>"Доходы, связанные с получением вознаграждения по займам овернайт, предоставленным другим банкам"</f>
        <v>Доходы, связанные с получением вознаграждения по займам овернайт, предоставленным другим банкам</v>
      </c>
      <c r="F460" s="5" t="str">
        <f>""</f>
        <v/>
      </c>
      <c r="G460" s="5"/>
      <c r="H460" s="5" t="str">
        <f>""</f>
        <v/>
      </c>
      <c r="I460" s="16">
        <v>25490288.100000001</v>
      </c>
      <c r="K460" s="23"/>
      <c r="M460" s="24"/>
    </row>
    <row r="461" spans="1:13" ht="11.45" customHeight="1" x14ac:dyDescent="0.25">
      <c r="A461" s="15">
        <v>445</v>
      </c>
      <c r="B461" s="6">
        <v>44651</v>
      </c>
      <c r="C461" s="5">
        <v>9</v>
      </c>
      <c r="D461" s="5" t="str">
        <f>"4401"</f>
        <v>4401</v>
      </c>
      <c r="E461" s="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61" s="5" t="str">
        <f>""</f>
        <v/>
      </c>
      <c r="G461" s="5"/>
      <c r="H461" s="5" t="str">
        <f>""</f>
        <v/>
      </c>
      <c r="I461" s="16">
        <v>51638290.329999998</v>
      </c>
      <c r="K461" s="23"/>
      <c r="M461" s="24"/>
    </row>
    <row r="462" spans="1:13" ht="11.45" customHeight="1" x14ac:dyDescent="0.25">
      <c r="A462" s="15">
        <v>553</v>
      </c>
      <c r="B462" s="6">
        <v>44651</v>
      </c>
      <c r="C462" s="5">
        <v>9</v>
      </c>
      <c r="D462" s="5" t="str">
        <f>"4403"</f>
        <v>4403</v>
      </c>
      <c r="E462" s="7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62" s="5" t="str">
        <f>""</f>
        <v/>
      </c>
      <c r="G462" s="5"/>
      <c r="H462" s="5" t="str">
        <f>""</f>
        <v/>
      </c>
      <c r="I462" s="16">
        <v>1366231118.1800001</v>
      </c>
      <c r="K462" s="23"/>
      <c r="M462" s="24"/>
    </row>
    <row r="463" spans="1:13" ht="11.45" customHeight="1" x14ac:dyDescent="0.25">
      <c r="A463" s="15">
        <v>120</v>
      </c>
      <c r="B463" s="6">
        <v>44651</v>
      </c>
      <c r="C463" s="5">
        <v>9</v>
      </c>
      <c r="D463" s="5" t="str">
        <f>"4407"</f>
        <v>4407</v>
      </c>
      <c r="E463" s="7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463" s="5" t="str">
        <f>""</f>
        <v/>
      </c>
      <c r="G463" s="5"/>
      <c r="H463" s="5" t="str">
        <f>""</f>
        <v/>
      </c>
      <c r="I463" s="16">
        <v>1339052370.6900001</v>
      </c>
      <c r="K463" s="23"/>
      <c r="M463" s="24"/>
    </row>
    <row r="464" spans="1:13" ht="11.45" customHeight="1" x14ac:dyDescent="0.25">
      <c r="A464" s="15">
        <v>386</v>
      </c>
      <c r="B464" s="6">
        <v>44651</v>
      </c>
      <c r="C464" s="5">
        <v>9</v>
      </c>
      <c r="D464" s="5" t="str">
        <f>"4411"</f>
        <v>4411</v>
      </c>
      <c r="E464" s="7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64" s="5" t="str">
        <f>""</f>
        <v/>
      </c>
      <c r="G464" s="5"/>
      <c r="H464" s="5" t="str">
        <f>""</f>
        <v/>
      </c>
      <c r="I464" s="16">
        <v>3763807690.5799999</v>
      </c>
      <c r="K464" s="23"/>
      <c r="M464" s="24"/>
    </row>
    <row r="465" spans="1:13" ht="11.45" customHeight="1" x14ac:dyDescent="0.25">
      <c r="A465" s="15">
        <v>271</v>
      </c>
      <c r="B465" s="6">
        <v>44651</v>
      </c>
      <c r="C465" s="5">
        <v>9</v>
      </c>
      <c r="D465" s="5" t="str">
        <f>"4417"</f>
        <v>4417</v>
      </c>
      <c r="E465" s="7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65" s="5" t="str">
        <f>""</f>
        <v/>
      </c>
      <c r="G465" s="5"/>
      <c r="H465" s="5" t="str">
        <f>""</f>
        <v/>
      </c>
      <c r="I465" s="16">
        <v>14573255625.870001</v>
      </c>
      <c r="K465" s="23"/>
      <c r="M465" s="24"/>
    </row>
    <row r="466" spans="1:13" ht="11.45" customHeight="1" x14ac:dyDescent="0.25">
      <c r="A466" s="15">
        <v>268</v>
      </c>
      <c r="B466" s="6">
        <v>44651</v>
      </c>
      <c r="C466" s="5">
        <v>9</v>
      </c>
      <c r="D466" s="5" t="str">
        <f>"4424"</f>
        <v>4424</v>
      </c>
      <c r="E466" s="7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66" s="5" t="str">
        <f>""</f>
        <v/>
      </c>
      <c r="G466" s="5"/>
      <c r="H466" s="5" t="str">
        <f>""</f>
        <v/>
      </c>
      <c r="I466" s="16">
        <v>244266472.28999999</v>
      </c>
      <c r="K466" s="23"/>
      <c r="M466" s="24"/>
    </row>
    <row r="467" spans="1:13" ht="11.45" customHeight="1" x14ac:dyDescent="0.25">
      <c r="A467" s="15">
        <v>532</v>
      </c>
      <c r="B467" s="6">
        <v>44651</v>
      </c>
      <c r="C467" s="5">
        <v>9</v>
      </c>
      <c r="D467" s="5" t="str">
        <f>"4429"</f>
        <v>4429</v>
      </c>
      <c r="E467" s="7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67" s="5" t="str">
        <f>""</f>
        <v/>
      </c>
      <c r="G467" s="5"/>
      <c r="H467" s="5" t="str">
        <f>""</f>
        <v/>
      </c>
      <c r="I467" s="16">
        <v>33144763.260000002</v>
      </c>
      <c r="K467" s="23"/>
      <c r="M467" s="24"/>
    </row>
    <row r="468" spans="1:13" ht="11.45" customHeight="1" x14ac:dyDescent="0.25">
      <c r="A468" s="15">
        <v>367</v>
      </c>
      <c r="B468" s="6">
        <v>44651</v>
      </c>
      <c r="C468" s="5">
        <v>9</v>
      </c>
      <c r="D468" s="5" t="str">
        <f>"4434"</f>
        <v>4434</v>
      </c>
      <c r="E468" s="7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468" s="5" t="str">
        <f>""</f>
        <v/>
      </c>
      <c r="G468" s="5"/>
      <c r="H468" s="5" t="str">
        <f>""</f>
        <v/>
      </c>
      <c r="I468" s="16">
        <v>2202634557.4499998</v>
      </c>
      <c r="K468" s="23"/>
      <c r="M468" s="24"/>
    </row>
    <row r="469" spans="1:13" ht="11.45" customHeight="1" x14ac:dyDescent="0.25">
      <c r="A469" s="15">
        <v>275</v>
      </c>
      <c r="B469" s="6">
        <v>44651</v>
      </c>
      <c r="C469" s="5">
        <v>9</v>
      </c>
      <c r="D469" s="5" t="str">
        <f>"4440"</f>
        <v>4440</v>
      </c>
      <c r="E469" s="7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469" s="5" t="str">
        <f>""</f>
        <v/>
      </c>
      <c r="G469" s="5"/>
      <c r="H469" s="5" t="str">
        <f>""</f>
        <v/>
      </c>
      <c r="I469" s="16">
        <v>95307540.319999993</v>
      </c>
      <c r="K469" s="23"/>
      <c r="M469" s="24"/>
    </row>
    <row r="470" spans="1:13" ht="11.45" customHeight="1" x14ac:dyDescent="0.25">
      <c r="A470" s="15">
        <v>274</v>
      </c>
      <c r="B470" s="6">
        <v>44651</v>
      </c>
      <c r="C470" s="5">
        <v>9</v>
      </c>
      <c r="D470" s="5" t="str">
        <f>"4452"</f>
        <v>4452</v>
      </c>
      <c r="E470" s="7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70" s="5" t="str">
        <f>""</f>
        <v/>
      </c>
      <c r="G470" s="5"/>
      <c r="H470" s="5" t="str">
        <f>""</f>
        <v/>
      </c>
      <c r="I470" s="16">
        <v>232380670.66</v>
      </c>
      <c r="K470" s="23"/>
      <c r="M470" s="24"/>
    </row>
    <row r="471" spans="1:13" ht="11.45" customHeight="1" x14ac:dyDescent="0.25">
      <c r="A471" s="15">
        <v>273</v>
      </c>
      <c r="B471" s="6">
        <v>44651</v>
      </c>
      <c r="C471" s="5">
        <v>9</v>
      </c>
      <c r="D471" s="5" t="str">
        <f>"4453"</f>
        <v>4453</v>
      </c>
      <c r="E471" s="7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71" s="5" t="str">
        <f>""</f>
        <v/>
      </c>
      <c r="G471" s="5"/>
      <c r="H471" s="5" t="str">
        <f>""</f>
        <v/>
      </c>
      <c r="I471" s="16">
        <v>173301605.41999999</v>
      </c>
      <c r="K471" s="23"/>
      <c r="M471" s="24"/>
    </row>
    <row r="472" spans="1:13" ht="11.45" customHeight="1" x14ac:dyDescent="0.25">
      <c r="A472" s="15">
        <v>434</v>
      </c>
      <c r="B472" s="6">
        <v>44651</v>
      </c>
      <c r="C472" s="5">
        <v>9</v>
      </c>
      <c r="D472" s="5" t="str">
        <f>"4465"</f>
        <v>4465</v>
      </c>
      <c r="E472" s="7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472" s="5" t="str">
        <f>""</f>
        <v/>
      </c>
      <c r="G472" s="5"/>
      <c r="H472" s="5" t="str">
        <f>""</f>
        <v/>
      </c>
      <c r="I472" s="16">
        <v>94640643.450000003</v>
      </c>
      <c r="K472" s="23"/>
      <c r="M472" s="24"/>
    </row>
    <row r="473" spans="1:13" ht="11.45" customHeight="1" x14ac:dyDescent="0.25">
      <c r="A473" s="15">
        <v>519</v>
      </c>
      <c r="B473" s="6">
        <v>44651</v>
      </c>
      <c r="C473" s="5">
        <v>9</v>
      </c>
      <c r="D473" s="5" t="str">
        <f>"4481"</f>
        <v>4481</v>
      </c>
      <c r="E473" s="7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473" s="5" t="str">
        <f>""</f>
        <v/>
      </c>
      <c r="G473" s="5"/>
      <c r="H473" s="5" t="str">
        <f>""</f>
        <v/>
      </c>
      <c r="I473" s="16">
        <v>441376038.02999997</v>
      </c>
      <c r="K473" s="23"/>
      <c r="M473" s="24"/>
    </row>
    <row r="474" spans="1:13" ht="11.45" customHeight="1" x14ac:dyDescent="0.25">
      <c r="A474" s="15">
        <v>436</v>
      </c>
      <c r="B474" s="6">
        <v>44651</v>
      </c>
      <c r="C474" s="5">
        <v>9</v>
      </c>
      <c r="D474" s="5" t="str">
        <f>"4482"</f>
        <v>4482</v>
      </c>
      <c r="E474" s="7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474" s="5" t="str">
        <f>""</f>
        <v/>
      </c>
      <c r="G474" s="5"/>
      <c r="H474" s="5" t="str">
        <f>""</f>
        <v/>
      </c>
      <c r="I474" s="16">
        <v>487300324.88</v>
      </c>
      <c r="K474" s="23"/>
      <c r="M474" s="24"/>
    </row>
    <row r="475" spans="1:13" ht="11.45" customHeight="1" x14ac:dyDescent="0.25">
      <c r="A475" s="15">
        <v>269</v>
      </c>
      <c r="B475" s="6">
        <v>44651</v>
      </c>
      <c r="C475" s="5">
        <v>9</v>
      </c>
      <c r="D475" s="5" t="str">
        <f>"4492"</f>
        <v>4492</v>
      </c>
      <c r="E475" s="7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475" s="5" t="str">
        <f>""</f>
        <v/>
      </c>
      <c r="G475" s="5"/>
      <c r="H475" s="5" t="str">
        <f>""</f>
        <v/>
      </c>
      <c r="I475" s="16">
        <v>8027570.9199999999</v>
      </c>
      <c r="K475" s="23"/>
      <c r="M475" s="24"/>
    </row>
    <row r="476" spans="1:13" ht="11.45" customHeight="1" x14ac:dyDescent="0.25">
      <c r="A476" s="15">
        <v>435</v>
      </c>
      <c r="B476" s="6">
        <v>44651</v>
      </c>
      <c r="C476" s="5">
        <v>9</v>
      </c>
      <c r="D476" s="5" t="str">
        <f>"4530"</f>
        <v>4530</v>
      </c>
      <c r="E476" s="7" t="str">
        <f>"Доходы по купле-продаже иностранной валюты"</f>
        <v>Доходы по купле-продаже иностранной валюты</v>
      </c>
      <c r="F476" s="5" t="str">
        <f>""</f>
        <v/>
      </c>
      <c r="G476" s="5"/>
      <c r="H476" s="5" t="str">
        <f>""</f>
        <v/>
      </c>
      <c r="I476" s="16">
        <v>18576822169.119999</v>
      </c>
      <c r="K476" s="23"/>
      <c r="M476" s="24"/>
    </row>
    <row r="477" spans="1:13" ht="11.45" customHeight="1" x14ac:dyDescent="0.25">
      <c r="A477" s="15">
        <v>128</v>
      </c>
      <c r="B477" s="6">
        <v>44651</v>
      </c>
      <c r="C477" s="5">
        <v>9</v>
      </c>
      <c r="D477" s="5" t="str">
        <f>"4570"</f>
        <v>4570</v>
      </c>
      <c r="E477" s="7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77" s="5" t="str">
        <f>""</f>
        <v/>
      </c>
      <c r="G477" s="5"/>
      <c r="H477" s="5" t="str">
        <f>""</f>
        <v/>
      </c>
      <c r="I477" s="16">
        <v>445580000</v>
      </c>
      <c r="K477" s="23"/>
      <c r="M477" s="24"/>
    </row>
    <row r="478" spans="1:13" ht="11.45" customHeight="1" x14ac:dyDescent="0.25">
      <c r="A478" s="15">
        <v>520</v>
      </c>
      <c r="B478" s="6">
        <v>44651</v>
      </c>
      <c r="C478" s="5">
        <v>9</v>
      </c>
      <c r="D478" s="5" t="str">
        <f>"4601"</f>
        <v>4601</v>
      </c>
      <c r="E478" s="7" t="str">
        <f>"Комиссионные доходы за услуги по переводным операциям"</f>
        <v>Комиссионные доходы за услуги по переводным операциям</v>
      </c>
      <c r="F478" s="5" t="str">
        <f>""</f>
        <v/>
      </c>
      <c r="G478" s="5"/>
      <c r="H478" s="5" t="str">
        <f>""</f>
        <v/>
      </c>
      <c r="I478" s="16">
        <v>845762742.88999999</v>
      </c>
      <c r="K478" s="23"/>
      <c r="M478" s="24"/>
    </row>
    <row r="479" spans="1:13" ht="11.45" customHeight="1" x14ac:dyDescent="0.25">
      <c r="A479" s="15">
        <v>124</v>
      </c>
      <c r="B479" s="6">
        <v>44651</v>
      </c>
      <c r="C479" s="5">
        <v>9</v>
      </c>
      <c r="D479" s="5" t="str">
        <f>"4603"</f>
        <v>4603</v>
      </c>
      <c r="E479" s="7" t="str">
        <f>"Комиссионные доходы за услуги по купле-продаже ценных бумаг"</f>
        <v>Комиссионные доходы за услуги по купле-продаже ценных бумаг</v>
      </c>
      <c r="F479" s="5" t="str">
        <f>""</f>
        <v/>
      </c>
      <c r="G479" s="5"/>
      <c r="H479" s="5" t="str">
        <f>""</f>
        <v/>
      </c>
      <c r="I479" s="16">
        <v>22212703.5</v>
      </c>
      <c r="K479" s="23"/>
      <c r="M479" s="24"/>
    </row>
    <row r="480" spans="1:13" ht="11.45" customHeight="1" x14ac:dyDescent="0.25">
      <c r="A480" s="15">
        <v>331</v>
      </c>
      <c r="B480" s="6">
        <v>44651</v>
      </c>
      <c r="C480" s="5">
        <v>9</v>
      </c>
      <c r="D480" s="5" t="str">
        <f>"4604"</f>
        <v>4604</v>
      </c>
      <c r="E480" s="7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80" s="5" t="str">
        <f>""</f>
        <v/>
      </c>
      <c r="G480" s="5"/>
      <c r="H480" s="5" t="str">
        <f>""</f>
        <v/>
      </c>
      <c r="I480" s="16">
        <v>358765512.66000003</v>
      </c>
      <c r="K480" s="23"/>
      <c r="M480" s="24"/>
    </row>
    <row r="481" spans="1:13" ht="11.45" customHeight="1" x14ac:dyDescent="0.25">
      <c r="A481" s="15">
        <v>310</v>
      </c>
      <c r="B481" s="6">
        <v>44651</v>
      </c>
      <c r="C481" s="5">
        <v>9</v>
      </c>
      <c r="D481" s="5" t="str">
        <f>"4606"</f>
        <v>4606</v>
      </c>
      <c r="E481" s="7" t="str">
        <f>"Комиссионные доходы за услуги по операциям с гарантиями"</f>
        <v>Комиссионные доходы за услуги по операциям с гарантиями</v>
      </c>
      <c r="F481" s="5" t="str">
        <f>""</f>
        <v/>
      </c>
      <c r="G481" s="5"/>
      <c r="H481" s="5" t="str">
        <f>""</f>
        <v/>
      </c>
      <c r="I481" s="16">
        <v>333280067.58999997</v>
      </c>
      <c r="K481" s="23"/>
      <c r="M481" s="24"/>
    </row>
    <row r="482" spans="1:13" ht="11.45" customHeight="1" x14ac:dyDescent="0.25">
      <c r="A482" s="15">
        <v>123</v>
      </c>
      <c r="B482" s="6">
        <v>44651</v>
      </c>
      <c r="C482" s="5">
        <v>9</v>
      </c>
      <c r="D482" s="5" t="str">
        <f>"4607"</f>
        <v>4607</v>
      </c>
      <c r="E482" s="7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82" s="5" t="str">
        <f>""</f>
        <v/>
      </c>
      <c r="G482" s="5"/>
      <c r="H482" s="5" t="str">
        <f>""</f>
        <v/>
      </c>
      <c r="I482" s="16">
        <v>2098473910.27</v>
      </c>
      <c r="K482" s="23"/>
      <c r="M482" s="24"/>
    </row>
    <row r="483" spans="1:13" ht="11.45" customHeight="1" x14ac:dyDescent="0.25">
      <c r="A483" s="15">
        <v>277</v>
      </c>
      <c r="B483" s="6">
        <v>44651</v>
      </c>
      <c r="C483" s="5">
        <v>9</v>
      </c>
      <c r="D483" s="5" t="str">
        <f>"4608"</f>
        <v>4608</v>
      </c>
      <c r="E483" s="7" t="str">
        <f>"Прочие комиссионные доходы"</f>
        <v>Прочие комиссионные доходы</v>
      </c>
      <c r="F483" s="5" t="str">
        <f>""</f>
        <v/>
      </c>
      <c r="G483" s="5"/>
      <c r="H483" s="5" t="str">
        <f>""</f>
        <v/>
      </c>
      <c r="I483" s="16">
        <v>3092176797.6100001</v>
      </c>
      <c r="K483" s="23"/>
      <c r="M483" s="24"/>
    </row>
    <row r="484" spans="1:13" ht="11.45" customHeight="1" x14ac:dyDescent="0.25">
      <c r="A484" s="15">
        <v>521</v>
      </c>
      <c r="B484" s="6">
        <v>44651</v>
      </c>
      <c r="C484" s="5">
        <v>9</v>
      </c>
      <c r="D484" s="5" t="str">
        <f>"4609"</f>
        <v>4609</v>
      </c>
      <c r="E484" s="7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484" s="5" t="str">
        <f>""</f>
        <v/>
      </c>
      <c r="G484" s="5"/>
      <c r="H484" s="5" t="str">
        <f>""</f>
        <v/>
      </c>
      <c r="I484" s="16">
        <v>2834.73</v>
      </c>
      <c r="K484" s="23"/>
      <c r="M484" s="24"/>
    </row>
    <row r="485" spans="1:13" ht="11.45" customHeight="1" x14ac:dyDescent="0.25">
      <c r="A485" s="15">
        <v>492</v>
      </c>
      <c r="B485" s="6">
        <v>44651</v>
      </c>
      <c r="C485" s="5">
        <v>9</v>
      </c>
      <c r="D485" s="5" t="str">
        <f>"4611"</f>
        <v>4611</v>
      </c>
      <c r="E485" s="7" t="str">
        <f>"Комиссионные доходы за услуги по кассовым операциям"</f>
        <v>Комиссионные доходы за услуги по кассовым операциям</v>
      </c>
      <c r="F485" s="5" t="str">
        <f>""</f>
        <v/>
      </c>
      <c r="G485" s="5"/>
      <c r="H485" s="5" t="str">
        <f>""</f>
        <v/>
      </c>
      <c r="I485" s="16">
        <v>880211170.15999997</v>
      </c>
      <c r="K485" s="23"/>
      <c r="M485" s="24"/>
    </row>
    <row r="486" spans="1:13" ht="11.45" customHeight="1" x14ac:dyDescent="0.25">
      <c r="A486" s="15">
        <v>533</v>
      </c>
      <c r="B486" s="6">
        <v>44651</v>
      </c>
      <c r="C486" s="5">
        <v>9</v>
      </c>
      <c r="D486" s="5" t="str">
        <f>"4612"</f>
        <v>4612</v>
      </c>
      <c r="E486" s="7" t="str">
        <f>"Комиссионные доходы по документарным расчетам"</f>
        <v>Комиссионные доходы по документарным расчетам</v>
      </c>
      <c r="F486" s="5" t="str">
        <f>""</f>
        <v/>
      </c>
      <c r="G486" s="5"/>
      <c r="H486" s="5" t="str">
        <f>""</f>
        <v/>
      </c>
      <c r="I486" s="16">
        <v>37873901.530000001</v>
      </c>
      <c r="K486" s="23"/>
      <c r="M486" s="24"/>
    </row>
    <row r="487" spans="1:13" ht="11.45" customHeight="1" x14ac:dyDescent="0.25">
      <c r="A487" s="15">
        <v>457</v>
      </c>
      <c r="B487" s="6">
        <v>44651</v>
      </c>
      <c r="C487" s="5">
        <v>9</v>
      </c>
      <c r="D487" s="5" t="str">
        <f>"4614"</f>
        <v>4614</v>
      </c>
      <c r="E487" s="7" t="str">
        <f>"Комиссионные доходы за услуги по факторинговым операциям"</f>
        <v>Комиссионные доходы за услуги по факторинговым операциям</v>
      </c>
      <c r="F487" s="5" t="str">
        <f>""</f>
        <v/>
      </c>
      <c r="G487" s="5"/>
      <c r="H487" s="5" t="str">
        <f>""</f>
        <v/>
      </c>
      <c r="I487" s="16">
        <v>4941407.5999999996</v>
      </c>
      <c r="K487" s="23"/>
      <c r="M487" s="24"/>
    </row>
    <row r="488" spans="1:13" ht="11.45" customHeight="1" x14ac:dyDescent="0.25">
      <c r="A488" s="15">
        <v>125</v>
      </c>
      <c r="B488" s="6">
        <v>44651</v>
      </c>
      <c r="C488" s="5">
        <v>9</v>
      </c>
      <c r="D488" s="5" t="str">
        <f>"4615"</f>
        <v>4615</v>
      </c>
      <c r="E488" s="7" t="str">
        <f>"Комиссионные доходы за услуги по инкассации"</f>
        <v>Комиссионные доходы за услуги по инкассации</v>
      </c>
      <c r="F488" s="5" t="str">
        <f>""</f>
        <v/>
      </c>
      <c r="G488" s="5"/>
      <c r="H488" s="5" t="str">
        <f>""</f>
        <v/>
      </c>
      <c r="I488" s="16">
        <v>26614936.120000001</v>
      </c>
      <c r="K488" s="23"/>
      <c r="M488" s="24"/>
    </row>
    <row r="489" spans="1:13" ht="11.45" customHeight="1" x14ac:dyDescent="0.25">
      <c r="A489" s="15">
        <v>601</v>
      </c>
      <c r="B489" s="6">
        <v>44651</v>
      </c>
      <c r="C489" s="5">
        <v>9</v>
      </c>
      <c r="D489" s="5" t="str">
        <f>"4617"</f>
        <v>4617</v>
      </c>
      <c r="E489" s="7" t="str">
        <f>"Комиссионные доходы за услуги по сейфовым операциям"</f>
        <v>Комиссионные доходы за услуги по сейфовым операциям</v>
      </c>
      <c r="F489" s="5" t="str">
        <f>""</f>
        <v/>
      </c>
      <c r="G489" s="5"/>
      <c r="H489" s="5" t="str">
        <f>""</f>
        <v/>
      </c>
      <c r="I489" s="16">
        <v>7866852.7699999996</v>
      </c>
      <c r="K489" s="23"/>
      <c r="M489" s="24"/>
    </row>
    <row r="490" spans="1:13" ht="11.45" customHeight="1" x14ac:dyDescent="0.25">
      <c r="A490" s="15">
        <v>276</v>
      </c>
      <c r="B490" s="6">
        <v>44651</v>
      </c>
      <c r="C490" s="5">
        <v>9</v>
      </c>
      <c r="D490" s="5" t="str">
        <f>"4703"</f>
        <v>4703</v>
      </c>
      <c r="E490" s="7" t="str">
        <f>"Доход от переоценки иностранной валюты"</f>
        <v>Доход от переоценки иностранной валюты</v>
      </c>
      <c r="F490" s="5" t="str">
        <f>""</f>
        <v/>
      </c>
      <c r="G490" s="5"/>
      <c r="H490" s="5" t="str">
        <f>""</f>
        <v/>
      </c>
      <c r="I490" s="16">
        <v>5773373991.2700005</v>
      </c>
      <c r="K490" s="23"/>
      <c r="M490" s="24"/>
    </row>
    <row r="491" spans="1:13" ht="11.45" customHeight="1" x14ac:dyDescent="0.25">
      <c r="A491" s="15">
        <v>493</v>
      </c>
      <c r="B491" s="6">
        <v>44651</v>
      </c>
      <c r="C491" s="5">
        <v>9</v>
      </c>
      <c r="D491" s="5" t="str">
        <f>"4734"</f>
        <v>4734</v>
      </c>
      <c r="E491" s="7" t="str">
        <f>"Доходы от прочей переоценки"</f>
        <v>Доходы от прочей переоценки</v>
      </c>
      <c r="F491" s="5" t="str">
        <f>""</f>
        <v/>
      </c>
      <c r="G491" s="5"/>
      <c r="H491" s="5" t="str">
        <f>""</f>
        <v/>
      </c>
      <c r="I491" s="16">
        <v>2281280.5</v>
      </c>
      <c r="K491" s="23"/>
      <c r="M491" s="24"/>
    </row>
    <row r="492" spans="1:13" ht="11.45" customHeight="1" x14ac:dyDescent="0.25">
      <c r="A492" s="15">
        <v>583</v>
      </c>
      <c r="B492" s="6">
        <v>44651</v>
      </c>
      <c r="C492" s="5">
        <v>9</v>
      </c>
      <c r="D492" s="5" t="str">
        <f>"4852"</f>
        <v>4852</v>
      </c>
      <c r="E492" s="7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92" s="5" t="str">
        <f>""</f>
        <v/>
      </c>
      <c r="G492" s="5"/>
      <c r="H492" s="5" t="str">
        <f>""</f>
        <v/>
      </c>
      <c r="I492" s="16">
        <v>148214.44</v>
      </c>
      <c r="K492" s="23"/>
      <c r="M492" s="24"/>
    </row>
    <row r="493" spans="1:13" ht="11.45" customHeight="1" x14ac:dyDescent="0.25">
      <c r="A493" s="15">
        <v>281</v>
      </c>
      <c r="B493" s="6">
        <v>44651</v>
      </c>
      <c r="C493" s="5">
        <v>9</v>
      </c>
      <c r="D493" s="5" t="str">
        <f>"4892"</f>
        <v>4892</v>
      </c>
      <c r="E493" s="7" t="str">
        <f>"Доходы по операциям форвард"</f>
        <v>Доходы по операциям форвард</v>
      </c>
      <c r="F493" s="5" t="str">
        <f>""</f>
        <v/>
      </c>
      <c r="G493" s="5"/>
      <c r="H493" s="5" t="str">
        <f>""</f>
        <v/>
      </c>
      <c r="I493" s="16">
        <v>52110576.530000001</v>
      </c>
      <c r="K493" s="23"/>
      <c r="M493" s="24"/>
    </row>
    <row r="494" spans="1:13" ht="11.45" customHeight="1" x14ac:dyDescent="0.25">
      <c r="A494" s="15">
        <v>280</v>
      </c>
      <c r="B494" s="6">
        <v>44651</v>
      </c>
      <c r="C494" s="5">
        <v>9</v>
      </c>
      <c r="D494" s="5" t="str">
        <f>"4895"</f>
        <v>4895</v>
      </c>
      <c r="E494" s="7" t="str">
        <f>"Доходы по операциям своп"</f>
        <v>Доходы по операциям своп</v>
      </c>
      <c r="F494" s="5" t="str">
        <f>""</f>
        <v/>
      </c>
      <c r="G494" s="5"/>
      <c r="H494" s="5" t="str">
        <f>""</f>
        <v/>
      </c>
      <c r="I494" s="16">
        <v>4967268389.2200003</v>
      </c>
      <c r="K494" s="23"/>
      <c r="M494" s="24"/>
    </row>
    <row r="495" spans="1:13" ht="11.45" customHeight="1" x14ac:dyDescent="0.25">
      <c r="A495" s="15">
        <v>459</v>
      </c>
      <c r="B495" s="6">
        <v>44651</v>
      </c>
      <c r="C495" s="5">
        <v>9</v>
      </c>
      <c r="D495" s="5" t="str">
        <f>"4900"</f>
        <v>4900</v>
      </c>
      <c r="E495" s="7" t="str">
        <f>"Неустойка (штраф, пеня)"</f>
        <v>Неустойка (штраф, пеня)</v>
      </c>
      <c r="F495" s="5" t="str">
        <f>""</f>
        <v/>
      </c>
      <c r="G495" s="5"/>
      <c r="H495" s="5" t="str">
        <f>""</f>
        <v/>
      </c>
      <c r="I495" s="16">
        <v>197434868.47</v>
      </c>
      <c r="K495" s="23"/>
      <c r="M495" s="24"/>
    </row>
    <row r="496" spans="1:13" ht="11.45" customHeight="1" x14ac:dyDescent="0.25">
      <c r="A496" s="15">
        <v>272</v>
      </c>
      <c r="B496" s="6">
        <v>44651</v>
      </c>
      <c r="C496" s="5">
        <v>9</v>
      </c>
      <c r="D496" s="5" t="str">
        <f>"4921"</f>
        <v>4921</v>
      </c>
      <c r="E496" s="7" t="str">
        <f>"Прочие доходы от банковской деятельности"</f>
        <v>Прочие доходы от банковской деятельности</v>
      </c>
      <c r="F496" s="5" t="str">
        <f>""</f>
        <v/>
      </c>
      <c r="G496" s="5"/>
      <c r="H496" s="5" t="str">
        <f>""</f>
        <v/>
      </c>
      <c r="I496" s="16">
        <v>21413985.170000002</v>
      </c>
      <c r="K496" s="23"/>
      <c r="M496" s="24"/>
    </row>
    <row r="497" spans="1:13" ht="11.45" customHeight="1" x14ac:dyDescent="0.25">
      <c r="A497" s="15">
        <v>447</v>
      </c>
      <c r="B497" s="6">
        <v>44651</v>
      </c>
      <c r="C497" s="5">
        <v>9</v>
      </c>
      <c r="D497" s="5" t="str">
        <f>"4922"</f>
        <v>4922</v>
      </c>
      <c r="E497" s="7" t="str">
        <f>"Прочие доходы от неосновной деятельности"</f>
        <v>Прочие доходы от неосновной деятельности</v>
      </c>
      <c r="F497" s="5" t="str">
        <f>""</f>
        <v/>
      </c>
      <c r="G497" s="5"/>
      <c r="H497" s="5" t="str">
        <f>""</f>
        <v/>
      </c>
      <c r="I497" s="16">
        <v>6428994930.2200003</v>
      </c>
      <c r="K497" s="23"/>
      <c r="M497" s="24"/>
    </row>
    <row r="498" spans="1:13" ht="11.45" customHeight="1" x14ac:dyDescent="0.25">
      <c r="A498" s="15">
        <v>437</v>
      </c>
      <c r="B498" s="6">
        <v>44651</v>
      </c>
      <c r="C498" s="5">
        <v>9</v>
      </c>
      <c r="D498" s="5" t="str">
        <f>"4951"</f>
        <v>4951</v>
      </c>
      <c r="E498" s="7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98" s="5" t="str">
        <f>""</f>
        <v/>
      </c>
      <c r="G498" s="5"/>
      <c r="H498" s="5" t="str">
        <f>""</f>
        <v/>
      </c>
      <c r="I498" s="16">
        <v>24453905.969999999</v>
      </c>
      <c r="K498" s="23"/>
      <c r="M498" s="24"/>
    </row>
    <row r="499" spans="1:13" ht="11.45" customHeight="1" x14ac:dyDescent="0.25">
      <c r="A499" s="15">
        <v>279</v>
      </c>
      <c r="B499" s="6">
        <v>44651</v>
      </c>
      <c r="C499" s="5">
        <v>9</v>
      </c>
      <c r="D499" s="5" t="str">
        <f>"4952"</f>
        <v>4952</v>
      </c>
      <c r="E499" s="7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499" s="5" t="str">
        <f>""</f>
        <v/>
      </c>
      <c r="G499" s="5"/>
      <c r="H499" s="5" t="str">
        <f>""</f>
        <v/>
      </c>
      <c r="I499" s="16">
        <v>17207500.489999998</v>
      </c>
      <c r="K499" s="23"/>
      <c r="M499" s="24"/>
    </row>
    <row r="500" spans="1:13" ht="11.45" customHeight="1" x14ac:dyDescent="0.25">
      <c r="A500" s="15">
        <v>127</v>
      </c>
      <c r="B500" s="6">
        <v>44651</v>
      </c>
      <c r="C500" s="5">
        <v>9</v>
      </c>
      <c r="D500" s="5" t="str">
        <f>"4953"</f>
        <v>4953</v>
      </c>
      <c r="E500" s="7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500" s="5" t="str">
        <f>""</f>
        <v/>
      </c>
      <c r="G500" s="5"/>
      <c r="H500" s="5" t="str">
        <f>""</f>
        <v/>
      </c>
      <c r="I500" s="16">
        <v>21021188.91</v>
      </c>
      <c r="K500" s="23"/>
      <c r="M500" s="24"/>
    </row>
    <row r="501" spans="1:13" ht="11.45" customHeight="1" x14ac:dyDescent="0.25">
      <c r="A501" s="15">
        <v>278</v>
      </c>
      <c r="B501" s="6">
        <v>44651</v>
      </c>
      <c r="C501" s="5">
        <v>9</v>
      </c>
      <c r="D501" s="5" t="str">
        <f>"4954"</f>
        <v>4954</v>
      </c>
      <c r="E501" s="7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501" s="5" t="str">
        <f>""</f>
        <v/>
      </c>
      <c r="G501" s="5"/>
      <c r="H501" s="5" t="str">
        <f>""</f>
        <v/>
      </c>
      <c r="I501" s="16">
        <v>70565.22</v>
      </c>
      <c r="K501" s="23"/>
      <c r="M501" s="24"/>
    </row>
    <row r="502" spans="1:13" ht="11.45" customHeight="1" x14ac:dyDescent="0.25">
      <c r="A502" s="15">
        <v>122</v>
      </c>
      <c r="B502" s="6">
        <v>44651</v>
      </c>
      <c r="C502" s="5">
        <v>9</v>
      </c>
      <c r="D502" s="5" t="str">
        <f>"4955"</f>
        <v>4955</v>
      </c>
      <c r="E502" s="7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502" s="5" t="str">
        <f>""</f>
        <v/>
      </c>
      <c r="G502" s="5"/>
      <c r="H502" s="5" t="str">
        <f>""</f>
        <v/>
      </c>
      <c r="I502" s="16">
        <v>8452450357.6199999</v>
      </c>
      <c r="K502" s="23"/>
      <c r="M502" s="24"/>
    </row>
    <row r="503" spans="1:13" ht="11.45" customHeight="1" x14ac:dyDescent="0.25">
      <c r="A503" s="15">
        <v>458</v>
      </c>
      <c r="B503" s="6">
        <v>44651</v>
      </c>
      <c r="C503" s="5">
        <v>9</v>
      </c>
      <c r="D503" s="5" t="str">
        <f>"4956"</f>
        <v>4956</v>
      </c>
      <c r="E503" s="7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503" s="5" t="str">
        <f>""</f>
        <v/>
      </c>
      <c r="G503" s="5"/>
      <c r="H503" s="5" t="str">
        <f>""</f>
        <v/>
      </c>
      <c r="I503" s="16">
        <v>3621649.12</v>
      </c>
      <c r="K503" s="23"/>
      <c r="M503" s="24"/>
    </row>
    <row r="504" spans="1:13" ht="11.45" customHeight="1" x14ac:dyDescent="0.25">
      <c r="A504" s="15">
        <v>126</v>
      </c>
      <c r="B504" s="6">
        <v>44651</v>
      </c>
      <c r="C504" s="5">
        <v>9</v>
      </c>
      <c r="D504" s="5" t="str">
        <f>"4958"</f>
        <v>4958</v>
      </c>
      <c r="E504" s="7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504" s="5" t="str">
        <f>""</f>
        <v/>
      </c>
      <c r="G504" s="5"/>
      <c r="H504" s="5" t="str">
        <f>""</f>
        <v/>
      </c>
      <c r="I504" s="16">
        <v>426734815.50999999</v>
      </c>
      <c r="K504" s="23"/>
      <c r="M504" s="24"/>
    </row>
    <row r="505" spans="1:13" ht="11.45" customHeight="1" x14ac:dyDescent="0.25">
      <c r="A505" s="15">
        <v>368</v>
      </c>
      <c r="B505" s="6">
        <v>44651</v>
      </c>
      <c r="C505" s="5">
        <v>9</v>
      </c>
      <c r="D505" s="5" t="str">
        <f>"4959"</f>
        <v>4959</v>
      </c>
      <c r="E505" s="7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505" s="5" t="str">
        <f>""</f>
        <v/>
      </c>
      <c r="G505" s="5"/>
      <c r="H505" s="5" t="str">
        <f>""</f>
        <v/>
      </c>
      <c r="I505" s="16">
        <v>50670353</v>
      </c>
      <c r="K505" s="23"/>
      <c r="M505" s="24"/>
    </row>
    <row r="506" spans="1:13" ht="11.45" customHeight="1" x14ac:dyDescent="0.25">
      <c r="A506" s="15">
        <v>394</v>
      </c>
      <c r="B506" s="6">
        <v>44651</v>
      </c>
      <c r="C506" s="5">
        <v>9</v>
      </c>
      <c r="D506" s="5" t="str">
        <f>"5066"</f>
        <v>5066</v>
      </c>
      <c r="E506" s="7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506" s="5" t="str">
        <f>""</f>
        <v/>
      </c>
      <c r="G506" s="5"/>
      <c r="H506" s="5" t="str">
        <f>""</f>
        <v/>
      </c>
      <c r="I506" s="16">
        <v>382605824.57999998</v>
      </c>
      <c r="K506" s="23"/>
      <c r="M506" s="24"/>
    </row>
    <row r="507" spans="1:13" ht="11.45" customHeight="1" x14ac:dyDescent="0.25">
      <c r="A507" s="15">
        <v>522</v>
      </c>
      <c r="B507" s="6">
        <v>44651</v>
      </c>
      <c r="C507" s="5">
        <v>9</v>
      </c>
      <c r="D507" s="5" t="str">
        <f>"5126"</f>
        <v>5126</v>
      </c>
      <c r="E507" s="7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507" s="5" t="str">
        <f>""</f>
        <v/>
      </c>
      <c r="G507" s="5"/>
      <c r="H507" s="5" t="str">
        <f>""</f>
        <v/>
      </c>
      <c r="I507" s="16">
        <v>33275121.18</v>
      </c>
      <c r="K507" s="23"/>
      <c r="M507" s="24"/>
    </row>
    <row r="508" spans="1:13" ht="11.45" customHeight="1" x14ac:dyDescent="0.25">
      <c r="A508" s="15">
        <v>314</v>
      </c>
      <c r="B508" s="6">
        <v>44651</v>
      </c>
      <c r="C508" s="5">
        <v>9</v>
      </c>
      <c r="D508" s="5" t="str">
        <f>"5128"</f>
        <v>5128</v>
      </c>
      <c r="E508" s="7" t="str">
        <f>"Расходы, связанные с выплатой вознаграждения по долгосрочным вкладам других банков"</f>
        <v>Расходы, связанные с выплатой вознаграждения по долгосрочным вкладам других банков</v>
      </c>
      <c r="F508" s="5" t="str">
        <f>""</f>
        <v/>
      </c>
      <c r="G508" s="5"/>
      <c r="H508" s="5" t="str">
        <f>""</f>
        <v/>
      </c>
      <c r="I508" s="16">
        <v>49968001.310000002</v>
      </c>
      <c r="K508" s="23"/>
      <c r="M508" s="24"/>
    </row>
    <row r="509" spans="1:13" ht="11.45" customHeight="1" x14ac:dyDescent="0.25">
      <c r="A509" s="15">
        <v>332</v>
      </c>
      <c r="B509" s="6">
        <v>44651</v>
      </c>
      <c r="C509" s="5">
        <v>9</v>
      </c>
      <c r="D509" s="5" t="str">
        <f>"5215"</f>
        <v>5215</v>
      </c>
      <c r="E509" s="7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509" s="5" t="str">
        <f>""</f>
        <v/>
      </c>
      <c r="G509" s="5"/>
      <c r="H509" s="5" t="str">
        <f>""</f>
        <v/>
      </c>
      <c r="I509" s="16">
        <v>2437478843.1799998</v>
      </c>
      <c r="K509" s="23"/>
      <c r="M509" s="24"/>
    </row>
    <row r="510" spans="1:13" ht="11.45" customHeight="1" x14ac:dyDescent="0.25">
      <c r="A510" s="15">
        <v>282</v>
      </c>
      <c r="B510" s="6">
        <v>44651</v>
      </c>
      <c r="C510" s="5">
        <v>9</v>
      </c>
      <c r="D510" s="5" t="str">
        <f>"5217"</f>
        <v>5217</v>
      </c>
      <c r="E510" s="7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510" s="5" t="str">
        <f>""</f>
        <v/>
      </c>
      <c r="G510" s="5"/>
      <c r="H510" s="5" t="str">
        <f>""</f>
        <v/>
      </c>
      <c r="I510" s="16">
        <v>1377912912.0999999</v>
      </c>
      <c r="K510" s="23"/>
      <c r="M510" s="24"/>
    </row>
    <row r="511" spans="1:13" ht="11.45" customHeight="1" x14ac:dyDescent="0.25">
      <c r="A511" s="15">
        <v>554</v>
      </c>
      <c r="B511" s="6">
        <v>44651</v>
      </c>
      <c r="C511" s="5">
        <v>9</v>
      </c>
      <c r="D511" s="5" t="str">
        <f>"5218"</f>
        <v>5218</v>
      </c>
      <c r="E511" s="7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511" s="5" t="str">
        <f>""</f>
        <v/>
      </c>
      <c r="G511" s="5"/>
      <c r="H511" s="5" t="str">
        <f>""</f>
        <v/>
      </c>
      <c r="I511" s="16">
        <v>231770630.02000001</v>
      </c>
      <c r="K511" s="23"/>
      <c r="M511" s="24"/>
    </row>
    <row r="512" spans="1:13" ht="11.45" customHeight="1" x14ac:dyDescent="0.25">
      <c r="A512" s="15">
        <v>438</v>
      </c>
      <c r="B512" s="6">
        <v>44651</v>
      </c>
      <c r="C512" s="5">
        <v>9</v>
      </c>
      <c r="D512" s="5" t="str">
        <f>"5219"</f>
        <v>5219</v>
      </c>
      <c r="E512" s="7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512" s="5" t="str">
        <f>""</f>
        <v/>
      </c>
      <c r="G512" s="5"/>
      <c r="H512" s="5" t="str">
        <f>""</f>
        <v/>
      </c>
      <c r="I512" s="16">
        <v>70940958.560000002</v>
      </c>
      <c r="K512" s="23"/>
      <c r="M512" s="24"/>
    </row>
    <row r="513" spans="1:13" ht="11.45" customHeight="1" x14ac:dyDescent="0.25">
      <c r="A513" s="15">
        <v>387</v>
      </c>
      <c r="B513" s="6">
        <v>44651</v>
      </c>
      <c r="C513" s="5">
        <v>9</v>
      </c>
      <c r="D513" s="5" t="str">
        <f>"5220"</f>
        <v>5220</v>
      </c>
      <c r="E513" s="7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513" s="5" t="str">
        <f>""</f>
        <v/>
      </c>
      <c r="G513" s="5"/>
      <c r="H513" s="5" t="str">
        <f>""</f>
        <v/>
      </c>
      <c r="I513" s="16">
        <v>38957930.380000003</v>
      </c>
      <c r="K513" s="23"/>
      <c r="M513" s="24"/>
    </row>
    <row r="514" spans="1:13" ht="11.45" customHeight="1" x14ac:dyDescent="0.25">
      <c r="A514" s="15">
        <v>23</v>
      </c>
      <c r="B514" s="6">
        <v>44651</v>
      </c>
      <c r="C514" s="5">
        <v>9</v>
      </c>
      <c r="D514" s="5" t="str">
        <f>"5223"</f>
        <v>5223</v>
      </c>
      <c r="E514" s="7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514" s="5" t="str">
        <f>""</f>
        <v/>
      </c>
      <c r="G514" s="5"/>
      <c r="H514" s="5" t="str">
        <f>""</f>
        <v/>
      </c>
      <c r="I514" s="16">
        <v>50926128.490000002</v>
      </c>
      <c r="K514" s="23"/>
      <c r="M514" s="24"/>
    </row>
    <row r="515" spans="1:13" ht="11.45" customHeight="1" x14ac:dyDescent="0.25">
      <c r="A515" s="15">
        <v>129</v>
      </c>
      <c r="B515" s="6">
        <v>44651</v>
      </c>
      <c r="C515" s="5">
        <v>9</v>
      </c>
      <c r="D515" s="5" t="str">
        <f>"5227"</f>
        <v>5227</v>
      </c>
      <c r="E515" s="7" t="str">
        <f>"Процентные расходы по обязательствам по аренде"</f>
        <v>Процентные расходы по обязательствам по аренде</v>
      </c>
      <c r="F515" s="5" t="str">
        <f>""</f>
        <v/>
      </c>
      <c r="G515" s="5"/>
      <c r="H515" s="5" t="str">
        <f>""</f>
        <v/>
      </c>
      <c r="I515" s="16">
        <v>129736801.63</v>
      </c>
      <c r="K515" s="23"/>
      <c r="M515" s="24"/>
    </row>
    <row r="516" spans="1:13" ht="11.45" customHeight="1" x14ac:dyDescent="0.25">
      <c r="A516" s="15">
        <v>555</v>
      </c>
      <c r="B516" s="6">
        <v>44651</v>
      </c>
      <c r="C516" s="5">
        <v>9</v>
      </c>
      <c r="D516" s="5" t="str">
        <f>"5229"</f>
        <v>5229</v>
      </c>
      <c r="E516" s="7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F516" s="5" t="str">
        <f>""</f>
        <v/>
      </c>
      <c r="G516" s="5"/>
      <c r="H516" s="5" t="str">
        <f>""</f>
        <v/>
      </c>
      <c r="I516" s="16">
        <v>399438.07</v>
      </c>
      <c r="K516" s="23"/>
      <c r="M516" s="24"/>
    </row>
    <row r="517" spans="1:13" ht="11.45" customHeight="1" x14ac:dyDescent="0.25">
      <c r="A517" s="15">
        <v>460</v>
      </c>
      <c r="B517" s="6">
        <v>44651</v>
      </c>
      <c r="C517" s="5">
        <v>9</v>
      </c>
      <c r="D517" s="5" t="str">
        <f>"5233"</f>
        <v>5233</v>
      </c>
      <c r="E517" s="7" t="str">
        <f>"Расходы в виде положительной корректировки стоимости срочного вклада, привлеченного от клиентов"</f>
        <v>Расходы в виде положительной корректировки стоимости срочного вклада, привлеченного от клиентов</v>
      </c>
      <c r="F517" s="5" t="str">
        <f>""</f>
        <v/>
      </c>
      <c r="G517" s="5"/>
      <c r="H517" s="5" t="str">
        <f>""</f>
        <v/>
      </c>
      <c r="I517" s="16">
        <v>309194</v>
      </c>
      <c r="K517" s="23"/>
      <c r="M517" s="24"/>
    </row>
    <row r="518" spans="1:13" ht="11.45" customHeight="1" x14ac:dyDescent="0.25">
      <c r="A518" s="15">
        <v>371</v>
      </c>
      <c r="B518" s="6">
        <v>44651</v>
      </c>
      <c r="C518" s="5">
        <v>9</v>
      </c>
      <c r="D518" s="5" t="str">
        <f>"5240"</f>
        <v>5240</v>
      </c>
      <c r="E518" s="7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F518" s="5" t="str">
        <f>""</f>
        <v/>
      </c>
      <c r="G518" s="5"/>
      <c r="H518" s="5" t="str">
        <f>""</f>
        <v/>
      </c>
      <c r="I518" s="16">
        <v>2925406083.5300002</v>
      </c>
      <c r="K518" s="23"/>
      <c r="M518" s="24"/>
    </row>
    <row r="519" spans="1:13" ht="11.45" customHeight="1" x14ac:dyDescent="0.25">
      <c r="A519" s="15">
        <v>440</v>
      </c>
      <c r="B519" s="6">
        <v>44651</v>
      </c>
      <c r="C519" s="5">
        <v>9</v>
      </c>
      <c r="D519" s="5" t="str">
        <f>"5250"</f>
        <v>5250</v>
      </c>
      <c r="E519" s="7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519" s="5" t="str">
        <f>""</f>
        <v/>
      </c>
      <c r="G519" s="5"/>
      <c r="H519" s="5" t="str">
        <f>""</f>
        <v/>
      </c>
      <c r="I519" s="16">
        <v>765008171.10000002</v>
      </c>
      <c r="K519" s="23"/>
      <c r="M519" s="24"/>
    </row>
    <row r="520" spans="1:13" ht="11.45" customHeight="1" x14ac:dyDescent="0.25">
      <c r="A520" s="15">
        <v>284</v>
      </c>
      <c r="B520" s="6">
        <v>44651</v>
      </c>
      <c r="C520" s="5">
        <v>9</v>
      </c>
      <c r="D520" s="5" t="str">
        <f>"5301"</f>
        <v>5301</v>
      </c>
      <c r="E520" s="7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520" s="5" t="str">
        <f>""</f>
        <v/>
      </c>
      <c r="G520" s="5"/>
      <c r="H520" s="5" t="str">
        <f>""</f>
        <v/>
      </c>
      <c r="I520" s="16">
        <v>121035755</v>
      </c>
      <c r="K520" s="23"/>
      <c r="M520" s="24"/>
    </row>
    <row r="521" spans="1:13" ht="11.45" customHeight="1" x14ac:dyDescent="0.25">
      <c r="A521" s="15">
        <v>130</v>
      </c>
      <c r="B521" s="6">
        <v>44651</v>
      </c>
      <c r="C521" s="5">
        <v>9</v>
      </c>
      <c r="D521" s="5" t="str">
        <f>"5306"</f>
        <v>5306</v>
      </c>
      <c r="E521" s="7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521" s="5" t="str">
        <f>""</f>
        <v/>
      </c>
      <c r="G521" s="5"/>
      <c r="H521" s="5" t="str">
        <f>""</f>
        <v/>
      </c>
      <c r="I521" s="16">
        <v>6562330.0099999998</v>
      </c>
      <c r="K521" s="23"/>
      <c r="M521" s="24"/>
    </row>
    <row r="522" spans="1:13" ht="11.45" customHeight="1" x14ac:dyDescent="0.25">
      <c r="A522" s="15">
        <v>24</v>
      </c>
      <c r="B522" s="6">
        <v>44651</v>
      </c>
      <c r="C522" s="5">
        <v>9</v>
      </c>
      <c r="D522" s="5" t="str">
        <f>"5308"</f>
        <v>5308</v>
      </c>
      <c r="E522" s="7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522" s="5" t="str">
        <f>""</f>
        <v/>
      </c>
      <c r="G522" s="5"/>
      <c r="H522" s="5" t="str">
        <f>""</f>
        <v/>
      </c>
      <c r="I522" s="16">
        <v>194854056.08000001</v>
      </c>
      <c r="K522" s="23"/>
      <c r="M522" s="24"/>
    </row>
    <row r="523" spans="1:13" ht="11.45" customHeight="1" x14ac:dyDescent="0.25">
      <c r="A523" s="15">
        <v>370</v>
      </c>
      <c r="B523" s="6">
        <v>44651</v>
      </c>
      <c r="C523" s="5">
        <v>9</v>
      </c>
      <c r="D523" s="5" t="str">
        <f>"5451"</f>
        <v>5451</v>
      </c>
      <c r="E523" s="7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523" s="5" t="str">
        <f>""</f>
        <v/>
      </c>
      <c r="G523" s="5"/>
      <c r="H523" s="5" t="str">
        <f>""</f>
        <v/>
      </c>
      <c r="I523" s="16">
        <v>305715.90000000002</v>
      </c>
      <c r="K523" s="23"/>
      <c r="M523" s="24"/>
    </row>
    <row r="524" spans="1:13" ht="11.45" customHeight="1" x14ac:dyDescent="0.25">
      <c r="A524" s="15">
        <v>495</v>
      </c>
      <c r="B524" s="6">
        <v>44651</v>
      </c>
      <c r="C524" s="5">
        <v>9</v>
      </c>
      <c r="D524" s="5" t="str">
        <f>"5452"</f>
        <v>5452</v>
      </c>
      <c r="E524" s="7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524" s="5" t="str">
        <f>""</f>
        <v/>
      </c>
      <c r="G524" s="5"/>
      <c r="H524" s="5" t="str">
        <f>""</f>
        <v/>
      </c>
      <c r="I524" s="16">
        <v>15426837.09</v>
      </c>
      <c r="K524" s="23"/>
      <c r="M524" s="24"/>
    </row>
    <row r="525" spans="1:13" ht="11.45" customHeight="1" x14ac:dyDescent="0.25">
      <c r="A525" s="15">
        <v>283</v>
      </c>
      <c r="B525" s="6">
        <v>44651</v>
      </c>
      <c r="C525" s="5">
        <v>9</v>
      </c>
      <c r="D525" s="5" t="str">
        <f>"5453"</f>
        <v>5453</v>
      </c>
      <c r="E525" s="7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525" s="5" t="str">
        <f>""</f>
        <v/>
      </c>
      <c r="G525" s="5"/>
      <c r="H525" s="5" t="str">
        <f>""</f>
        <v/>
      </c>
      <c r="I525" s="16">
        <v>420005963.33999997</v>
      </c>
      <c r="K525" s="23"/>
      <c r="M525" s="24"/>
    </row>
    <row r="526" spans="1:13" ht="11.45" customHeight="1" x14ac:dyDescent="0.25">
      <c r="A526" s="15">
        <v>439</v>
      </c>
      <c r="B526" s="6">
        <v>44651</v>
      </c>
      <c r="C526" s="5">
        <v>9</v>
      </c>
      <c r="D526" s="5" t="str">
        <f>"5455"</f>
        <v>5455</v>
      </c>
      <c r="E526" s="7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526" s="5" t="str">
        <f>""</f>
        <v/>
      </c>
      <c r="G526" s="5"/>
      <c r="H526" s="5" t="str">
        <f>""</f>
        <v/>
      </c>
      <c r="I526" s="16">
        <v>12260201809.33</v>
      </c>
      <c r="K526" s="23"/>
      <c r="M526" s="24"/>
    </row>
    <row r="527" spans="1:13" ht="11.45" customHeight="1" x14ac:dyDescent="0.25">
      <c r="A527" s="15">
        <v>132</v>
      </c>
      <c r="B527" s="6">
        <v>44651</v>
      </c>
      <c r="C527" s="5">
        <v>9</v>
      </c>
      <c r="D527" s="5" t="str">
        <f>"5456"</f>
        <v>5456</v>
      </c>
      <c r="E527" s="7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527" s="5" t="str">
        <f>""</f>
        <v/>
      </c>
      <c r="G527" s="5"/>
      <c r="H527" s="5" t="str">
        <f>""</f>
        <v/>
      </c>
      <c r="I527" s="16">
        <v>238576759.38999999</v>
      </c>
      <c r="K527" s="23"/>
      <c r="M527" s="24"/>
    </row>
    <row r="528" spans="1:13" ht="11.45" customHeight="1" x14ac:dyDescent="0.25">
      <c r="A528" s="15">
        <v>448</v>
      </c>
      <c r="B528" s="6">
        <v>44651</v>
      </c>
      <c r="C528" s="5">
        <v>9</v>
      </c>
      <c r="D528" s="5" t="str">
        <f>"5457"</f>
        <v>5457</v>
      </c>
      <c r="E528" s="7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528" s="5" t="str">
        <f>""</f>
        <v/>
      </c>
      <c r="G528" s="5"/>
      <c r="H528" s="5" t="str">
        <f>""</f>
        <v/>
      </c>
      <c r="I528" s="16">
        <v>977340.75</v>
      </c>
      <c r="K528" s="23"/>
      <c r="M528" s="24"/>
    </row>
    <row r="529" spans="1:13" ht="11.45" customHeight="1" x14ac:dyDescent="0.25">
      <c r="A529" s="15">
        <v>372</v>
      </c>
      <c r="B529" s="6">
        <v>44651</v>
      </c>
      <c r="C529" s="5">
        <v>9</v>
      </c>
      <c r="D529" s="5" t="str">
        <f>"5459"</f>
        <v>5459</v>
      </c>
      <c r="E529" s="7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529" s="5" t="str">
        <f>""</f>
        <v/>
      </c>
      <c r="G529" s="5"/>
      <c r="H529" s="5" t="str">
        <f>""</f>
        <v/>
      </c>
      <c r="I529" s="16">
        <v>35000</v>
      </c>
      <c r="K529" s="23"/>
      <c r="M529" s="24"/>
    </row>
    <row r="530" spans="1:13" ht="11.45" customHeight="1" x14ac:dyDescent="0.25">
      <c r="A530" s="15">
        <v>26</v>
      </c>
      <c r="B530" s="6">
        <v>44651</v>
      </c>
      <c r="C530" s="5">
        <v>9</v>
      </c>
      <c r="D530" s="5" t="str">
        <f>"5461"</f>
        <v>5461</v>
      </c>
      <c r="E530" s="7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F530" s="5" t="str">
        <f>""</f>
        <v/>
      </c>
      <c r="G530" s="5"/>
      <c r="H530" s="5" t="str">
        <f>""</f>
        <v/>
      </c>
      <c r="I530" s="16">
        <v>152839966.81999999</v>
      </c>
      <c r="K530" s="23"/>
      <c r="M530" s="24"/>
    </row>
    <row r="531" spans="1:13" ht="11.45" customHeight="1" x14ac:dyDescent="0.25">
      <c r="A531" s="15">
        <v>288</v>
      </c>
      <c r="B531" s="6">
        <v>44651</v>
      </c>
      <c r="C531" s="5">
        <v>9</v>
      </c>
      <c r="D531" s="5" t="str">
        <f>"5464"</f>
        <v>5464</v>
      </c>
      <c r="E531" s="7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531" s="5" t="str">
        <f>""</f>
        <v/>
      </c>
      <c r="G531" s="5"/>
      <c r="H531" s="5" t="str">
        <f>""</f>
        <v/>
      </c>
      <c r="I531" s="16">
        <v>3451.8</v>
      </c>
      <c r="K531" s="23"/>
      <c r="M531" s="24"/>
    </row>
    <row r="532" spans="1:13" ht="11.45" customHeight="1" x14ac:dyDescent="0.25">
      <c r="A532" s="15">
        <v>494</v>
      </c>
      <c r="B532" s="6">
        <v>44651</v>
      </c>
      <c r="C532" s="5">
        <v>9</v>
      </c>
      <c r="D532" s="5" t="str">
        <f>"5465"</f>
        <v>5465</v>
      </c>
      <c r="E532" s="7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532" s="5" t="str">
        <f>""</f>
        <v/>
      </c>
      <c r="G532" s="5"/>
      <c r="H532" s="5" t="str">
        <f>""</f>
        <v/>
      </c>
      <c r="I532" s="16">
        <v>220690401.5</v>
      </c>
      <c r="K532" s="23"/>
      <c r="M532" s="24"/>
    </row>
    <row r="533" spans="1:13" ht="11.45" customHeight="1" x14ac:dyDescent="0.25">
      <c r="A533" s="15">
        <v>285</v>
      </c>
      <c r="B533" s="6">
        <v>44651</v>
      </c>
      <c r="C533" s="5">
        <v>9</v>
      </c>
      <c r="D533" s="5" t="str">
        <f>"5530"</f>
        <v>5530</v>
      </c>
      <c r="E533" s="7" t="str">
        <f>"Расходы по купле-продаже иностранной валюты"</f>
        <v>Расходы по купле-продаже иностранной валюты</v>
      </c>
      <c r="F533" s="5" t="str">
        <f>""</f>
        <v/>
      </c>
      <c r="G533" s="5"/>
      <c r="H533" s="5" t="str">
        <f>""</f>
        <v/>
      </c>
      <c r="I533" s="16">
        <v>10901043532.030001</v>
      </c>
      <c r="K533" s="23"/>
      <c r="M533" s="24"/>
    </row>
    <row r="534" spans="1:13" ht="11.45" customHeight="1" x14ac:dyDescent="0.25">
      <c r="A534" s="15">
        <v>135</v>
      </c>
      <c r="B534" s="6">
        <v>44651</v>
      </c>
      <c r="C534" s="5">
        <v>9</v>
      </c>
      <c r="D534" s="5" t="str">
        <f>"5570"</f>
        <v>5570</v>
      </c>
      <c r="E534" s="7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534" s="5" t="str">
        <f>""</f>
        <v/>
      </c>
      <c r="G534" s="5"/>
      <c r="H534" s="5" t="str">
        <f>""</f>
        <v/>
      </c>
      <c r="I534" s="16">
        <v>11569874.859999999</v>
      </c>
      <c r="K534" s="23"/>
      <c r="M534" s="24"/>
    </row>
    <row r="535" spans="1:13" ht="11.45" customHeight="1" x14ac:dyDescent="0.25">
      <c r="A535" s="15">
        <v>25</v>
      </c>
      <c r="B535" s="6">
        <v>44651</v>
      </c>
      <c r="C535" s="5">
        <v>9</v>
      </c>
      <c r="D535" s="5" t="str">
        <f>"5593"</f>
        <v>5593</v>
      </c>
      <c r="E535" s="7" t="str">
        <f>"Расходы от переоценки операций своп"</f>
        <v>Расходы от переоценки операций своп</v>
      </c>
      <c r="F535" s="5" t="str">
        <f>""</f>
        <v/>
      </c>
      <c r="G535" s="5"/>
      <c r="H535" s="5" t="str">
        <f>""</f>
        <v/>
      </c>
      <c r="I535" s="16">
        <v>295108800</v>
      </c>
      <c r="K535" s="23"/>
      <c r="M535" s="24"/>
    </row>
    <row r="536" spans="1:13" ht="11.45" customHeight="1" x14ac:dyDescent="0.25">
      <c r="A536" s="15">
        <v>290</v>
      </c>
      <c r="B536" s="6">
        <v>44651</v>
      </c>
      <c r="C536" s="5">
        <v>9</v>
      </c>
      <c r="D536" s="5" t="str">
        <f>"5601"</f>
        <v>5601</v>
      </c>
      <c r="E536" s="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536" s="5" t="str">
        <f>""</f>
        <v/>
      </c>
      <c r="G536" s="5"/>
      <c r="H536" s="5" t="str">
        <f>""</f>
        <v/>
      </c>
      <c r="I536" s="16">
        <v>134274529.91999999</v>
      </c>
      <c r="K536" s="23"/>
      <c r="M536" s="24"/>
    </row>
    <row r="537" spans="1:13" ht="11.45" customHeight="1" x14ac:dyDescent="0.25">
      <c r="A537" s="15">
        <v>338</v>
      </c>
      <c r="B537" s="6">
        <v>44651</v>
      </c>
      <c r="C537" s="5">
        <v>9</v>
      </c>
      <c r="D537" s="5" t="str">
        <f>"5602"</f>
        <v>5602</v>
      </c>
      <c r="E537" s="7" t="str">
        <f>"Комиссионные расходы по полученным агентским услугам"</f>
        <v>Комиссионные расходы по полученным агентским услугам</v>
      </c>
      <c r="F537" s="5" t="str">
        <f>""</f>
        <v/>
      </c>
      <c r="G537" s="5"/>
      <c r="H537" s="5" t="str">
        <f>""</f>
        <v/>
      </c>
      <c r="I537" s="16">
        <v>619758524.57000005</v>
      </c>
      <c r="K537" s="23"/>
      <c r="M537" s="24"/>
    </row>
    <row r="538" spans="1:13" ht="11.45" customHeight="1" x14ac:dyDescent="0.25">
      <c r="A538" s="15">
        <v>369</v>
      </c>
      <c r="B538" s="6">
        <v>44651</v>
      </c>
      <c r="C538" s="5">
        <v>9</v>
      </c>
      <c r="D538" s="5" t="str">
        <f>"5603"</f>
        <v>5603</v>
      </c>
      <c r="E538" s="7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538" s="5" t="str">
        <f>""</f>
        <v/>
      </c>
      <c r="G538" s="5"/>
      <c r="H538" s="5" t="str">
        <f>""</f>
        <v/>
      </c>
      <c r="I538" s="16">
        <v>4775400</v>
      </c>
      <c r="K538" s="23"/>
      <c r="M538" s="24"/>
    </row>
    <row r="539" spans="1:13" ht="11.45" customHeight="1" x14ac:dyDescent="0.25">
      <c r="A539" s="15">
        <v>286</v>
      </c>
      <c r="B539" s="6">
        <v>44651</v>
      </c>
      <c r="C539" s="5">
        <v>9</v>
      </c>
      <c r="D539" s="5" t="str">
        <f>"5604"</f>
        <v>5604</v>
      </c>
      <c r="E539" s="7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539" s="5" t="str">
        <f>""</f>
        <v/>
      </c>
      <c r="G539" s="5"/>
      <c r="H539" s="5" t="str">
        <f>""</f>
        <v/>
      </c>
      <c r="I539" s="16">
        <v>48548899</v>
      </c>
      <c r="K539" s="23"/>
      <c r="M539" s="24"/>
    </row>
    <row r="540" spans="1:13" ht="11.45" customHeight="1" x14ac:dyDescent="0.25">
      <c r="A540" s="15">
        <v>134</v>
      </c>
      <c r="B540" s="6">
        <v>44651</v>
      </c>
      <c r="C540" s="5">
        <v>9</v>
      </c>
      <c r="D540" s="5" t="str">
        <f>"5606"</f>
        <v>5606</v>
      </c>
      <c r="E540" s="7" t="str">
        <f>"Комиссионные расходы по полученным услугам по гарантиям"</f>
        <v>Комиссионные расходы по полученным услугам по гарантиям</v>
      </c>
      <c r="F540" s="5" t="str">
        <f>""</f>
        <v/>
      </c>
      <c r="G540" s="5"/>
      <c r="H540" s="5" t="str">
        <f>""</f>
        <v/>
      </c>
      <c r="I540" s="16">
        <v>5496407.5300000003</v>
      </c>
      <c r="K540" s="23"/>
      <c r="M540" s="24"/>
    </row>
    <row r="541" spans="1:13" ht="11.45" customHeight="1" x14ac:dyDescent="0.25">
      <c r="A541" s="15">
        <v>287</v>
      </c>
      <c r="B541" s="6">
        <v>44651</v>
      </c>
      <c r="C541" s="5">
        <v>9</v>
      </c>
      <c r="D541" s="5" t="str">
        <f>"5607"</f>
        <v>5607</v>
      </c>
      <c r="E541" s="7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541" s="5" t="str">
        <f>""</f>
        <v/>
      </c>
      <c r="G541" s="5"/>
      <c r="H541" s="5" t="str">
        <f>""</f>
        <v/>
      </c>
      <c r="I541" s="16">
        <v>1240782.3700000001</v>
      </c>
      <c r="K541" s="23"/>
      <c r="M541" s="24"/>
    </row>
    <row r="542" spans="1:13" ht="11.45" customHeight="1" x14ac:dyDescent="0.25">
      <c r="A542" s="15">
        <v>131</v>
      </c>
      <c r="B542" s="6">
        <v>44651</v>
      </c>
      <c r="C542" s="5">
        <v>9</v>
      </c>
      <c r="D542" s="5" t="str">
        <f>"5608"</f>
        <v>5608</v>
      </c>
      <c r="E542" s="7" t="str">
        <f>"Прочие комиссионные расходы"</f>
        <v>Прочие комиссионные расходы</v>
      </c>
      <c r="F542" s="5" t="str">
        <f>""</f>
        <v/>
      </c>
      <c r="G542" s="5"/>
      <c r="H542" s="5" t="str">
        <f>""</f>
        <v/>
      </c>
      <c r="I542" s="16">
        <v>1829792441.1700001</v>
      </c>
      <c r="K542" s="23"/>
      <c r="M542" s="24"/>
    </row>
    <row r="543" spans="1:13" ht="11.45" customHeight="1" x14ac:dyDescent="0.25">
      <c r="A543" s="15">
        <v>133</v>
      </c>
      <c r="B543" s="6">
        <v>44651</v>
      </c>
      <c r="C543" s="5">
        <v>9</v>
      </c>
      <c r="D543" s="5" t="str">
        <f>"5609"</f>
        <v>5609</v>
      </c>
      <c r="E543" s="7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543" s="5" t="str">
        <f>""</f>
        <v/>
      </c>
      <c r="G543" s="5"/>
      <c r="H543" s="5" t="str">
        <f>""</f>
        <v/>
      </c>
      <c r="I543" s="16">
        <v>22148077.890000001</v>
      </c>
      <c r="K543" s="23"/>
      <c r="M543" s="24"/>
    </row>
    <row r="544" spans="1:13" ht="11.45" customHeight="1" x14ac:dyDescent="0.25">
      <c r="A544" s="15">
        <v>293</v>
      </c>
      <c r="B544" s="6">
        <v>44651</v>
      </c>
      <c r="C544" s="5">
        <v>9</v>
      </c>
      <c r="D544" s="5" t="str">
        <f>"5610"</f>
        <v>5610</v>
      </c>
      <c r="E544" s="7" t="str">
        <f>"Комиссионные расходы по документарным расчетам"</f>
        <v>Комиссионные расходы по документарным расчетам</v>
      </c>
      <c r="F544" s="5" t="str">
        <f>""</f>
        <v/>
      </c>
      <c r="G544" s="5"/>
      <c r="H544" s="5" t="str">
        <f>""</f>
        <v/>
      </c>
      <c r="I544" s="16">
        <v>146325</v>
      </c>
      <c r="K544" s="23"/>
      <c r="M544" s="24"/>
    </row>
    <row r="545" spans="1:13" ht="11.45" customHeight="1" x14ac:dyDescent="0.25">
      <c r="A545" s="15">
        <v>291</v>
      </c>
      <c r="B545" s="6">
        <v>44651</v>
      </c>
      <c r="C545" s="5">
        <v>9</v>
      </c>
      <c r="D545" s="5" t="str">
        <f>"5611"</f>
        <v>5611</v>
      </c>
      <c r="E545" s="7" t="str">
        <f>"Комиссионные расходы за услуги по кассовым операциям"</f>
        <v>Комиссионные расходы за услуги по кассовым операциям</v>
      </c>
      <c r="F545" s="5" t="str">
        <f>""</f>
        <v/>
      </c>
      <c r="G545" s="5"/>
      <c r="H545" s="5" t="str">
        <f>""</f>
        <v/>
      </c>
      <c r="I545" s="16">
        <v>453053.06</v>
      </c>
      <c r="K545" s="23"/>
      <c r="M545" s="24"/>
    </row>
    <row r="546" spans="1:13" ht="11.45" customHeight="1" x14ac:dyDescent="0.25">
      <c r="A546" s="15">
        <v>524</v>
      </c>
      <c r="B546" s="6">
        <v>44651</v>
      </c>
      <c r="C546" s="5">
        <v>9</v>
      </c>
      <c r="D546" s="5" t="str">
        <f>"5703"</f>
        <v>5703</v>
      </c>
      <c r="E546" s="7" t="str">
        <f>"Расходы от переоценки иностранной валюты"</f>
        <v>Расходы от переоценки иностранной валюты</v>
      </c>
      <c r="F546" s="5" t="str">
        <f>""</f>
        <v/>
      </c>
      <c r="G546" s="5"/>
      <c r="H546" s="5" t="str">
        <f>""</f>
        <v/>
      </c>
      <c r="I546" s="16">
        <v>5876150773.1899996</v>
      </c>
      <c r="K546" s="23"/>
      <c r="M546" s="24"/>
    </row>
    <row r="547" spans="1:13" ht="11.45" customHeight="1" x14ac:dyDescent="0.25">
      <c r="A547" s="15">
        <v>289</v>
      </c>
      <c r="B547" s="6">
        <v>44651</v>
      </c>
      <c r="C547" s="5">
        <v>9</v>
      </c>
      <c r="D547" s="5" t="str">
        <f>"5721"</f>
        <v>5721</v>
      </c>
      <c r="E547" s="7" t="str">
        <f>"Расходы по оплате труда"</f>
        <v>Расходы по оплате труда</v>
      </c>
      <c r="F547" s="5" t="str">
        <f>""</f>
        <v/>
      </c>
      <c r="G547" s="5"/>
      <c r="H547" s="5" t="str">
        <f>""</f>
        <v/>
      </c>
      <c r="I547" s="16">
        <v>13155300592.75</v>
      </c>
      <c r="K547" s="23"/>
      <c r="M547" s="24"/>
    </row>
    <row r="548" spans="1:13" ht="11.45" customHeight="1" x14ac:dyDescent="0.25">
      <c r="A548" s="15">
        <v>292</v>
      </c>
      <c r="B548" s="6">
        <v>44651</v>
      </c>
      <c r="C548" s="5">
        <v>9</v>
      </c>
      <c r="D548" s="5" t="str">
        <f>"5722"</f>
        <v>5722</v>
      </c>
      <c r="E548" s="7" t="str">
        <f>"Социальные отчисления"</f>
        <v>Социальные отчисления</v>
      </c>
      <c r="F548" s="5" t="str">
        <f>""</f>
        <v/>
      </c>
      <c r="G548" s="5"/>
      <c r="H548" s="5" t="str">
        <f>""</f>
        <v/>
      </c>
      <c r="I548" s="16">
        <v>218137996</v>
      </c>
      <c r="K548" s="23"/>
      <c r="M548" s="24"/>
    </row>
    <row r="549" spans="1:13" ht="11.45" customHeight="1" x14ac:dyDescent="0.25">
      <c r="A549" s="15">
        <v>373</v>
      </c>
      <c r="B549" s="6">
        <v>44651</v>
      </c>
      <c r="C549" s="5">
        <v>9</v>
      </c>
      <c r="D549" s="5" t="str">
        <f>"5729"</f>
        <v>5729</v>
      </c>
      <c r="E549" s="7" t="str">
        <f>"Прочие выплаты"</f>
        <v>Прочие выплаты</v>
      </c>
      <c r="F549" s="5" t="str">
        <f>""</f>
        <v/>
      </c>
      <c r="G549" s="5"/>
      <c r="H549" s="5" t="str">
        <f>""</f>
        <v/>
      </c>
      <c r="I549" s="16">
        <v>95286407.650000006</v>
      </c>
      <c r="K549" s="23"/>
      <c r="M549" s="24"/>
    </row>
    <row r="550" spans="1:13" ht="11.45" customHeight="1" x14ac:dyDescent="0.25">
      <c r="A550" s="15">
        <v>294</v>
      </c>
      <c r="B550" s="6">
        <v>44651</v>
      </c>
      <c r="C550" s="5">
        <v>9</v>
      </c>
      <c r="D550" s="5" t="str">
        <f>"5734"</f>
        <v>5734</v>
      </c>
      <c r="E550" s="7" t="str">
        <f>"Расходы от прочей переоценки"</f>
        <v>Расходы от прочей переоценки</v>
      </c>
      <c r="F550" s="5" t="str">
        <f>""</f>
        <v/>
      </c>
      <c r="G550" s="5"/>
      <c r="H550" s="5" t="str">
        <f>""</f>
        <v/>
      </c>
      <c r="I550" s="16">
        <v>311288.87</v>
      </c>
      <c r="K550" s="23"/>
      <c r="M550" s="24"/>
    </row>
    <row r="551" spans="1:13" ht="11.45" customHeight="1" x14ac:dyDescent="0.25">
      <c r="A551" s="15">
        <v>523</v>
      </c>
      <c r="B551" s="6">
        <v>44651</v>
      </c>
      <c r="C551" s="5">
        <v>9</v>
      </c>
      <c r="D551" s="5" t="str">
        <f>"5741"</f>
        <v>5741</v>
      </c>
      <c r="E551" s="7" t="str">
        <f>"Транспортные расходы"</f>
        <v>Транспортные расходы</v>
      </c>
      <c r="F551" s="5" t="str">
        <f>""</f>
        <v/>
      </c>
      <c r="G551" s="5"/>
      <c r="H551" s="5" t="str">
        <f>""</f>
        <v/>
      </c>
      <c r="I551" s="16">
        <v>56764097.200000003</v>
      </c>
      <c r="K551" s="23"/>
      <c r="M551" s="24"/>
    </row>
    <row r="552" spans="1:13" ht="11.45" customHeight="1" x14ac:dyDescent="0.25">
      <c r="A552" s="15">
        <v>315</v>
      </c>
      <c r="B552" s="6">
        <v>44651</v>
      </c>
      <c r="C552" s="5">
        <v>9</v>
      </c>
      <c r="D552" s="5" t="str">
        <f>"5742"</f>
        <v>5742</v>
      </c>
      <c r="E552" s="7" t="str">
        <f>"Административные расходы"</f>
        <v>Административные расходы</v>
      </c>
      <c r="F552" s="5" t="str">
        <f>""</f>
        <v/>
      </c>
      <c r="G552" s="5"/>
      <c r="H552" s="5" t="str">
        <f>""</f>
        <v/>
      </c>
      <c r="I552" s="16">
        <v>1096324069.5</v>
      </c>
      <c r="K552" s="23"/>
      <c r="M552" s="24"/>
    </row>
    <row r="553" spans="1:13" ht="11.45" customHeight="1" x14ac:dyDescent="0.25">
      <c r="A553" s="15">
        <v>461</v>
      </c>
      <c r="B553" s="6">
        <v>44651</v>
      </c>
      <c r="C553" s="5">
        <v>9</v>
      </c>
      <c r="D553" s="5" t="str">
        <f>"5743"</f>
        <v>5743</v>
      </c>
      <c r="E553" s="7" t="str">
        <f>"Расходы на инкассацию"</f>
        <v>Расходы на инкассацию</v>
      </c>
      <c r="F553" s="5" t="str">
        <f>""</f>
        <v/>
      </c>
      <c r="G553" s="5"/>
      <c r="H553" s="5" t="str">
        <f>""</f>
        <v/>
      </c>
      <c r="I553" s="16">
        <v>55562373.5</v>
      </c>
      <c r="K553" s="23"/>
      <c r="M553" s="24"/>
    </row>
    <row r="554" spans="1:13" ht="11.45" customHeight="1" x14ac:dyDescent="0.25">
      <c r="A554" s="15">
        <v>333</v>
      </c>
      <c r="B554" s="6">
        <v>44651</v>
      </c>
      <c r="C554" s="5">
        <v>9</v>
      </c>
      <c r="D554" s="5" t="str">
        <f>"5744"</f>
        <v>5744</v>
      </c>
      <c r="E554" s="7" t="str">
        <f>"Расходы на ремонт"</f>
        <v>Расходы на ремонт</v>
      </c>
      <c r="F554" s="5" t="str">
        <f>""</f>
        <v/>
      </c>
      <c r="G554" s="5"/>
      <c r="H554" s="5" t="str">
        <f>""</f>
        <v/>
      </c>
      <c r="I554" s="16">
        <v>22807269.579999998</v>
      </c>
      <c r="K554" s="23"/>
      <c r="M554" s="24"/>
    </row>
    <row r="555" spans="1:13" ht="11.45" customHeight="1" x14ac:dyDescent="0.25">
      <c r="A555" s="15">
        <v>136</v>
      </c>
      <c r="B555" s="6">
        <v>44651</v>
      </c>
      <c r="C555" s="5">
        <v>9</v>
      </c>
      <c r="D555" s="5" t="str">
        <f>"5745"</f>
        <v>5745</v>
      </c>
      <c r="E555" s="7" t="str">
        <f>"Расходы на рекламу"</f>
        <v>Расходы на рекламу</v>
      </c>
      <c r="F555" s="5" t="str">
        <f>""</f>
        <v/>
      </c>
      <c r="G555" s="5"/>
      <c r="H555" s="5" t="str">
        <f>""</f>
        <v/>
      </c>
      <c r="I555" s="16">
        <v>130145034.37</v>
      </c>
      <c r="K555" s="23"/>
      <c r="M555" s="24"/>
    </row>
    <row r="556" spans="1:13" ht="11.45" customHeight="1" x14ac:dyDescent="0.25">
      <c r="A556" s="15">
        <v>441</v>
      </c>
      <c r="B556" s="6">
        <v>44651</v>
      </c>
      <c r="C556" s="5">
        <v>9</v>
      </c>
      <c r="D556" s="5" t="str">
        <f>"5746"</f>
        <v>5746</v>
      </c>
      <c r="E556" s="7" t="str">
        <f>"Расходы на охрану и сигнализацию"</f>
        <v>Расходы на охрану и сигнализацию</v>
      </c>
      <c r="F556" s="5" t="str">
        <f>""</f>
        <v/>
      </c>
      <c r="G556" s="5"/>
      <c r="H556" s="5" t="str">
        <f>""</f>
        <v/>
      </c>
      <c r="I556" s="16">
        <v>98620432.150000006</v>
      </c>
      <c r="K556" s="23"/>
      <c r="M556" s="24"/>
    </row>
    <row r="557" spans="1:13" ht="11.45" customHeight="1" x14ac:dyDescent="0.25">
      <c r="A557" s="15">
        <v>140</v>
      </c>
      <c r="B557" s="6">
        <v>44651</v>
      </c>
      <c r="C557" s="5">
        <v>9</v>
      </c>
      <c r="D557" s="5" t="str">
        <f>"5747"</f>
        <v>5747</v>
      </c>
      <c r="E557" s="7" t="str">
        <f>"Представительские расходы"</f>
        <v>Представительские расходы</v>
      </c>
      <c r="F557" s="5" t="str">
        <f>""</f>
        <v/>
      </c>
      <c r="G557" s="5"/>
      <c r="H557" s="5" t="str">
        <f>""</f>
        <v/>
      </c>
      <c r="I557" s="16">
        <v>25387340.760000002</v>
      </c>
      <c r="K557" s="23"/>
      <c r="M557" s="24"/>
    </row>
    <row r="558" spans="1:13" ht="11.45" customHeight="1" x14ac:dyDescent="0.25">
      <c r="A558" s="15">
        <v>474</v>
      </c>
      <c r="B558" s="6">
        <v>44651</v>
      </c>
      <c r="C558" s="5">
        <v>9</v>
      </c>
      <c r="D558" s="5" t="str">
        <f>"5748"</f>
        <v>5748</v>
      </c>
      <c r="E558" s="7" t="str">
        <f>"Прочие общехозяйственные расходы"</f>
        <v>Прочие общехозяйственные расходы</v>
      </c>
      <c r="F558" s="5" t="str">
        <f>""</f>
        <v/>
      </c>
      <c r="G558" s="5"/>
      <c r="H558" s="5" t="str">
        <f>""</f>
        <v/>
      </c>
      <c r="I558" s="16">
        <v>100707400.72</v>
      </c>
      <c r="K558" s="23"/>
      <c r="M558" s="24"/>
    </row>
    <row r="559" spans="1:13" ht="11.45" customHeight="1" x14ac:dyDescent="0.25">
      <c r="A559" s="15">
        <v>295</v>
      </c>
      <c r="B559" s="6">
        <v>44651</v>
      </c>
      <c r="C559" s="5">
        <v>9</v>
      </c>
      <c r="D559" s="5" t="str">
        <f>"5749"</f>
        <v>5749</v>
      </c>
      <c r="E559" s="7" t="str">
        <f>"Расходы на служебные командировки"</f>
        <v>Расходы на служебные командировки</v>
      </c>
      <c r="F559" s="5" t="str">
        <f>""</f>
        <v/>
      </c>
      <c r="G559" s="5"/>
      <c r="H559" s="5" t="str">
        <f>""</f>
        <v/>
      </c>
      <c r="I559" s="16">
        <v>281978684.85000002</v>
      </c>
      <c r="K559" s="23"/>
      <c r="M559" s="24"/>
    </row>
    <row r="560" spans="1:13" ht="11.45" customHeight="1" x14ac:dyDescent="0.25">
      <c r="A560" s="15">
        <v>141</v>
      </c>
      <c r="B560" s="6">
        <v>44651</v>
      </c>
      <c r="C560" s="5">
        <v>9</v>
      </c>
      <c r="D560" s="5" t="str">
        <f>"5750"</f>
        <v>5750</v>
      </c>
      <c r="E560" s="7" t="str">
        <f>"Расходы по аудиту и консультационным услугам"</f>
        <v>Расходы по аудиту и консультационным услугам</v>
      </c>
      <c r="F560" s="5" t="str">
        <f>""</f>
        <v/>
      </c>
      <c r="G560" s="5"/>
      <c r="H560" s="5" t="str">
        <f>""</f>
        <v/>
      </c>
      <c r="I560" s="16">
        <v>628521154.5</v>
      </c>
      <c r="K560" s="23"/>
      <c r="M560" s="24"/>
    </row>
    <row r="561" spans="1:13" ht="11.45" customHeight="1" x14ac:dyDescent="0.25">
      <c r="A561" s="15">
        <v>138</v>
      </c>
      <c r="B561" s="6">
        <v>44651</v>
      </c>
      <c r="C561" s="5">
        <v>9</v>
      </c>
      <c r="D561" s="5" t="str">
        <f>"5752"</f>
        <v>5752</v>
      </c>
      <c r="E561" s="7" t="str">
        <f>"Расходы по страхованию"</f>
        <v>Расходы по страхованию</v>
      </c>
      <c r="F561" s="5" t="str">
        <f>""</f>
        <v/>
      </c>
      <c r="G561" s="5"/>
      <c r="H561" s="5" t="str">
        <f>""</f>
        <v/>
      </c>
      <c r="I561" s="16">
        <v>24623031.079999998</v>
      </c>
      <c r="K561" s="23"/>
      <c r="M561" s="24"/>
    </row>
    <row r="562" spans="1:13" ht="11.45" customHeight="1" x14ac:dyDescent="0.25">
      <c r="A562" s="15">
        <v>137</v>
      </c>
      <c r="B562" s="6">
        <v>44651</v>
      </c>
      <c r="C562" s="5">
        <v>9</v>
      </c>
      <c r="D562" s="5" t="str">
        <f>"5753"</f>
        <v>5753</v>
      </c>
      <c r="E562" s="7" t="str">
        <f>"Расходы по услугам связи"</f>
        <v>Расходы по услугам связи</v>
      </c>
      <c r="F562" s="5" t="str">
        <f>""</f>
        <v/>
      </c>
      <c r="G562" s="5"/>
      <c r="H562" s="5" t="str">
        <f>""</f>
        <v/>
      </c>
      <c r="I562" s="16">
        <v>555933680.35000002</v>
      </c>
      <c r="K562" s="23"/>
      <c r="M562" s="24"/>
    </row>
    <row r="563" spans="1:13" ht="11.45" customHeight="1" x14ac:dyDescent="0.25">
      <c r="A563" s="15">
        <v>139</v>
      </c>
      <c r="B563" s="6">
        <v>44651</v>
      </c>
      <c r="C563" s="5">
        <v>9</v>
      </c>
      <c r="D563" s="5" t="str">
        <f>"5754"</f>
        <v>5754</v>
      </c>
      <c r="E563" s="7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563" s="5" t="str">
        <f>""</f>
        <v/>
      </c>
      <c r="G563" s="5"/>
      <c r="H563" s="5" t="str">
        <f>""</f>
        <v/>
      </c>
      <c r="I563" s="16">
        <v>136314218</v>
      </c>
      <c r="K563" s="23"/>
      <c r="M563" s="24"/>
    </row>
    <row r="564" spans="1:13" ht="11.45" customHeight="1" x14ac:dyDescent="0.25">
      <c r="A564" s="15">
        <v>27</v>
      </c>
      <c r="B564" s="6">
        <v>44651</v>
      </c>
      <c r="C564" s="5">
        <v>9</v>
      </c>
      <c r="D564" s="5" t="str">
        <f>"5761"</f>
        <v>5761</v>
      </c>
      <c r="E564" s="7" t="str">
        <f>"Налог на добавленную стоимость"</f>
        <v>Налог на добавленную стоимость</v>
      </c>
      <c r="F564" s="5" t="str">
        <f>""</f>
        <v/>
      </c>
      <c r="G564" s="5"/>
      <c r="H564" s="5" t="str">
        <f>""</f>
        <v/>
      </c>
      <c r="I564" s="16">
        <v>309938984.54000002</v>
      </c>
      <c r="K564" s="23"/>
      <c r="M564" s="24"/>
    </row>
    <row r="565" spans="1:13" ht="11.45" customHeight="1" x14ac:dyDescent="0.25">
      <c r="A565" s="15">
        <v>449</v>
      </c>
      <c r="B565" s="6">
        <v>44651</v>
      </c>
      <c r="C565" s="5">
        <v>9</v>
      </c>
      <c r="D565" s="5" t="str">
        <f>"5763"</f>
        <v>5763</v>
      </c>
      <c r="E565" s="7" t="str">
        <f>"Социальный налог"</f>
        <v>Социальный налог</v>
      </c>
      <c r="F565" s="5" t="str">
        <f>""</f>
        <v/>
      </c>
      <c r="G565" s="5"/>
      <c r="H565" s="5" t="str">
        <f>""</f>
        <v/>
      </c>
      <c r="I565" s="16">
        <v>1079701857</v>
      </c>
      <c r="K565" s="23"/>
      <c r="M565" s="24"/>
    </row>
    <row r="566" spans="1:13" ht="11.45" customHeight="1" x14ac:dyDescent="0.25">
      <c r="A566" s="15">
        <v>462</v>
      </c>
      <c r="B566" s="6">
        <v>44651</v>
      </c>
      <c r="C566" s="5">
        <v>9</v>
      </c>
      <c r="D566" s="5" t="str">
        <f>"5764"</f>
        <v>5764</v>
      </c>
      <c r="E566" s="7" t="str">
        <f>"Земельный налог"</f>
        <v>Земельный налог</v>
      </c>
      <c r="F566" s="5" t="str">
        <f>""</f>
        <v/>
      </c>
      <c r="G566" s="5"/>
      <c r="H566" s="5" t="str">
        <f>""</f>
        <v/>
      </c>
      <c r="I566" s="16">
        <v>283025</v>
      </c>
      <c r="K566" s="23"/>
      <c r="M566" s="24"/>
    </row>
    <row r="567" spans="1:13" ht="11.45" customHeight="1" x14ac:dyDescent="0.25">
      <c r="A567" s="15">
        <v>306</v>
      </c>
      <c r="B567" s="6">
        <v>44651</v>
      </c>
      <c r="C567" s="5">
        <v>9</v>
      </c>
      <c r="D567" s="5" t="str">
        <f>"5765"</f>
        <v>5765</v>
      </c>
      <c r="E567" s="7" t="str">
        <f>"Налог на имущество юридических лиц"</f>
        <v>Налог на имущество юридических лиц</v>
      </c>
      <c r="F567" s="5" t="str">
        <f>""</f>
        <v/>
      </c>
      <c r="G567" s="5"/>
      <c r="H567" s="5" t="str">
        <f>""</f>
        <v/>
      </c>
      <c r="I567" s="16">
        <v>15189494</v>
      </c>
      <c r="K567" s="23"/>
      <c r="M567" s="24"/>
    </row>
    <row r="568" spans="1:13" ht="11.45" customHeight="1" x14ac:dyDescent="0.25">
      <c r="A568" s="15">
        <v>144</v>
      </c>
      <c r="B568" s="6">
        <v>44651</v>
      </c>
      <c r="C568" s="5">
        <v>9</v>
      </c>
      <c r="D568" s="5" t="str">
        <f>"5768"</f>
        <v>5768</v>
      </c>
      <c r="E568" s="7" t="str">
        <f>"Прочие налоги и обязательные платежи в бюджет"</f>
        <v>Прочие налоги и обязательные платежи в бюджет</v>
      </c>
      <c r="F568" s="5" t="str">
        <f>""</f>
        <v/>
      </c>
      <c r="G568" s="5"/>
      <c r="H568" s="5" t="str">
        <f>""</f>
        <v/>
      </c>
      <c r="I568" s="16">
        <v>66611613.700000003</v>
      </c>
      <c r="K568" s="23"/>
      <c r="M568" s="24"/>
    </row>
    <row r="569" spans="1:13" ht="11.45" customHeight="1" x14ac:dyDescent="0.25">
      <c r="A569" s="15">
        <v>403</v>
      </c>
      <c r="B569" s="6">
        <v>44651</v>
      </c>
      <c r="C569" s="5">
        <v>9</v>
      </c>
      <c r="D569" s="5" t="str">
        <f>"5781"</f>
        <v>5781</v>
      </c>
      <c r="E569" s="7" t="str">
        <f>"Расходы по амортизации зданий и сооружений"</f>
        <v>Расходы по амортизации зданий и сооружений</v>
      </c>
      <c r="F569" s="5" t="str">
        <f>""</f>
        <v/>
      </c>
      <c r="G569" s="5"/>
      <c r="H569" s="5" t="str">
        <f>""</f>
        <v/>
      </c>
      <c r="I569" s="16">
        <v>90052831.189999998</v>
      </c>
      <c r="K569" s="23"/>
      <c r="M569" s="24"/>
    </row>
    <row r="570" spans="1:13" ht="11.45" customHeight="1" x14ac:dyDescent="0.25">
      <c r="A570" s="15">
        <v>525</v>
      </c>
      <c r="B570" s="6">
        <v>44651</v>
      </c>
      <c r="C570" s="5">
        <v>9</v>
      </c>
      <c r="D570" s="5" t="str">
        <f>"5782"</f>
        <v>5782</v>
      </c>
      <c r="E570" s="7" t="str">
        <f>"Расходы по амортизации компьютерного оборудования"</f>
        <v>Расходы по амортизации компьютерного оборудования</v>
      </c>
      <c r="F570" s="5" t="str">
        <f>""</f>
        <v/>
      </c>
      <c r="G570" s="5"/>
      <c r="H570" s="5" t="str">
        <f>""</f>
        <v/>
      </c>
      <c r="I570" s="16">
        <v>573159244.47000003</v>
      </c>
      <c r="K570" s="23"/>
      <c r="M570" s="24"/>
    </row>
    <row r="571" spans="1:13" ht="11.45" customHeight="1" x14ac:dyDescent="0.25">
      <c r="A571" s="15">
        <v>556</v>
      </c>
      <c r="B571" s="6">
        <v>44651</v>
      </c>
      <c r="C571" s="5">
        <v>9</v>
      </c>
      <c r="D571" s="5" t="str">
        <f>"5783"</f>
        <v>5783</v>
      </c>
      <c r="E571" s="7" t="str">
        <f>"Расходы по амортизации прочих основных средств"</f>
        <v>Расходы по амортизации прочих основных средств</v>
      </c>
      <c r="F571" s="5" t="str">
        <f>""</f>
        <v/>
      </c>
      <c r="G571" s="5"/>
      <c r="H571" s="5" t="str">
        <f>""</f>
        <v/>
      </c>
      <c r="I571" s="16">
        <v>131020772.33</v>
      </c>
      <c r="K571" s="23"/>
      <c r="M571" s="24"/>
    </row>
    <row r="572" spans="1:13" ht="11.45" customHeight="1" x14ac:dyDescent="0.25">
      <c r="A572" s="15">
        <v>388</v>
      </c>
      <c r="B572" s="6">
        <v>44651</v>
      </c>
      <c r="C572" s="5">
        <v>9</v>
      </c>
      <c r="D572" s="5" t="str">
        <f>"5784"</f>
        <v>5784</v>
      </c>
      <c r="E572" s="7" t="str">
        <f>"Расходы по амортизации активов в форме права пользования"</f>
        <v>Расходы по амортизации активов в форме права пользования</v>
      </c>
      <c r="F572" s="5" t="str">
        <f>""</f>
        <v/>
      </c>
      <c r="G572" s="5"/>
      <c r="H572" s="5" t="str">
        <f>""</f>
        <v/>
      </c>
      <c r="I572" s="16">
        <v>242005796.12</v>
      </c>
      <c r="K572" s="23"/>
      <c r="M572" s="24"/>
    </row>
    <row r="573" spans="1:13" ht="11.45" customHeight="1" x14ac:dyDescent="0.25">
      <c r="A573" s="15">
        <v>305</v>
      </c>
      <c r="B573" s="6">
        <v>44651</v>
      </c>
      <c r="C573" s="5">
        <v>9</v>
      </c>
      <c r="D573" s="5" t="str">
        <f>"5786"</f>
        <v>5786</v>
      </c>
      <c r="E573" s="7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73" s="5" t="str">
        <f>""</f>
        <v/>
      </c>
      <c r="G573" s="5"/>
      <c r="H573" s="5" t="str">
        <f>""</f>
        <v/>
      </c>
      <c r="I573" s="16">
        <v>53581761.810000002</v>
      </c>
      <c r="K573" s="23"/>
      <c r="M573" s="24"/>
    </row>
    <row r="574" spans="1:13" ht="11.45" customHeight="1" x14ac:dyDescent="0.25">
      <c r="A574" s="15">
        <v>145</v>
      </c>
      <c r="B574" s="6">
        <v>44651</v>
      </c>
      <c r="C574" s="5">
        <v>9</v>
      </c>
      <c r="D574" s="5" t="str">
        <f>"5787"</f>
        <v>5787</v>
      </c>
      <c r="E574" s="7" t="str">
        <f>"Расходы по амортизации транспортных средств"</f>
        <v>Расходы по амортизации транспортных средств</v>
      </c>
      <c r="F574" s="5" t="str">
        <f>""</f>
        <v/>
      </c>
      <c r="G574" s="5"/>
      <c r="H574" s="5" t="str">
        <f>""</f>
        <v/>
      </c>
      <c r="I574" s="16">
        <v>659110.53</v>
      </c>
      <c r="K574" s="23"/>
      <c r="M574" s="24"/>
    </row>
    <row r="575" spans="1:13" ht="11.45" customHeight="1" x14ac:dyDescent="0.25">
      <c r="A575" s="15">
        <v>304</v>
      </c>
      <c r="B575" s="6">
        <v>44651</v>
      </c>
      <c r="C575" s="5">
        <v>9</v>
      </c>
      <c r="D575" s="5" t="str">
        <f>"5788"</f>
        <v>5788</v>
      </c>
      <c r="E575" s="7" t="str">
        <f>"Расходы по амортизации нематериальных активов"</f>
        <v>Расходы по амортизации нематериальных активов</v>
      </c>
      <c r="F575" s="5" t="str">
        <f>""</f>
        <v/>
      </c>
      <c r="G575" s="5"/>
      <c r="H575" s="5" t="str">
        <f>""</f>
        <v/>
      </c>
      <c r="I575" s="16">
        <v>488136248.22000003</v>
      </c>
      <c r="K575" s="23"/>
      <c r="M575" s="24"/>
    </row>
    <row r="576" spans="1:13" ht="11.45" customHeight="1" x14ac:dyDescent="0.25">
      <c r="A576" s="15">
        <v>297</v>
      </c>
      <c r="B576" s="6">
        <v>44651</v>
      </c>
      <c r="C576" s="5">
        <v>9</v>
      </c>
      <c r="D576" s="5" t="str">
        <f>"5852"</f>
        <v>5852</v>
      </c>
      <c r="E576" s="7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576" s="5" t="str">
        <f>""</f>
        <v/>
      </c>
      <c r="G576" s="5"/>
      <c r="H576" s="5" t="str">
        <f>""</f>
        <v/>
      </c>
      <c r="I576" s="16">
        <v>131132.37</v>
      </c>
      <c r="K576" s="23"/>
      <c r="M576" s="24"/>
    </row>
    <row r="577" spans="1:13" ht="11.45" customHeight="1" x14ac:dyDescent="0.25">
      <c r="A577" s="15">
        <v>301</v>
      </c>
      <c r="B577" s="6">
        <v>44651</v>
      </c>
      <c r="C577" s="5">
        <v>9</v>
      </c>
      <c r="D577" s="5" t="str">
        <f>"5892"</f>
        <v>5892</v>
      </c>
      <c r="E577" s="7" t="str">
        <f>"Расходы по операциям форвард"</f>
        <v>Расходы по операциям форвард</v>
      </c>
      <c r="F577" s="5" t="str">
        <f>""</f>
        <v/>
      </c>
      <c r="G577" s="5"/>
      <c r="H577" s="5" t="str">
        <f>""</f>
        <v/>
      </c>
      <c r="I577" s="16">
        <v>303492290.63999999</v>
      </c>
      <c r="K577" s="23"/>
      <c r="M577" s="24"/>
    </row>
    <row r="578" spans="1:13" ht="11.45" customHeight="1" x14ac:dyDescent="0.25">
      <c r="A578" s="15">
        <v>443</v>
      </c>
      <c r="B578" s="6">
        <v>44651</v>
      </c>
      <c r="C578" s="5">
        <v>9</v>
      </c>
      <c r="D578" s="5" t="str">
        <f>"5895"</f>
        <v>5895</v>
      </c>
      <c r="E578" s="7" t="str">
        <f>"Расходы по операциям своп"</f>
        <v>Расходы по операциям своп</v>
      </c>
      <c r="F578" s="5" t="str">
        <f>""</f>
        <v/>
      </c>
      <c r="G578" s="5"/>
      <c r="H578" s="5" t="str">
        <f>""</f>
        <v/>
      </c>
      <c r="I578" s="16">
        <v>4908176301.5</v>
      </c>
      <c r="K578" s="23"/>
      <c r="M578" s="24"/>
    </row>
    <row r="579" spans="1:13" ht="11.45" customHeight="1" x14ac:dyDescent="0.25">
      <c r="A579" s="15">
        <v>307</v>
      </c>
      <c r="B579" s="6">
        <v>44651</v>
      </c>
      <c r="C579" s="5">
        <v>9</v>
      </c>
      <c r="D579" s="5" t="str">
        <f>"5900"</f>
        <v>5900</v>
      </c>
      <c r="E579" s="7" t="str">
        <f>"Неустойка (штраф, пеня)"</f>
        <v>Неустойка (штраф, пеня)</v>
      </c>
      <c r="F579" s="5" t="str">
        <f>""</f>
        <v/>
      </c>
      <c r="G579" s="5"/>
      <c r="H579" s="5" t="str">
        <f>""</f>
        <v/>
      </c>
      <c r="I579" s="16">
        <v>1652021.2</v>
      </c>
      <c r="K579" s="23"/>
      <c r="M579" s="24"/>
    </row>
    <row r="580" spans="1:13" ht="11.45" customHeight="1" x14ac:dyDescent="0.25">
      <c r="A580" s="15">
        <v>334</v>
      </c>
      <c r="B580" s="6">
        <v>44651</v>
      </c>
      <c r="C580" s="5">
        <v>9</v>
      </c>
      <c r="D580" s="5" t="str">
        <f>"5921"</f>
        <v>5921</v>
      </c>
      <c r="E580" s="7" t="str">
        <f>"Прочие расходы от банковской деятельности"</f>
        <v>Прочие расходы от банковской деятельности</v>
      </c>
      <c r="F580" s="5" t="str">
        <f>""</f>
        <v/>
      </c>
      <c r="G580" s="5"/>
      <c r="H580" s="5" t="str">
        <f>""</f>
        <v/>
      </c>
      <c r="I580" s="16">
        <v>147935625.11000001</v>
      </c>
      <c r="K580" s="23"/>
      <c r="M580" s="24"/>
    </row>
    <row r="581" spans="1:13" ht="11.45" customHeight="1" x14ac:dyDescent="0.25">
      <c r="A581" s="15">
        <v>442</v>
      </c>
      <c r="B581" s="6">
        <v>44651</v>
      </c>
      <c r="C581" s="5">
        <v>9</v>
      </c>
      <c r="D581" s="5" t="str">
        <f>"5922"</f>
        <v>5922</v>
      </c>
      <c r="E581" s="7" t="str">
        <f>"Прочие расходы от неосновной деятельности"</f>
        <v>Прочие расходы от неосновной деятельности</v>
      </c>
      <c r="F581" s="5" t="str">
        <f>""</f>
        <v/>
      </c>
      <c r="G581" s="5"/>
      <c r="H581" s="5" t="str">
        <f>""</f>
        <v/>
      </c>
      <c r="I581" s="16">
        <v>165229386.44999999</v>
      </c>
      <c r="K581" s="23"/>
      <c r="M581" s="24"/>
    </row>
    <row r="582" spans="1:13" ht="11.45" customHeight="1" x14ac:dyDescent="0.25">
      <c r="A582" s="15">
        <v>29</v>
      </c>
      <c r="B582" s="6">
        <v>44651</v>
      </c>
      <c r="C582" s="5">
        <v>9</v>
      </c>
      <c r="D582" s="5" t="str">
        <f>"5923"</f>
        <v>5923</v>
      </c>
      <c r="E582" s="7" t="str">
        <f>"Расходы по аренде"</f>
        <v>Расходы по аренде</v>
      </c>
      <c r="F582" s="5" t="str">
        <f>""</f>
        <v/>
      </c>
      <c r="G582" s="5"/>
      <c r="H582" s="5" t="str">
        <f>""</f>
        <v/>
      </c>
      <c r="I582" s="16">
        <v>116394552.26000001</v>
      </c>
      <c r="K582" s="23"/>
      <c r="M582" s="24"/>
    </row>
    <row r="583" spans="1:13" ht="11.45" customHeight="1" x14ac:dyDescent="0.25">
      <c r="A583" s="15">
        <v>298</v>
      </c>
      <c r="B583" s="6">
        <v>44651</v>
      </c>
      <c r="C583" s="5">
        <v>9</v>
      </c>
      <c r="D583" s="5" t="str">
        <f>"5999"</f>
        <v>5999</v>
      </c>
      <c r="E583" s="7" t="str">
        <f>"Корпоративный подоходный налог"</f>
        <v>Корпоративный подоходный налог</v>
      </c>
      <c r="F583" s="5" t="str">
        <f>""</f>
        <v/>
      </c>
      <c r="G583" s="5"/>
      <c r="H583" s="5" t="str">
        <f>""</f>
        <v/>
      </c>
      <c r="I583" s="16">
        <v>1012000000</v>
      </c>
      <c r="K583" s="23"/>
      <c r="M583" s="24"/>
    </row>
    <row r="584" spans="1:13" ht="11.45" customHeight="1" x14ac:dyDescent="0.25">
      <c r="A584" s="15">
        <v>444</v>
      </c>
      <c r="B584" s="6">
        <v>44651</v>
      </c>
      <c r="C584" s="5">
        <v>9</v>
      </c>
      <c r="D584" s="5" t="str">
        <f>"6005"</f>
        <v>6005</v>
      </c>
      <c r="E584" s="7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584" s="5" t="str">
        <f>""</f>
        <v/>
      </c>
      <c r="G584" s="5"/>
      <c r="H584" s="5" t="str">
        <f>""</f>
        <v/>
      </c>
      <c r="I584" s="16">
        <v>703980232.76999998</v>
      </c>
      <c r="K584" s="23"/>
      <c r="M584" s="24"/>
    </row>
    <row r="585" spans="1:13" ht="11.45" customHeight="1" x14ac:dyDescent="0.25">
      <c r="A585" s="15">
        <v>450</v>
      </c>
      <c r="B585" s="6">
        <v>44651</v>
      </c>
      <c r="C585" s="5">
        <v>9</v>
      </c>
      <c r="D585" s="5" t="str">
        <f>"6010"</f>
        <v>6010</v>
      </c>
      <c r="E585" s="7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585" s="5" t="str">
        <f>""</f>
        <v/>
      </c>
      <c r="G585" s="5"/>
      <c r="H585" s="5" t="str">
        <f>""</f>
        <v/>
      </c>
      <c r="I585" s="16">
        <v>1515507.5</v>
      </c>
      <c r="K585" s="23"/>
      <c r="M585" s="24"/>
    </row>
    <row r="586" spans="1:13" ht="11.45" customHeight="1" x14ac:dyDescent="0.25">
      <c r="A586" s="15">
        <v>302</v>
      </c>
      <c r="B586" s="6">
        <v>44651</v>
      </c>
      <c r="C586" s="5">
        <v>9</v>
      </c>
      <c r="D586" s="5" t="str">
        <f>"6020"</f>
        <v>6020</v>
      </c>
      <c r="E586" s="7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586" s="5" t="str">
        <f>""</f>
        <v/>
      </c>
      <c r="G586" s="5"/>
      <c r="H586" s="5" t="str">
        <f>""</f>
        <v/>
      </c>
      <c r="I586" s="16">
        <v>2402591501.7600002</v>
      </c>
      <c r="K586" s="23"/>
      <c r="M586" s="24"/>
    </row>
    <row r="587" spans="1:13" ht="11.45" customHeight="1" x14ac:dyDescent="0.25">
      <c r="A587" s="15">
        <v>316</v>
      </c>
      <c r="B587" s="6">
        <v>44651</v>
      </c>
      <c r="C587" s="5">
        <v>9</v>
      </c>
      <c r="D587" s="5" t="str">
        <f>"6055"</f>
        <v>6055</v>
      </c>
      <c r="E587" s="7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87" s="5" t="str">
        <f>""</f>
        <v/>
      </c>
      <c r="G587" s="5"/>
      <c r="H587" s="5" t="str">
        <f>""</f>
        <v/>
      </c>
      <c r="I587" s="16">
        <v>61375810573.400002</v>
      </c>
      <c r="K587" s="23"/>
      <c r="M587" s="24"/>
    </row>
    <row r="588" spans="1:13" ht="11.45" customHeight="1" x14ac:dyDescent="0.25">
      <c r="A588" s="15">
        <v>296</v>
      </c>
      <c r="B588" s="6">
        <v>44651</v>
      </c>
      <c r="C588" s="5">
        <v>9</v>
      </c>
      <c r="D588" s="5" t="str">
        <f>"6075"</f>
        <v>6075</v>
      </c>
      <c r="E588" s="7" t="str">
        <f>"Возможные требования по принятым гарантиям"</f>
        <v>Возможные требования по принятым гарантиям</v>
      </c>
      <c r="F588" s="5" t="str">
        <f>""</f>
        <v/>
      </c>
      <c r="G588" s="5"/>
      <c r="H588" s="5" t="str">
        <f>""</f>
        <v/>
      </c>
      <c r="I588" s="16">
        <v>1372345481986.01</v>
      </c>
      <c r="K588" s="23"/>
      <c r="M588" s="24"/>
    </row>
    <row r="589" spans="1:13" ht="11.45" customHeight="1" x14ac:dyDescent="0.25">
      <c r="A589" s="15">
        <v>300</v>
      </c>
      <c r="B589" s="6">
        <v>44651</v>
      </c>
      <c r="C589" s="5">
        <v>9</v>
      </c>
      <c r="D589" s="5" t="str">
        <f>"6125"</f>
        <v>6125</v>
      </c>
      <c r="E589" s="7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589" s="5" t="str">
        <f>""</f>
        <v/>
      </c>
      <c r="G589" s="5"/>
      <c r="H589" s="5" t="str">
        <f>""</f>
        <v/>
      </c>
      <c r="I589" s="16">
        <v>131819427607.64999</v>
      </c>
      <c r="K589" s="23"/>
      <c r="M589" s="24"/>
    </row>
    <row r="590" spans="1:13" ht="11.45" customHeight="1" x14ac:dyDescent="0.25">
      <c r="A590" s="15">
        <v>146</v>
      </c>
      <c r="B590" s="6">
        <v>44651</v>
      </c>
      <c r="C590" s="5">
        <v>9</v>
      </c>
      <c r="D590" s="5" t="str">
        <f>"6126"</f>
        <v>6126</v>
      </c>
      <c r="E590" s="7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90" s="5" t="str">
        <f>""</f>
        <v/>
      </c>
      <c r="G590" s="5"/>
      <c r="H590" s="5" t="str">
        <f>""</f>
        <v/>
      </c>
      <c r="I590" s="16">
        <v>178073976010.48999</v>
      </c>
      <c r="K590" s="23"/>
      <c r="M590" s="24"/>
    </row>
    <row r="591" spans="1:13" ht="11.45" customHeight="1" x14ac:dyDescent="0.25">
      <c r="A591" s="15">
        <v>376</v>
      </c>
      <c r="B591" s="6">
        <v>44651</v>
      </c>
      <c r="C591" s="5">
        <v>9</v>
      </c>
      <c r="D591" s="5" t="str">
        <f>"6405"</f>
        <v>6405</v>
      </c>
      <c r="E591" s="7" t="str">
        <f>"Условные требования по купле-продаже иностранной валюты"</f>
        <v>Условные требования по купле-продаже иностранной валюты</v>
      </c>
      <c r="F591" s="5" t="str">
        <f>""</f>
        <v/>
      </c>
      <c r="G591" s="5"/>
      <c r="H591" s="5" t="str">
        <f>""</f>
        <v/>
      </c>
      <c r="I591" s="16">
        <v>9327800000</v>
      </c>
      <c r="K591" s="23"/>
      <c r="M591" s="24"/>
    </row>
    <row r="592" spans="1:13" ht="11.45" customHeight="1" x14ac:dyDescent="0.25">
      <c r="A592" s="15">
        <v>299</v>
      </c>
      <c r="B592" s="6">
        <v>44651</v>
      </c>
      <c r="C592" s="5">
        <v>9</v>
      </c>
      <c r="D592" s="5" t="str">
        <f>"6505"</f>
        <v>6505</v>
      </c>
      <c r="E592" s="7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592" s="5" t="str">
        <f>""</f>
        <v/>
      </c>
      <c r="G592" s="5"/>
      <c r="H592" s="5" t="str">
        <f>""</f>
        <v/>
      </c>
      <c r="I592" s="16">
        <v>703980232.76999998</v>
      </c>
      <c r="K592" s="23"/>
      <c r="M592" s="24"/>
    </row>
    <row r="593" spans="1:13" ht="11.45" customHeight="1" x14ac:dyDescent="0.25">
      <c r="A593" s="15">
        <v>374</v>
      </c>
      <c r="B593" s="6">
        <v>44651</v>
      </c>
      <c r="C593" s="5">
        <v>9</v>
      </c>
      <c r="D593" s="5" t="str">
        <f>"6510"</f>
        <v>6510</v>
      </c>
      <c r="E593" s="7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593" s="5" t="str">
        <f>""</f>
        <v/>
      </c>
      <c r="G593" s="5"/>
      <c r="H593" s="5" t="str">
        <f>""</f>
        <v/>
      </c>
      <c r="I593" s="16">
        <v>1515507.5</v>
      </c>
      <c r="K593" s="23"/>
      <c r="M593" s="24"/>
    </row>
    <row r="594" spans="1:13" ht="11.45" customHeight="1" x14ac:dyDescent="0.25">
      <c r="A594" s="15">
        <v>496</v>
      </c>
      <c r="B594" s="6">
        <v>44651</v>
      </c>
      <c r="C594" s="5">
        <v>9</v>
      </c>
      <c r="D594" s="5" t="str">
        <f>"6520"</f>
        <v>6520</v>
      </c>
      <c r="E594" s="7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594" s="5" t="str">
        <f>""</f>
        <v/>
      </c>
      <c r="G594" s="5"/>
      <c r="H594" s="5" t="str">
        <f>""</f>
        <v/>
      </c>
      <c r="I594" s="16">
        <v>2402591501.7600002</v>
      </c>
      <c r="K594" s="23"/>
      <c r="M594" s="24"/>
    </row>
    <row r="595" spans="1:13" ht="11.45" customHeight="1" x14ac:dyDescent="0.25">
      <c r="A595" s="15">
        <v>339</v>
      </c>
      <c r="B595" s="6">
        <v>44651</v>
      </c>
      <c r="C595" s="5">
        <v>9</v>
      </c>
      <c r="D595" s="5" t="str">
        <f>"6555"</f>
        <v>6555</v>
      </c>
      <c r="E595" s="7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95" s="5" t="str">
        <f>""</f>
        <v/>
      </c>
      <c r="G595" s="5"/>
      <c r="H595" s="5" t="str">
        <f>""</f>
        <v/>
      </c>
      <c r="I595" s="16">
        <v>61375810573.400002</v>
      </c>
      <c r="K595" s="23"/>
      <c r="M595" s="24"/>
    </row>
    <row r="596" spans="1:13" ht="11.45" customHeight="1" x14ac:dyDescent="0.25">
      <c r="A596" s="15">
        <v>143</v>
      </c>
      <c r="B596" s="6">
        <v>44651</v>
      </c>
      <c r="C596" s="5">
        <v>9</v>
      </c>
      <c r="D596" s="5" t="str">
        <f>"6575"</f>
        <v>6575</v>
      </c>
      <c r="E596" s="7" t="str">
        <f>"Возможное уменьшение требований по принятым гарантиям"</f>
        <v>Возможное уменьшение требований по принятым гарантиям</v>
      </c>
      <c r="F596" s="5" t="str">
        <f>""</f>
        <v/>
      </c>
      <c r="G596" s="5"/>
      <c r="H596" s="5" t="str">
        <f>""</f>
        <v/>
      </c>
      <c r="I596" s="16">
        <v>1372345481986.01</v>
      </c>
      <c r="K596" s="23"/>
      <c r="M596" s="24"/>
    </row>
    <row r="597" spans="1:13" ht="11.45" customHeight="1" x14ac:dyDescent="0.25">
      <c r="A597" s="15">
        <v>30</v>
      </c>
      <c r="B597" s="6">
        <v>44651</v>
      </c>
      <c r="C597" s="5">
        <v>9</v>
      </c>
      <c r="D597" s="5" t="str">
        <f>"6625"</f>
        <v>6625</v>
      </c>
      <c r="E597" s="7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597" s="5" t="str">
        <f>""</f>
        <v/>
      </c>
      <c r="G597" s="5"/>
      <c r="H597" s="5" t="str">
        <f>""</f>
        <v/>
      </c>
      <c r="I597" s="16">
        <v>131819427607.64999</v>
      </c>
      <c r="K597" s="23"/>
      <c r="M597" s="24"/>
    </row>
    <row r="598" spans="1:13" ht="11.45" customHeight="1" x14ac:dyDescent="0.25">
      <c r="A598" s="15">
        <v>28</v>
      </c>
      <c r="B598" s="6">
        <v>44651</v>
      </c>
      <c r="C598" s="5">
        <v>9</v>
      </c>
      <c r="D598" s="5" t="str">
        <f>"6626"</f>
        <v>6626</v>
      </c>
      <c r="E598" s="7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98" s="5" t="str">
        <f>""</f>
        <v/>
      </c>
      <c r="G598" s="5"/>
      <c r="H598" s="5" t="str">
        <f>""</f>
        <v/>
      </c>
      <c r="I598" s="16">
        <v>178073976010.48999</v>
      </c>
      <c r="K598" s="23"/>
      <c r="M598" s="24"/>
    </row>
    <row r="599" spans="1:13" ht="11.45" customHeight="1" x14ac:dyDescent="0.25">
      <c r="A599" s="15">
        <v>377</v>
      </c>
      <c r="B599" s="6">
        <v>44651</v>
      </c>
      <c r="C599" s="5">
        <v>9</v>
      </c>
      <c r="D599" s="5" t="str">
        <f>"6905"</f>
        <v>6905</v>
      </c>
      <c r="E599" s="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99" s="5" t="str">
        <f>""</f>
        <v/>
      </c>
      <c r="G599" s="5"/>
      <c r="H599" s="5" t="str">
        <f>""</f>
        <v/>
      </c>
      <c r="I599" s="16">
        <v>9417508800</v>
      </c>
      <c r="K599" s="23"/>
      <c r="M599" s="24"/>
    </row>
    <row r="600" spans="1:13" ht="11.45" customHeight="1" x14ac:dyDescent="0.25">
      <c r="A600" s="15">
        <v>303</v>
      </c>
      <c r="B600" s="6">
        <v>44651</v>
      </c>
      <c r="C600" s="5">
        <v>9</v>
      </c>
      <c r="D600" s="5" t="str">
        <f>"6999"</f>
        <v>6999</v>
      </c>
      <c r="E600" s="7" t="str">
        <f>"Позиция по сделкам с иностранной валютой"</f>
        <v>Позиция по сделкам с иностранной валютой</v>
      </c>
      <c r="F600" s="5" t="str">
        <f>""</f>
        <v/>
      </c>
      <c r="G600" s="5"/>
      <c r="H600" s="5" t="str">
        <f>""</f>
        <v/>
      </c>
      <c r="I600" s="16">
        <v>-89708800</v>
      </c>
      <c r="K600" s="23"/>
      <c r="M600" s="24"/>
    </row>
    <row r="601" spans="1:13" ht="11.45" customHeight="1" x14ac:dyDescent="0.25">
      <c r="A601" s="15">
        <v>375</v>
      </c>
      <c r="B601" s="6">
        <v>44651</v>
      </c>
      <c r="C601" s="5">
        <v>9</v>
      </c>
      <c r="D601" s="5" t="str">
        <f>"7110"</f>
        <v>7110</v>
      </c>
      <c r="E601" s="7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601" s="5" t="str">
        <f>""</f>
        <v/>
      </c>
      <c r="G601" s="5"/>
      <c r="H601" s="5" t="str">
        <f>""</f>
        <v/>
      </c>
      <c r="I601" s="16">
        <v>1002352815.6</v>
      </c>
      <c r="K601" s="23"/>
      <c r="M601" s="24"/>
    </row>
    <row r="602" spans="1:13" ht="11.45" customHeight="1" x14ac:dyDescent="0.25">
      <c r="A602" s="15">
        <v>557</v>
      </c>
      <c r="B602" s="6">
        <v>44651</v>
      </c>
      <c r="C602" s="5">
        <v>9</v>
      </c>
      <c r="D602" s="5" t="str">
        <f>"7220"</f>
        <v>7220</v>
      </c>
      <c r="E602" s="7" t="str">
        <f>"Арендованные активы"</f>
        <v>Арендованные активы</v>
      </c>
      <c r="F602" s="5" t="str">
        <f>""</f>
        <v/>
      </c>
      <c r="G602" s="5"/>
      <c r="H602" s="5" t="str">
        <f>""</f>
        <v/>
      </c>
      <c r="I602" s="16">
        <v>46215472.329999998</v>
      </c>
      <c r="K602" s="23"/>
      <c r="M602" s="24"/>
    </row>
    <row r="603" spans="1:13" ht="11.45" customHeight="1" x14ac:dyDescent="0.25">
      <c r="A603" s="15">
        <v>142</v>
      </c>
      <c r="B603" s="6">
        <v>44651</v>
      </c>
      <c r="C603" s="5">
        <v>9</v>
      </c>
      <c r="D603" s="5" t="str">
        <f>"7250"</f>
        <v>7250</v>
      </c>
      <c r="E603" s="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603" s="5" t="str">
        <f>""</f>
        <v/>
      </c>
      <c r="G603" s="5"/>
      <c r="H603" s="5" t="str">
        <f>""</f>
        <v/>
      </c>
      <c r="I603" s="16">
        <v>188230023490.29999</v>
      </c>
      <c r="K603" s="23"/>
      <c r="M603" s="24"/>
    </row>
    <row r="604" spans="1:13" ht="11.45" customHeight="1" x14ac:dyDescent="0.25">
      <c r="A604" s="15">
        <v>558</v>
      </c>
      <c r="B604" s="6">
        <v>44651</v>
      </c>
      <c r="C604" s="5">
        <v>9</v>
      </c>
      <c r="D604" s="5" t="str">
        <f>"7303"</f>
        <v>7303</v>
      </c>
      <c r="E604" s="7" t="str">
        <f>"Платежные документы, не оплаченные в срок"</f>
        <v>Платежные документы, не оплаченные в срок</v>
      </c>
      <c r="F604" s="5" t="str">
        <f>""</f>
        <v/>
      </c>
      <c r="G604" s="5"/>
      <c r="H604" s="5" t="str">
        <f>""</f>
        <v/>
      </c>
      <c r="I604" s="16">
        <v>790188854088.52002</v>
      </c>
      <c r="K604" s="23"/>
      <c r="M604" s="24"/>
    </row>
    <row r="605" spans="1:13" ht="11.45" customHeight="1" x14ac:dyDescent="0.25">
      <c r="A605" s="15">
        <v>475</v>
      </c>
      <c r="B605" s="6">
        <v>44651</v>
      </c>
      <c r="C605" s="5">
        <v>9</v>
      </c>
      <c r="D605" s="5" t="str">
        <f>"7339"</f>
        <v>7339</v>
      </c>
      <c r="E605" s="7" t="str">
        <f>"Разные ценности и документы"</f>
        <v>Разные ценности и документы</v>
      </c>
      <c r="F605" s="5" t="str">
        <f>""</f>
        <v/>
      </c>
      <c r="G605" s="5"/>
      <c r="H605" s="5" t="str">
        <f>""</f>
        <v/>
      </c>
      <c r="I605" s="16">
        <v>26357734126</v>
      </c>
      <c r="K605" s="23"/>
      <c r="M605" s="24"/>
    </row>
    <row r="606" spans="1:13" ht="11.45" customHeight="1" x14ac:dyDescent="0.25">
      <c r="A606" s="15">
        <v>308</v>
      </c>
      <c r="B606" s="6">
        <v>44651</v>
      </c>
      <c r="C606" s="5">
        <v>9</v>
      </c>
      <c r="D606" s="5" t="str">
        <f>"7342"</f>
        <v>7342</v>
      </c>
      <c r="E606" s="7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606" s="5" t="str">
        <f>""</f>
        <v/>
      </c>
      <c r="G606" s="5"/>
      <c r="H606" s="5" t="str">
        <f>""</f>
        <v/>
      </c>
      <c r="I606" s="16">
        <v>474739.6</v>
      </c>
      <c r="K606" s="23"/>
      <c r="M606" s="24"/>
    </row>
    <row r="607" spans="1:13" ht="11.45" customHeight="1" thickBot="1" x14ac:dyDescent="0.3">
      <c r="A607" s="17">
        <v>309</v>
      </c>
      <c r="B607" s="18">
        <v>44651</v>
      </c>
      <c r="C607" s="19">
        <v>9</v>
      </c>
      <c r="D607" s="19" t="str">
        <f>"7360"</f>
        <v>7360</v>
      </c>
      <c r="E607" s="20" t="str">
        <f>"Акции и другие ценные бумаги клиентов"</f>
        <v>Акции и другие ценные бумаги клиентов</v>
      </c>
      <c r="F607" s="19" t="str">
        <f>""</f>
        <v/>
      </c>
      <c r="G607" s="5"/>
      <c r="H607" s="19" t="str">
        <f>""</f>
        <v/>
      </c>
      <c r="I607" s="21">
        <v>794787000</v>
      </c>
      <c r="K607" s="23"/>
      <c r="M607" s="24"/>
    </row>
    <row r="608" spans="1:13" ht="11.45" customHeight="1" x14ac:dyDescent="0.25">
      <c r="I608" s="22"/>
    </row>
  </sheetData>
  <mergeCells count="2">
    <mergeCell ref="A3:I3"/>
    <mergeCell ref="A4:I4"/>
  </mergeCells>
  <pageMargins left="0.70866141732283472" right="0.51181102362204722" top="0.74803149606299213" bottom="0.55118110236220474" header="0.31496062992125984" footer="0.31496062992125984"/>
  <pageSetup paperSize="9" scale="79" fitToHeight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Анара Бейсебаева (Anara Beisebayeva)</dc:creator>
  <cp:lastModifiedBy>Анара Бейсебаева (Anara Beisebayeva)</cp:lastModifiedBy>
  <cp:lastPrinted>2022-04-18T04:46:04Z</cp:lastPrinted>
  <dcterms:created xsi:type="dcterms:W3CDTF">2022-04-05T10:31:25Z</dcterms:created>
  <dcterms:modified xsi:type="dcterms:W3CDTF">2022-04-18T04:48:43Z</dcterms:modified>
</cp:coreProperties>
</file>