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35" activeTab="3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<sst xmlns="http://schemas.openxmlformats.org/spreadsheetml/2006/main" count="328" uniqueCount="146">
  <si>
    <t>АО "Ай Карааул"</t>
  </si>
  <si>
    <t>Наименование</t>
  </si>
  <si>
    <t>Вид деятельности</t>
  </si>
  <si>
    <t>Среднегодовая численность работников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</si>
  <si>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</si>
  <si>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</si>
  <si>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</si>
  <si>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</si>
  <si>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</si>
  <si>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</si>
  <si>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</si>
  <si>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</si>
  <si>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</si>
  <si>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</si>
  <si>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</si>
  <si>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</si>
  <si>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</si>
  <si>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</si>
  <si>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</si>
  <si>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</si>
  <si>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</si>
  <si>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</si>
  <si>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</si>
  <si>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</si>
  <si>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</si>
  <si>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</si>
  <si>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</si>
  <si>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</si>
  <si>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</si>
  <si>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</si>
  <si>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</si>
  <si>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</si>
  <si>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</si>
  <si>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</si>
  <si>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</si>
  <si>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</si>
  <si>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</si>
  <si>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</si>
  <si>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</si>
  <si>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</si>
  <si>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</si>
  <si>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</si>
  <si>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</si>
  <si>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</si>
  <si>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</si>
  <si>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</si>
  <si>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</si>
  <si>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</si>
  <si>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</si>
  <si>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</si>
  <si>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</si>
  <si>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</si>
  <si>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</si>
  <si>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</si>
  <si>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</si>
  <si>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</si>
  <si>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</si>
  <si>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</si>
  <si>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</si>
  <si>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</si>
  <si>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</si>
  <si>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</si>
  <si>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</si>
  <si>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</si>
  <si>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</si>
  <si>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</si>
  <si>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</si>
  <si>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</si>
  <si>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</si>
  <si>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</si>
  <si>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</si>
  <si>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</si>
  <si>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</si>
  <si>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</si>
  <si>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</si>
  <si>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</si>
  <si>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</si>
  <si>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</si>
  <si>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</si>
  <si>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</si>
  <si>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</si>
  <si>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</si>
  <si>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</si>
  <si>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</si>
  <si>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</si>
  <si>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Юридический адрес, Бизнес идентификационный</t>
  </si>
  <si>
    <t>номер, Индивидуальный идентификационный номер</t>
  </si>
  <si>
    <t>г. Алматы, ул. Толе би, 63</t>
  </si>
  <si>
    <t>080 740 006 246</t>
  </si>
  <si>
    <t>Президент</t>
  </si>
  <si>
    <t>Карабаева Д. Т.</t>
  </si>
  <si>
    <t>(без научных исследований и разработок)</t>
  </si>
  <si>
    <t xml:space="preserve">Деятельность по проведению геологической разведки и изысканий </t>
  </si>
  <si>
    <t>КОНСОЛИДИРОВАННЫЙ ОТЧЕТ О ПРИБЫЛИ И УБЫТКАХ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</si>
  <si>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</si>
  <si>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</si>
  <si>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</si>
  <si>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</si>
  <si>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</si>
  <si>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</si>
  <si>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</si>
  <si>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</si>
  <si>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</si>
  <si>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</si>
  <si>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</si>
  <si>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</si>
  <si>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</si>
  <si>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</si>
  <si>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</si>
  <si>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</si>
  <si>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</si>
  <si>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</si>
  <si>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</si>
  <si>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</si>
  <si>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</si>
  <si>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</si>
  <si>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</si>
  <si>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</si>
  <si>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</si>
  <si>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КОНСОЛИДИРОВАННЫЙ ОТЧЕТ О ДВИЖЕНИИ ДЕНЕЖНЫХ СРЕДСТВ</t>
  </si>
  <si>
    <t>Итого</t>
  </si>
  <si>
    <t>КОНСОЛИДИРОВАННЫЙ ОТЧЕТ ОБ ИЗМЕНЕНИЯХ В СОБСТВЕННОМ КАПИТАЛЕ</t>
  </si>
  <si>
    <t>Убыток и совокупный убыток за отчетный период</t>
  </si>
  <si>
    <t>тыс тенге</t>
  </si>
  <si>
    <t>Промежуточный сокращённый консолидированный отчёт о финансовом положении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</si>
  <si>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</si>
  <si>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</si>
  <si>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</si>
  <si>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</si>
  <si>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</si>
  <si>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 xml:space="preserve">Итоговый убыток </t>
  </si>
  <si>
    <t xml:space="preserve">Итого совокупный убыток </t>
  </si>
  <si>
    <t>прочие налоги и платежи</t>
  </si>
  <si>
    <t>2022 года (неаудировано)</t>
  </si>
  <si>
    <t>Сальдо на 1 января 2022 года</t>
  </si>
  <si>
    <t>Ишмухамедов Е.Е.</t>
  </si>
  <si>
    <t>на 31.12.2022 года (аудировано)</t>
  </si>
  <si>
    <t>2023 года (неаудировано)</t>
  </si>
  <si>
    <t>Сальдо на 1 января 2023 года</t>
  </si>
  <si>
    <t>Авансы, выплаченные под разведочные и оценочные активы</t>
  </si>
  <si>
    <t>по состоянию на 30 сентября 2023 года</t>
  </si>
  <si>
    <t>за 9 месяцев, заканчивающиеся 30 сентября 2023 года</t>
  </si>
  <si>
    <t>За 9 месяцев, заканчивающиеся 30 сентября</t>
  </si>
  <si>
    <t>на 30.09.2023 года (неаудировано)</t>
  </si>
  <si>
    <t>Сальдо на 30 сентября 2023 года</t>
  </si>
  <si>
    <t>Сальдо на 30 сентября 2022 года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</si>
</sst>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"/>
    <numFmt numFmtId="167" formatCode="#,##0,"/>
    <numFmt numFmtId="168" formatCode="0,"/>
    <numFmt numFmtId="169" formatCode="[=-454427885.14]&quot;(454 428)&quot;;General"/>
    <numFmt numFmtId="170" formatCode="000"/>
    <numFmt numFmtId="171" formatCode="#,###,"/>
    <numFmt numFmtId="172" formatCode="[=-133719319.09]&quot;(133 719)&quot;;General"/>
    <numFmt numFmtId="173" formatCode="[=-665534441.54]&quot;(665 534)&quot;;General"/>
    <numFmt numFmtId="174" formatCode="#,##0_);[Red]\(#,###,\)"/>
    <numFmt numFmtId="175" formatCode="#,##0_);[Red]\(#,##0\)"/>
    <numFmt numFmtId="176" formatCode="#,##0.00_);[Red]\(#,###,\)"/>
    <numFmt numFmtId="177" formatCode="[=-884288185.27]&quot;(884 288)&quot;;General"/>
    <numFmt numFmtId="178" formatCode="[=-14132848.05]&quot;(14 133)&quot;;General"/>
    <numFmt numFmtId="179" formatCode="[=-99742484.18]&quot;(99 742)&quot;;General"/>
    <numFmt numFmtId="180" formatCode="[=-6912410.1]&quot;(6 912)&quot;;General"/>
    <numFmt numFmtId="181" formatCode="[=-218753743.73]&quot;(218 754)&quot;;General"/>
    <numFmt numFmtId="182" formatCode="[=-352473062.82]&quot;(352 473)&quot;;General"/>
    <numFmt numFmtId="183" formatCode="[=-242638007.14]&quot;(242 638)&quot;;General"/>
    <numFmt numFmtId="184" formatCode="[=-697065892.28]&quot;(697 066)&quot;;General"/>
    <numFmt numFmtId="185" formatCode="[=-165250769.83]&quot;(165 251)&quot;;General"/>
    <numFmt numFmtId="186" formatCode="#,###.00000,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=-51932123.99]&quot;(51 932)&quot;;General"/>
    <numFmt numFmtId="193" formatCode="[=-774948]&quot;(775)&quot;;General"/>
    <numFmt numFmtId="194" formatCode="[=-51063623.99]&quot;(51 064)&quot;;General"/>
    <numFmt numFmtId="195" formatCode="[=-1643448]&quot;(1 643)&quot;;General"/>
    <numFmt numFmtId="196" formatCode="[=7.85]&quot;-&quot;;General"/>
    <numFmt numFmtId="197" formatCode="[=-1054566920.85]&quot;(1 054 567)&quot;;General"/>
    <numFmt numFmtId="198" formatCode="#,##0.00\ _₽;\(#,###,\)\ _₽"/>
    <numFmt numFmtId="199" formatCode="#,##0.00\ _₽;\(#,###\)\ _₽"/>
    <numFmt numFmtId="200" formatCode="\-#,###,\ _₽;\(#,###,\)\ _₽"/>
    <numFmt numFmtId="201" formatCode="#,##0.0"/>
    <numFmt numFmtId="202" formatCode="#,###,\ _₽;\(\ #,###,\)\ _₽"/>
    <numFmt numFmtId="203" formatCode="#,###,\ _₽;\ \(#,###,\)\ _₽"/>
    <numFmt numFmtId="204" formatCode="#,###,\ _₽;\(#,###,\)\ _₽"/>
    <numFmt numFmtId="205" formatCode="#,##0\ _₽;\(#,##0\)\ _₽"/>
    <numFmt numFmtId="206" formatCode="#,##0.000\ _₽;\(#,##0.000\)\ _₽"/>
    <numFmt numFmtId="207" formatCode="#,##0\ _₽;\(#,###,\)\ _₽"/>
    <numFmt numFmtId="208" formatCode="#,###,\ _₽;#,###,\ _₽"/>
    <numFmt numFmtId="209" formatCode="#,##0.00,"/>
  </numFmts>
  <fonts count="45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71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8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7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171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71" fontId="0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>
      <alignment/>
    </xf>
    <xf numFmtId="171" fontId="5" fillId="0" borderId="10" xfId="0" applyNumberFormat="1" applyFont="1" applyBorder="1" applyAlignment="1">
      <alignment/>
    </xf>
    <xf numFmtId="205" fontId="43" fillId="0" borderId="0" xfId="0" applyNumberFormat="1" applyFont="1" applyAlignment="1">
      <alignment horizontal="right"/>
    </xf>
    <xf numFmtId="206" fontId="43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204" fontId="0" fillId="0" borderId="10" xfId="0" applyNumberFormat="1" applyFont="1" applyFill="1" applyBorder="1" applyAlignment="1">
      <alignment horizontal="right" vertical="center"/>
    </xf>
    <xf numFmtId="204" fontId="0" fillId="0" borderId="10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204" fontId="5" fillId="0" borderId="10" xfId="0" applyNumberFormat="1" applyFont="1" applyBorder="1" applyAlignment="1">
      <alignment horizontal="right"/>
    </xf>
    <xf numFmtId="208" fontId="0" fillId="0" borderId="10" xfId="0" applyNumberFormat="1" applyFont="1" applyFill="1" applyBorder="1" applyAlignment="1">
      <alignment horizontal="right" vertical="center"/>
    </xf>
    <xf numFmtId="207" fontId="0" fillId="33" borderId="10" xfId="0" applyNumberFormat="1" applyFont="1" applyFill="1" applyBorder="1" applyAlignment="1">
      <alignment horizontal="right"/>
    </xf>
    <xf numFmtId="207" fontId="0" fillId="33" borderId="10" xfId="0" applyNumberFormat="1" applyFont="1" applyFill="1" applyBorder="1" applyAlignment="1">
      <alignment horizontal="right" wrapText="1"/>
    </xf>
    <xf numFmtId="207" fontId="5" fillId="33" borderId="10" xfId="0" applyNumberFormat="1" applyFont="1" applyFill="1" applyBorder="1" applyAlignment="1">
      <alignment horizontal="right" wrapText="1"/>
    </xf>
    <xf numFmtId="207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87" fontId="0" fillId="0" borderId="0" xfId="0" applyNumberForma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202" fontId="0" fillId="0" borderId="10" xfId="0" applyNumberFormat="1" applyFont="1" applyFill="1" applyBorder="1" applyAlignment="1">
      <alignment vertical="center"/>
    </xf>
    <xf numFmtId="204" fontId="5" fillId="0" borderId="10" xfId="0" applyNumberFormat="1" applyFont="1" applyFill="1" applyBorder="1" applyAlignment="1">
      <alignment/>
    </xf>
    <xf numFmtId="203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171" fontId="5" fillId="33" borderId="10" xfId="0" applyNumberFormat="1" applyFont="1" applyFill="1" applyBorder="1" applyAlignment="1">
      <alignment horizontal="right"/>
    </xf>
    <xf numFmtId="171" fontId="0" fillId="33" borderId="10" xfId="0" applyNumberFormat="1" applyFont="1" applyFill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0" fillId="33" borderId="10" xfId="0" applyNumberFormat="1" applyFont="1" applyFill="1" applyBorder="1" applyAlignment="1">
      <alignment horizontal="right" wrapText="1"/>
    </xf>
    <xf numFmtId="207" fontId="5" fillId="0" borderId="10" xfId="0" applyNumberFormat="1" applyFont="1" applyBorder="1" applyAlignment="1">
      <alignment horizontal="right"/>
    </xf>
    <xf numFmtId="207" fontId="0" fillId="0" borderId="0" xfId="0" applyNumberFormat="1" applyAlignment="1">
      <alignment horizontal="left"/>
    </xf>
    <xf numFmtId="207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/>
    </xf>
    <xf numFmtId="204" fontId="5" fillId="33" borderId="10" xfId="0" applyNumberFormat="1" applyFont="1" applyFill="1" applyBorder="1" applyAlignment="1">
      <alignment horizontal="right"/>
    </xf>
    <xf numFmtId="204" fontId="0" fillId="33" borderId="10" xfId="0" applyNumberFormat="1" applyFont="1" applyFill="1" applyBorder="1" applyAlignment="1">
      <alignment horizontal="right" wrapText="1"/>
    </xf>
    <xf numFmtId="204" fontId="5" fillId="33" borderId="10" xfId="0" applyNumberFormat="1" applyFont="1" applyFill="1" applyBorder="1" applyAlignment="1">
      <alignment horizontal="right" wrapText="1"/>
    </xf>
    <xf numFmtId="204" fontId="0" fillId="33" borderId="10" xfId="0" applyNumberFormat="1" applyFont="1" applyFill="1" applyBorder="1" applyAlignment="1">
      <alignment horizontal="right"/>
    </xf>
    <xf numFmtId="171" fontId="0" fillId="0" borderId="0" xfId="0" applyNumberFormat="1" applyAlignment="1">
      <alignment horizontal="left"/>
    </xf>
    <xf numFmtId="167" fontId="5" fillId="0" borderId="10" xfId="0" applyNumberFormat="1" applyFont="1" applyBorder="1" applyAlignment="1">
      <alignment horizontal="right" vertical="center"/>
    </xf>
    <xf numFmtId="0" fontId="5" fillId="7" borderId="12" xfId="0" applyNumberFormat="1" applyFont="1" applyFill="1" applyBorder="1" applyAlignment="1">
      <alignment horizontal="left" vertical="center" wrapText="1"/>
    </xf>
    <xf numFmtId="207" fontId="5" fillId="7" borderId="10" xfId="0" applyNumberFormat="1" applyFont="1" applyFill="1" applyBorder="1" applyAlignment="1">
      <alignment horizontal="right" vertical="center"/>
    </xf>
    <xf numFmtId="0" fontId="5" fillId="7" borderId="10" xfId="0" applyNumberFormat="1" applyFont="1" applyFill="1" applyBorder="1" applyAlignment="1">
      <alignment horizontal="left" vertical="center" wrapText="1"/>
    </xf>
    <xf numFmtId="171" fontId="5" fillId="7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left" vertical="center" wrapText="1"/>
    </xf>
    <xf numFmtId="20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I60"/>
  <sheetViews>
    <sheetView zoomScalePageLayoutView="0" workbookViewId="0" topLeftCell="A22">
      <selection activeCell="B35" sqref="B35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5.33203125" style="0" bestFit="1" customWidth="1"/>
    <col min="8" max="8" width="16.83203125" style="0" customWidth="1"/>
    <col min="9" max="9" width="16" style="0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2" t="s">
        <v>0</v>
      </c>
    </row>
    <row r="4" ht="12" customHeight="1"/>
    <row r="5" s="2" customFormat="1" ht="4.5" customHeight="1"/>
    <row r="6" spans="2:3" ht="26.25" customHeight="1">
      <c r="B6" t="s">
        <v>2</v>
      </c>
      <c r="C6" t="s">
        <v>92</v>
      </c>
    </row>
    <row r="7" s="2" customFormat="1" ht="10.5" customHeight="1">
      <c r="C7" s="2" t="s">
        <v>91</v>
      </c>
    </row>
    <row r="8" spans="2:3" ht="12" customHeight="1">
      <c r="B8" t="s">
        <v>3</v>
      </c>
      <c r="C8" s="23">
        <v>14</v>
      </c>
    </row>
    <row r="9" s="2" customFormat="1" ht="5.25" customHeight="1"/>
    <row r="10" s="2" customFormat="1" ht="5.25" customHeight="1"/>
    <row r="11" spans="2:3" ht="12" customHeight="1">
      <c r="B11" t="s">
        <v>85</v>
      </c>
      <c r="C11" t="s">
        <v>87</v>
      </c>
    </row>
    <row r="12" spans="2:3" ht="12" customHeight="1">
      <c r="B12" t="s">
        <v>86</v>
      </c>
      <c r="C12" s="22" t="s">
        <v>88</v>
      </c>
    </row>
    <row r="13" s="4" customFormat="1" ht="11.25" customHeight="1"/>
    <row r="14" s="2" customFormat="1" ht="12.75">
      <c r="C14" s="87" t="s">
        <v>124</v>
      </c>
    </row>
    <row r="15" s="2" customFormat="1" ht="15.75" customHeight="1">
      <c r="C15" s="23" t="s">
        <v>140</v>
      </c>
    </row>
    <row r="16" s="2" customFormat="1" ht="16.5" customHeight="1">
      <c r="E16" s="86" t="s">
        <v>125</v>
      </c>
    </row>
    <row r="17" spans="2:5" s="2" customFormat="1" ht="21" customHeight="1">
      <c r="B17" s="20" t="s">
        <v>57</v>
      </c>
      <c r="C17" s="28" t="s">
        <v>58</v>
      </c>
      <c r="D17" s="85" t="s">
        <v>143</v>
      </c>
      <c r="E17" s="85" t="s">
        <v>136</v>
      </c>
    </row>
    <row r="18" spans="2:5" s="2" customFormat="1" ht="12.75" customHeight="1">
      <c r="B18" s="20" t="s">
        <v>59</v>
      </c>
      <c r="C18" s="20"/>
      <c r="D18" s="20"/>
      <c r="E18" s="104"/>
    </row>
    <row r="19" spans="2:6" s="2" customFormat="1" ht="12.75" customHeight="1">
      <c r="B19" s="21" t="s">
        <v>7</v>
      </c>
      <c r="C19" s="68">
        <v>4</v>
      </c>
      <c r="D19" s="63">
        <v>1748221.96</v>
      </c>
      <c r="E19" s="63">
        <v>597425.7</v>
      </c>
      <c r="F19" s="103"/>
    </row>
    <row r="20" spans="2:6" s="2" customFormat="1" ht="12.75" customHeight="1">
      <c r="B20" s="21" t="s">
        <v>8</v>
      </c>
      <c r="C20" s="68">
        <v>5</v>
      </c>
      <c r="D20" s="63">
        <v>2075038333.22</v>
      </c>
      <c r="E20" s="63">
        <v>2034470542.78</v>
      </c>
      <c r="F20" s="103"/>
    </row>
    <row r="21" spans="2:6" s="2" customFormat="1" ht="12.75" customHeight="1">
      <c r="B21" s="21" t="s">
        <v>139</v>
      </c>
      <c r="C21" s="68"/>
      <c r="D21" s="63">
        <f>9900800+1209090+2226915+639494+1512000</f>
        <v>15488299</v>
      </c>
      <c r="E21" s="63">
        <v>6818017.36</v>
      </c>
      <c r="F21" s="103"/>
    </row>
    <row r="22" spans="2:6" s="2" customFormat="1" ht="12.75" customHeight="1">
      <c r="B22" s="21" t="s">
        <v>60</v>
      </c>
      <c r="C22" s="68">
        <v>6</v>
      </c>
      <c r="D22" s="63">
        <f>16403354.23-2433585.37</f>
        <v>13969768.86</v>
      </c>
      <c r="E22" s="63">
        <f>16403354.23-2433585.37</f>
        <v>13969768.86</v>
      </c>
      <c r="F22" s="103"/>
    </row>
    <row r="23" spans="2:6" s="2" customFormat="1" ht="12.75" customHeight="1">
      <c r="B23" s="20" t="s">
        <v>61</v>
      </c>
      <c r="C23" s="69"/>
      <c r="D23" s="64">
        <f>SUM(D19:D22)</f>
        <v>2106244623.04</v>
      </c>
      <c r="E23" s="64">
        <f>SUM(E19:E22)</f>
        <v>2055855754.6999998</v>
      </c>
      <c r="F23" s="103"/>
    </row>
    <row r="24" spans="2:6" s="2" customFormat="1" ht="12.75" customHeight="1">
      <c r="B24" s="20" t="s">
        <v>62</v>
      </c>
      <c r="C24" s="69"/>
      <c r="D24" s="64"/>
      <c r="E24" s="64"/>
      <c r="F24" s="103"/>
    </row>
    <row r="25" spans="2:6" s="2" customFormat="1" ht="12.75" customHeight="1">
      <c r="B25" s="21" t="s">
        <v>63</v>
      </c>
      <c r="C25" s="68">
        <v>7</v>
      </c>
      <c r="D25" s="90">
        <f>58912871.61-1245323.15-457060</f>
        <v>57210488.46</v>
      </c>
      <c r="E25" s="90">
        <f>55565944.25-1245323.15-457060</f>
        <v>53863561.1</v>
      </c>
      <c r="F25" s="103"/>
    </row>
    <row r="26" spans="2:6" s="2" customFormat="1" ht="12.75" customHeight="1">
      <c r="B26" s="21" t="s">
        <v>6</v>
      </c>
      <c r="C26" s="68"/>
      <c r="D26" s="63">
        <v>986415</v>
      </c>
      <c r="E26" s="63">
        <v>485424</v>
      </c>
      <c r="F26" s="103"/>
    </row>
    <row r="27" spans="2:6" s="2" customFormat="1" ht="12.75" customHeight="1">
      <c r="B27" s="21" t="s">
        <v>64</v>
      </c>
      <c r="C27" s="68"/>
      <c r="D27" s="63">
        <f>30876.24+265</f>
        <v>31141.24</v>
      </c>
      <c r="E27" s="63">
        <f>23927.24+265+1000</f>
        <v>25192.24</v>
      </c>
      <c r="F27" s="103"/>
    </row>
    <row r="28" spans="2:6" s="2" customFormat="1" ht="12.75" customHeight="1">
      <c r="B28" s="21" t="s">
        <v>65</v>
      </c>
      <c r="C28" s="68">
        <v>8</v>
      </c>
      <c r="D28" s="63">
        <f>15777803.5+48000+398500-D21-1000</f>
        <v>735004.5</v>
      </c>
      <c r="E28" s="63">
        <f>9333700.63+66000-6818017.36-2000</f>
        <v>2579683.2700000005</v>
      </c>
      <c r="F28" s="103"/>
    </row>
    <row r="29" spans="2:6" s="2" customFormat="1" ht="12.75" customHeight="1">
      <c r="B29" s="21" t="s">
        <v>66</v>
      </c>
      <c r="C29" s="68"/>
      <c r="D29" s="63">
        <f>18188978.44+36242+18586</f>
        <v>18243806.44</v>
      </c>
      <c r="E29" s="63">
        <f>2227314.71+147022+18586</f>
        <v>2392922.71</v>
      </c>
      <c r="F29" s="103"/>
    </row>
    <row r="30" spans="2:6" s="2" customFormat="1" ht="12.75" customHeight="1">
      <c r="B30" s="20" t="s">
        <v>67</v>
      </c>
      <c r="C30" s="68"/>
      <c r="D30" s="91">
        <f>SUM(D25:D29)</f>
        <v>77206855.64</v>
      </c>
      <c r="E30" s="91">
        <f>SUM(E25:E29)</f>
        <v>59346783.32000001</v>
      </c>
      <c r="F30" s="103"/>
    </row>
    <row r="31" spans="2:8" s="2" customFormat="1" ht="12.75" customHeight="1">
      <c r="B31" s="20" t="s">
        <v>68</v>
      </c>
      <c r="C31" s="68"/>
      <c r="D31" s="91">
        <f>D23+D30</f>
        <v>2183451478.68</v>
      </c>
      <c r="E31" s="91">
        <f>E23+E30</f>
        <v>2115202538.0199997</v>
      </c>
      <c r="G31" s="95"/>
      <c r="H31" s="95"/>
    </row>
    <row r="32" spans="2:8" s="2" customFormat="1" ht="12.75" customHeight="1">
      <c r="B32" s="20" t="s">
        <v>69</v>
      </c>
      <c r="C32" s="68"/>
      <c r="D32" s="90"/>
      <c r="E32" s="63"/>
      <c r="H32" s="95"/>
    </row>
    <row r="33" spans="2:8" s="2" customFormat="1" ht="12.75" customHeight="1">
      <c r="B33" s="20" t="s">
        <v>70</v>
      </c>
      <c r="C33" s="68"/>
      <c r="D33" s="90"/>
      <c r="E33" s="63"/>
      <c r="H33" s="95"/>
    </row>
    <row r="34" spans="2:8" s="2" customFormat="1" ht="12.75" customHeight="1">
      <c r="B34" s="21" t="s">
        <v>9</v>
      </c>
      <c r="C34" s="68">
        <v>9</v>
      </c>
      <c r="D34" s="90">
        <v>331375500</v>
      </c>
      <c r="E34" s="63">
        <f>331375500</f>
        <v>331375500</v>
      </c>
      <c r="H34" s="88"/>
    </row>
    <row r="35" spans="2:8" s="2" customFormat="1" ht="12.75" customHeight="1">
      <c r="B35" s="21" t="s">
        <v>71</v>
      </c>
      <c r="C35" s="68">
        <v>10</v>
      </c>
      <c r="D35" s="90">
        <f>200439622.45-1000</f>
        <v>200438622.45</v>
      </c>
      <c r="E35" s="63">
        <f>200439622.45-1000</f>
        <v>200438622.45</v>
      </c>
      <c r="H35" s="88"/>
    </row>
    <row r="36" spans="2:8" s="2" customFormat="1" ht="12.75" customHeight="1">
      <c r="B36" s="21" t="s">
        <v>72</v>
      </c>
      <c r="C36" s="68"/>
      <c r="D36" s="92">
        <f>-1464048336.75-638209+200000</f>
        <v>-1464486545.75</v>
      </c>
      <c r="E36" s="94">
        <f>-1185144066.65-638209+200000</f>
        <v>-1185582275.65</v>
      </c>
      <c r="G36" s="95"/>
      <c r="H36" s="88"/>
    </row>
    <row r="37" spans="2:8" s="2" customFormat="1" ht="12.75" customHeight="1">
      <c r="B37" s="20" t="s">
        <v>73</v>
      </c>
      <c r="C37" s="68"/>
      <c r="D37" s="93">
        <f>SUM(D34:D36)</f>
        <v>-932672423.3</v>
      </c>
      <c r="E37" s="93">
        <f>SUM(E34:E36)</f>
        <v>-653768153.2</v>
      </c>
      <c r="H37" s="88"/>
    </row>
    <row r="38" spans="2:9" s="2" customFormat="1" ht="12.75" customHeight="1">
      <c r="B38" s="20" t="s">
        <v>74</v>
      </c>
      <c r="C38" s="68"/>
      <c r="D38" s="90"/>
      <c r="E38" s="63"/>
      <c r="H38" s="95"/>
      <c r="I38" s="95"/>
    </row>
    <row r="39" spans="2:9" s="2" customFormat="1" ht="12.75" customHeight="1">
      <c r="B39" s="21" t="s">
        <v>75</v>
      </c>
      <c r="C39" s="68">
        <v>15</v>
      </c>
      <c r="D39" s="90">
        <v>38459863.81</v>
      </c>
      <c r="E39" s="90">
        <v>38459863.81</v>
      </c>
      <c r="H39" s="95"/>
      <c r="I39" s="95"/>
    </row>
    <row r="40" spans="1:9" s="2" customFormat="1" ht="12.75" customHeight="1">
      <c r="A40" s="14"/>
      <c r="B40" s="20" t="s">
        <v>76</v>
      </c>
      <c r="C40" s="68"/>
      <c r="D40" s="91">
        <f>SUM(D39)</f>
        <v>38459863.81</v>
      </c>
      <c r="E40" s="91">
        <f>SUM(E39)</f>
        <v>38459863.81</v>
      </c>
      <c r="H40" s="95"/>
      <c r="I40" s="95"/>
    </row>
    <row r="41" spans="2:5" s="2" customFormat="1" ht="12.75" customHeight="1">
      <c r="B41" s="20" t="s">
        <v>77</v>
      </c>
      <c r="C41" s="68"/>
      <c r="D41" s="90"/>
      <c r="E41" s="63"/>
    </row>
    <row r="42" spans="2:5" s="2" customFormat="1" ht="12.75" customHeight="1">
      <c r="B42" s="21" t="s">
        <v>78</v>
      </c>
      <c r="C42" s="68">
        <v>11</v>
      </c>
      <c r="D42" s="90">
        <f>2192691920.25+852351133.62</f>
        <v>3045043053.87</v>
      </c>
      <c r="E42" s="90">
        <f>2128226626.61-192301223.91+695794924.62</f>
        <v>2631720327.3199997</v>
      </c>
    </row>
    <row r="43" spans="2:5" s="2" customFormat="1" ht="12.75" customHeight="1">
      <c r="B43" s="21" t="s">
        <v>79</v>
      </c>
      <c r="C43" s="68">
        <v>12</v>
      </c>
      <c r="D43" s="63">
        <v>10846258.12</v>
      </c>
      <c r="E43" s="63">
        <v>87691000.91</v>
      </c>
    </row>
    <row r="44" spans="2:5" ht="12" customHeight="1">
      <c r="B44" s="21" t="s">
        <v>80</v>
      </c>
      <c r="C44" s="68"/>
      <c r="D44" s="63">
        <f>1486951+1152568</f>
        <v>2639519</v>
      </c>
      <c r="E44" s="63">
        <v>0</v>
      </c>
    </row>
    <row r="45" spans="2:5" s="2" customFormat="1" ht="12.75" customHeight="1">
      <c r="B45" s="21" t="s">
        <v>81</v>
      </c>
      <c r="C45" s="68">
        <v>13</v>
      </c>
      <c r="D45" s="63">
        <f>11099499.18+7860358+175350</f>
        <v>19135207.18</v>
      </c>
      <c r="E45" s="63">
        <v>11099499.18</v>
      </c>
    </row>
    <row r="46" spans="2:5" s="2" customFormat="1" ht="12.75" customHeight="1">
      <c r="B46" s="20" t="s">
        <v>82</v>
      </c>
      <c r="C46" s="68"/>
      <c r="D46" s="91">
        <f>SUM(D42:D45)</f>
        <v>3077664038.1699996</v>
      </c>
      <c r="E46" s="65">
        <f>SUM(E42:E45)</f>
        <v>2730510827.4099994</v>
      </c>
    </row>
    <row r="47" spans="2:5" s="2" customFormat="1" ht="12.75" customHeight="1">
      <c r="B47" s="20" t="s">
        <v>83</v>
      </c>
      <c r="C47" s="68"/>
      <c r="D47" s="65">
        <f>D40+D46</f>
        <v>3116123901.9799995</v>
      </c>
      <c r="E47" s="65">
        <f>E40+E46</f>
        <v>2768970691.2199993</v>
      </c>
    </row>
    <row r="48" spans="2:5" s="2" customFormat="1" ht="12.75" customHeight="1">
      <c r="B48" s="20" t="s">
        <v>84</v>
      </c>
      <c r="C48" s="68"/>
      <c r="D48" s="65">
        <f>D37+D47</f>
        <v>2183451478.6799994</v>
      </c>
      <c r="E48" s="65">
        <f>E37+E47</f>
        <v>2115202538.0199993</v>
      </c>
    </row>
    <row r="49" spans="4:5" s="2" customFormat="1" ht="12.75" customHeight="1">
      <c r="D49" s="70">
        <f>D31-D48</f>
        <v>0</v>
      </c>
      <c r="E49" s="70">
        <f>E31-E48</f>
        <v>0</v>
      </c>
    </row>
    <row r="50" s="2" customFormat="1" ht="12.75" customHeight="1"/>
    <row r="51" spans="2:5" s="2" customFormat="1" ht="12.75" customHeight="1">
      <c r="B51" s="12" t="s">
        <v>56</v>
      </c>
      <c r="D51" s="66">
        <f>D37/150000</f>
        <v>-6217.816155333333</v>
      </c>
      <c r="E51" s="66">
        <f>E37/150000</f>
        <v>-4358.454354666667</v>
      </c>
    </row>
    <row r="52" s="2" customFormat="1" ht="12.75" customHeight="1"/>
    <row r="53" s="2" customFormat="1" ht="12.75" customHeight="1">
      <c r="D53" s="95"/>
    </row>
    <row r="54" spans="2:4" s="2" customFormat="1" ht="12.75" customHeight="1">
      <c r="B54" s="3"/>
      <c r="D54" s="95"/>
    </row>
    <row r="55" s="2" customFormat="1" ht="12.75" customHeight="1"/>
    <row r="56" spans="2:5" s="2" customFormat="1" ht="12.75" customHeight="1">
      <c r="B56" s="26"/>
      <c r="D56" s="26"/>
      <c r="E56" s="26"/>
    </row>
    <row r="57" spans="2:4" s="2" customFormat="1" ht="12.75" customHeight="1">
      <c r="B57" s="19" t="s">
        <v>135</v>
      </c>
      <c r="D57" s="19" t="s">
        <v>90</v>
      </c>
    </row>
    <row r="58" spans="2:4" s="2" customFormat="1" ht="12.75" customHeight="1">
      <c r="B58" s="19" t="s">
        <v>89</v>
      </c>
      <c r="D58" s="19" t="s">
        <v>11</v>
      </c>
    </row>
    <row r="59" s="2" customFormat="1" ht="12.75" customHeight="1">
      <c r="E59" s="95"/>
    </row>
    <row r="60" s="2" customFormat="1" ht="12.75" customHeight="1">
      <c r="E60" s="109">
        <f>D31-D48</f>
        <v>0</v>
      </c>
    </row>
    <row r="61" s="2" customFormat="1" ht="12.75" customHeight="1"/>
    <row r="62" s="2" customFormat="1" ht="10.5" customHeight="1"/>
    <row r="63" s="2" customFormat="1" ht="20.25" customHeight="1"/>
    <row r="64" s="2" customFormat="1" ht="6" customHeight="1"/>
    <row r="65" s="2" customFormat="1" ht="6" customHeight="1"/>
    <row r="66" s="2" customFormat="1" ht="12.75" customHeight="1"/>
    <row r="67" s="2" customFormat="1" ht="10.5" customHeight="1"/>
    <row r="68" s="2" customFormat="1" ht="12.75" customHeight="1"/>
    <row r="69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zoomScalePageLayoutView="0" workbookViewId="0" topLeftCell="A1">
      <selection activeCell="F28" sqref="F28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4.16015625" style="0" customWidth="1"/>
    <col min="4" max="4" width="17.16015625" style="0" hidden="1" customWidth="1"/>
    <col min="5" max="5" width="18.33203125" style="0" hidden="1" customWidth="1"/>
    <col min="6" max="6" width="21.66015625" style="0" customWidth="1"/>
    <col min="7" max="7" width="21.16015625" style="0" customWidth="1"/>
    <col min="8" max="9" width="10.66015625" style="0" customWidth="1"/>
    <col min="10" max="10" width="14.5" style="0" bestFit="1" customWidth="1"/>
  </cols>
  <sheetData>
    <row r="1" spans="2:3" s="2" customFormat="1" ht="14.25" customHeight="1">
      <c r="B1" s="2" t="s">
        <v>1</v>
      </c>
      <c r="C1" s="2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2:3" ht="12" customHeight="1">
      <c r="B4" t="s">
        <v>2</v>
      </c>
      <c r="C4" t="s">
        <v>92</v>
      </c>
    </row>
    <row r="5" s="2" customFormat="1" ht="12.75" customHeight="1">
      <c r="C5" s="2" t="s">
        <v>91</v>
      </c>
    </row>
    <row r="6" spans="2:5" ht="12" customHeight="1">
      <c r="B6" t="s">
        <v>3</v>
      </c>
      <c r="C6" s="23">
        <v>14</v>
      </c>
      <c r="D6" s="23"/>
      <c r="E6" s="23"/>
    </row>
    <row r="7" s="2" customFormat="1" ht="6" customHeight="1"/>
    <row r="8" spans="2:9" ht="12" customHeight="1">
      <c r="B8" s="2"/>
      <c r="H8" s="2"/>
      <c r="I8" s="2"/>
    </row>
    <row r="9" spans="2:9" s="2" customFormat="1" ht="16.5" customHeight="1">
      <c r="B9" t="s">
        <v>85</v>
      </c>
      <c r="C9" t="s">
        <v>87</v>
      </c>
      <c r="D9"/>
      <c r="E9"/>
      <c r="I9"/>
    </row>
    <row r="10" spans="2:9" s="2" customFormat="1" ht="12.75" customHeight="1">
      <c r="B10" t="s">
        <v>86</v>
      </c>
      <c r="C10" s="22" t="s">
        <v>88</v>
      </c>
      <c r="D10" s="22"/>
      <c r="E10" s="22"/>
      <c r="I10"/>
    </row>
    <row r="11" spans="7:9" ht="12" customHeight="1">
      <c r="G11" s="4"/>
      <c r="H11" s="4"/>
      <c r="I11" s="4"/>
    </row>
    <row r="12" spans="3:9" ht="12" customHeight="1">
      <c r="C12" s="25" t="s">
        <v>93</v>
      </c>
      <c r="D12" s="25"/>
      <c r="E12" s="25"/>
      <c r="G12" s="2"/>
      <c r="I12" s="2"/>
    </row>
    <row r="13" spans="3:9" s="4" customFormat="1" ht="16.5" customHeight="1">
      <c r="C13" s="29" t="s">
        <v>94</v>
      </c>
      <c r="D13" s="29"/>
      <c r="E13" s="29"/>
      <c r="I13" s="2"/>
    </row>
    <row r="14" spans="3:5" s="2" customFormat="1" ht="12.75" customHeight="1">
      <c r="C14" s="24" t="s">
        <v>141</v>
      </c>
      <c r="D14" s="24"/>
      <c r="E14" s="24"/>
    </row>
    <row r="15" s="2" customFormat="1" ht="12" customHeight="1"/>
    <row r="16" s="2" customFormat="1" ht="12" customHeight="1">
      <c r="G16" s="2" t="s">
        <v>123</v>
      </c>
    </row>
    <row r="17" spans="2:7" s="2" customFormat="1" ht="12" customHeight="1">
      <c r="B17" s="117" t="s">
        <v>126</v>
      </c>
      <c r="C17" s="119" t="s">
        <v>95</v>
      </c>
      <c r="D17" s="120" t="s">
        <v>127</v>
      </c>
      <c r="E17" s="120"/>
      <c r="F17" s="120" t="s">
        <v>142</v>
      </c>
      <c r="G17" s="120"/>
    </row>
    <row r="18" spans="2:7" ht="35.25" customHeight="1">
      <c r="B18" s="118"/>
      <c r="C18" s="118"/>
      <c r="D18" s="31" t="s">
        <v>128</v>
      </c>
      <c r="E18" s="31" t="s">
        <v>129</v>
      </c>
      <c r="F18" s="31" t="s">
        <v>137</v>
      </c>
      <c r="G18" s="31" t="s">
        <v>133</v>
      </c>
    </row>
    <row r="19" spans="2:7" s="2" customFormat="1" ht="12.75" customHeight="1">
      <c r="B19" s="21" t="s">
        <v>96</v>
      </c>
      <c r="C19" s="68">
        <v>14</v>
      </c>
      <c r="D19" s="71"/>
      <c r="E19" s="71"/>
      <c r="F19" s="71">
        <v>-86221546.19</v>
      </c>
      <c r="G19" s="71">
        <f>-77127717.48+1000</f>
        <v>-77126717.48</v>
      </c>
    </row>
    <row r="20" spans="2:7" s="2" customFormat="1" ht="12.75" customHeight="1">
      <c r="B20" s="21" t="s">
        <v>97</v>
      </c>
      <c r="C20" s="68">
        <v>15</v>
      </c>
      <c r="D20" s="80"/>
      <c r="E20" s="80"/>
      <c r="F20" s="71">
        <f>105000-486500</f>
        <v>-381500</v>
      </c>
      <c r="G20" s="71">
        <f>-36915.2-23884.81+15312-5584</f>
        <v>-51072.009999999995</v>
      </c>
    </row>
    <row r="21" spans="2:7" s="2" customFormat="1" ht="12.75" customHeight="1">
      <c r="B21" s="20" t="s">
        <v>98</v>
      </c>
      <c r="C21" s="27"/>
      <c r="D21" s="79"/>
      <c r="E21" s="79"/>
      <c r="F21" s="79">
        <f>F19+F20</f>
        <v>-86603046.19</v>
      </c>
      <c r="G21" s="79">
        <f>G19+G20</f>
        <v>-77177789.49000001</v>
      </c>
    </row>
    <row r="22" spans="2:7" s="2" customFormat="1" ht="12.75" customHeight="1">
      <c r="B22" s="21" t="s">
        <v>99</v>
      </c>
      <c r="C22" s="68">
        <v>16</v>
      </c>
      <c r="D22" s="72"/>
      <c r="E22" s="72"/>
      <c r="F22" s="72"/>
      <c r="G22" s="72"/>
    </row>
    <row r="23" spans="2:7" s="2" customFormat="1" ht="12.75" customHeight="1">
      <c r="B23" s="21" t="s">
        <v>100</v>
      </c>
      <c r="C23" s="68">
        <v>17</v>
      </c>
      <c r="D23" s="71"/>
      <c r="E23" s="71"/>
      <c r="F23" s="71">
        <v>-192301223.91</v>
      </c>
      <c r="G23" s="71">
        <v>-118005494.83</v>
      </c>
    </row>
    <row r="24" spans="2:7" s="2" customFormat="1" ht="27" customHeight="1">
      <c r="B24" s="32" t="s">
        <v>101</v>
      </c>
      <c r="C24" s="68"/>
      <c r="D24" s="72"/>
      <c r="E24" s="72"/>
      <c r="F24" s="72"/>
      <c r="G24" s="72"/>
    </row>
    <row r="25" spans="2:7" s="2" customFormat="1" ht="12.75" customHeight="1">
      <c r="B25" s="21" t="s">
        <v>105</v>
      </c>
      <c r="C25" s="68"/>
      <c r="D25" s="73"/>
      <c r="E25" s="73"/>
      <c r="F25" s="73">
        <f>F21+F22+F23+F24</f>
        <v>-278904270.1</v>
      </c>
      <c r="G25" s="73">
        <f>G21+G22+G23+G24</f>
        <v>-195183284.32</v>
      </c>
    </row>
    <row r="26" spans="2:7" s="2" customFormat="1" ht="22.5" customHeight="1">
      <c r="B26" s="32" t="s">
        <v>102</v>
      </c>
      <c r="C26" s="68"/>
      <c r="D26" s="72"/>
      <c r="E26" s="72"/>
      <c r="F26" s="72"/>
      <c r="G26" s="72"/>
    </row>
    <row r="27" spans="2:7" s="2" customFormat="1" ht="12.75" customHeight="1">
      <c r="B27" s="21" t="s">
        <v>130</v>
      </c>
      <c r="C27" s="68"/>
      <c r="D27" s="73"/>
      <c r="E27" s="73"/>
      <c r="F27" s="73">
        <f>F25+F26</f>
        <v>-278904270.1</v>
      </c>
      <c r="G27" s="73">
        <f>G25+G26</f>
        <v>-195183284.32</v>
      </c>
    </row>
    <row r="28" spans="2:7" s="2" customFormat="1" ht="12.75" customHeight="1">
      <c r="B28" s="33" t="s">
        <v>103</v>
      </c>
      <c r="C28" s="68"/>
      <c r="D28" s="72"/>
      <c r="E28" s="72"/>
      <c r="F28" s="72"/>
      <c r="G28" s="72"/>
    </row>
    <row r="29" spans="1:7" ht="23.25" customHeight="1">
      <c r="A29" s="15"/>
      <c r="B29" s="21" t="s">
        <v>131</v>
      </c>
      <c r="C29" s="68"/>
      <c r="D29" s="73"/>
      <c r="E29" s="73"/>
      <c r="F29" s="73">
        <f>F27</f>
        <v>-278904270.1</v>
      </c>
      <c r="G29" s="73">
        <f>G27</f>
        <v>-195183284.32</v>
      </c>
    </row>
    <row r="30" spans="6:7" s="2" customFormat="1" ht="12.75" customHeight="1">
      <c r="F30" s="14"/>
      <c r="G30" s="14"/>
    </row>
    <row r="31" spans="6:10" s="2" customFormat="1" ht="12.75" customHeight="1">
      <c r="F31" s="14"/>
      <c r="G31" s="14"/>
      <c r="J31" s="95"/>
    </row>
    <row r="32" spans="6:7" s="2" customFormat="1" ht="12.75" customHeight="1">
      <c r="F32" s="14"/>
      <c r="G32" s="14"/>
    </row>
    <row r="33" spans="2:7" s="6" customFormat="1" ht="15.75" customHeight="1">
      <c r="B33" s="34" t="s">
        <v>104</v>
      </c>
      <c r="F33" s="67">
        <f>F29/150000000</f>
        <v>-1.8593618006666668</v>
      </c>
      <c r="G33" s="67">
        <f>G29/150000000</f>
        <v>-1.3012218954666666</v>
      </c>
    </row>
    <row r="34" spans="6:7" s="2" customFormat="1" ht="12.75" customHeight="1">
      <c r="F34" s="14"/>
      <c r="G34" s="14"/>
    </row>
    <row r="35" spans="6:7" s="2" customFormat="1" ht="21.75" customHeight="1">
      <c r="F35" s="14"/>
      <c r="G35" s="14"/>
    </row>
    <row r="36" spans="2:7" s="2" customFormat="1" ht="12.75" customHeight="1">
      <c r="B36" s="26"/>
      <c r="F36" s="30"/>
      <c r="G36" s="30"/>
    </row>
    <row r="37" spans="2:6" s="2" customFormat="1" ht="12.75" customHeight="1">
      <c r="B37" s="19" t="s">
        <v>135</v>
      </c>
      <c r="F37" s="19" t="s">
        <v>90</v>
      </c>
    </row>
    <row r="38" spans="2:6" s="2" customFormat="1" ht="12.75" customHeight="1">
      <c r="B38" s="19" t="s">
        <v>89</v>
      </c>
      <c r="F38" s="19" t="s">
        <v>11</v>
      </c>
    </row>
    <row r="39" s="2" customFormat="1" ht="12.75" customHeight="1"/>
    <row r="40" s="2" customFormat="1" ht="18" customHeight="1"/>
    <row r="41" s="2" customFormat="1" ht="12.75" customHeight="1"/>
    <row r="42" s="2" customFormat="1" ht="10.5" customHeight="1"/>
    <row r="43" s="2" customFormat="1" ht="12.75" customHeight="1"/>
    <row r="44" s="2" customFormat="1" ht="9.75" customHeight="1"/>
    <row r="45" s="2" customFormat="1" ht="12.75" customHeight="1"/>
    <row r="46" s="2" customFormat="1" ht="12.75" customHeight="1"/>
  </sheetData>
  <sheetProtection/>
  <mergeCells count="4">
    <mergeCell ref="B17:B18"/>
    <mergeCell ref="C17:C18"/>
    <mergeCell ref="D17:E17"/>
    <mergeCell ref="F17:G1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6"/>
  <sheetViews>
    <sheetView zoomScalePageLayoutView="0" workbookViewId="0" topLeftCell="A1">
      <selection activeCell="A56" sqref="A56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2" t="s">
        <v>0</v>
      </c>
    </row>
    <row r="2" s="1" customFormat="1" ht="6.75" customHeight="1">
      <c r="A2"/>
    </row>
    <row r="3" spans="2:3" s="2" customFormat="1" ht="12" customHeight="1">
      <c r="B3"/>
      <c r="C3"/>
    </row>
    <row r="4" spans="1:3" s="2" customFormat="1" ht="12" customHeight="1">
      <c r="A4" t="s">
        <v>2</v>
      </c>
      <c r="B4" t="s">
        <v>92</v>
      </c>
      <c r="C4"/>
    </row>
    <row r="5" s="2" customFormat="1" ht="14.25" customHeight="1">
      <c r="B5" s="2" t="s">
        <v>91</v>
      </c>
    </row>
    <row r="6" spans="1:3" s="2" customFormat="1" ht="12" customHeight="1">
      <c r="A6" t="s">
        <v>3</v>
      </c>
      <c r="B6" s="23">
        <v>14</v>
      </c>
      <c r="C6"/>
    </row>
    <row r="7" s="2" customFormat="1" ht="6" customHeight="1"/>
    <row r="8" spans="2:3" s="2" customFormat="1" ht="12" customHeight="1">
      <c r="B8"/>
      <c r="C8"/>
    </row>
    <row r="9" spans="1:2" s="2" customFormat="1" ht="15" customHeight="1">
      <c r="A9" t="s">
        <v>85</v>
      </c>
      <c r="B9" t="s">
        <v>87</v>
      </c>
    </row>
    <row r="10" spans="1:2" s="2" customFormat="1" ht="13.5" customHeight="1">
      <c r="A10" t="s">
        <v>86</v>
      </c>
      <c r="B10" s="22" t="s">
        <v>88</v>
      </c>
    </row>
    <row r="11" spans="1:3" s="2" customFormat="1" ht="12" customHeight="1">
      <c r="A11"/>
      <c r="B11"/>
      <c r="C11" s="4"/>
    </row>
    <row r="12" spans="1:3" s="2" customFormat="1" ht="12" customHeight="1">
      <c r="A12" s="3"/>
      <c r="B12" s="10"/>
      <c r="C12" s="10"/>
    </row>
    <row r="13" s="4" customFormat="1" ht="4.5" customHeight="1"/>
    <row r="14" spans="1:3" s="2" customFormat="1" ht="12.75" customHeight="1">
      <c r="A14" s="122" t="s">
        <v>119</v>
      </c>
      <c r="B14" s="122"/>
      <c r="C14" s="122"/>
    </row>
    <row r="15" spans="1:3" s="2" customFormat="1" ht="12" customHeight="1">
      <c r="A15" s="123" t="s">
        <v>141</v>
      </c>
      <c r="B15" s="123"/>
      <c r="C15" s="123"/>
    </row>
    <row r="16" s="2" customFormat="1" ht="12" customHeight="1">
      <c r="C16" s="5" t="s">
        <v>4</v>
      </c>
    </row>
    <row r="17" spans="1:3" s="2" customFormat="1" ht="12" customHeight="1">
      <c r="A17" s="124" t="s">
        <v>1</v>
      </c>
      <c r="B17" s="120" t="s">
        <v>142</v>
      </c>
      <c r="C17" s="120"/>
    </row>
    <row r="18" spans="1:3" s="2" customFormat="1" ht="33.75" customHeight="1">
      <c r="A18" s="124"/>
      <c r="B18" s="89" t="s">
        <v>137</v>
      </c>
      <c r="C18" s="89" t="s">
        <v>133</v>
      </c>
    </row>
    <row r="19" spans="1:3" s="2" customFormat="1" ht="12.75" customHeight="1">
      <c r="A19" s="121" t="s">
        <v>107</v>
      </c>
      <c r="B19" s="121"/>
      <c r="C19" s="121"/>
    </row>
    <row r="20" spans="1:3" s="2" customFormat="1" ht="12.75" customHeight="1">
      <c r="A20" s="36" t="s">
        <v>26</v>
      </c>
      <c r="B20" s="37">
        <f>SUM(B21:B26)</f>
        <v>0</v>
      </c>
      <c r="C20" s="110">
        <f>SUM(C21:C26)</f>
        <v>1601409.2</v>
      </c>
    </row>
    <row r="21" spans="1:3" s="2" customFormat="1" ht="12.75" customHeight="1" hidden="1">
      <c r="A21" s="38" t="s">
        <v>18</v>
      </c>
      <c r="B21" s="39" t="s">
        <v>5</v>
      </c>
      <c r="C21" s="40" t="s">
        <v>5</v>
      </c>
    </row>
    <row r="22" spans="1:3" s="2" customFormat="1" ht="12.75" customHeight="1" hidden="1">
      <c r="A22" s="41" t="s">
        <v>35</v>
      </c>
      <c r="B22" s="42" t="s">
        <v>5</v>
      </c>
      <c r="C22" s="43" t="s">
        <v>5</v>
      </c>
    </row>
    <row r="23" spans="1:3" s="2" customFormat="1" ht="12.75" customHeight="1" hidden="1">
      <c r="A23" s="41" t="s">
        <v>34</v>
      </c>
      <c r="B23" s="42" t="s">
        <v>5</v>
      </c>
      <c r="C23" s="43" t="s">
        <v>5</v>
      </c>
    </row>
    <row r="24" spans="1:3" s="2" customFormat="1" ht="12.75" customHeight="1" hidden="1">
      <c r="A24" s="41" t="s">
        <v>33</v>
      </c>
      <c r="B24" s="42"/>
      <c r="C24" s="43"/>
    </row>
    <row r="25" spans="1:3" s="2" customFormat="1" ht="12.75" customHeight="1" hidden="1">
      <c r="A25" s="41" t="s">
        <v>32</v>
      </c>
      <c r="B25" s="42" t="s">
        <v>5</v>
      </c>
      <c r="C25" s="43" t="s">
        <v>5</v>
      </c>
    </row>
    <row r="26" spans="1:3" s="2" customFormat="1" ht="12.75" customHeight="1">
      <c r="A26" s="41" t="s">
        <v>19</v>
      </c>
      <c r="B26" s="44"/>
      <c r="C26" s="44">
        <f>147022+1454387.2</f>
        <v>1601409.2</v>
      </c>
    </row>
    <row r="27" spans="1:3" s="2" customFormat="1" ht="12.75" customHeight="1">
      <c r="A27" s="58" t="s">
        <v>106</v>
      </c>
      <c r="B27" s="37">
        <f>SUM(B28:B34)</f>
        <v>101411796.75</v>
      </c>
      <c r="C27" s="37">
        <f>SUM(C28:C34)</f>
        <v>135965582.12</v>
      </c>
    </row>
    <row r="28" spans="1:6" s="2" customFormat="1" ht="12.75" customHeight="1">
      <c r="A28" s="45" t="s">
        <v>31</v>
      </c>
      <c r="B28" s="46">
        <f>7549958.75-15000</f>
        <v>7534958.75</v>
      </c>
      <c r="C28" s="46">
        <v>24239483.03</v>
      </c>
      <c r="F28" s="14"/>
    </row>
    <row r="29" spans="1:3" s="2" customFormat="1" ht="12.75" customHeight="1">
      <c r="A29" s="45" t="s">
        <v>30</v>
      </c>
      <c r="B29" s="46">
        <v>45000</v>
      </c>
      <c r="C29" s="46">
        <v>26641751</v>
      </c>
    </row>
    <row r="30" spans="1:3" s="2" customFormat="1" ht="12.75" customHeight="1">
      <c r="A30" s="45" t="s">
        <v>29</v>
      </c>
      <c r="B30" s="46">
        <v>68256481</v>
      </c>
      <c r="C30" s="46">
        <v>59021614.03</v>
      </c>
    </row>
    <row r="31" spans="1:3" s="2" customFormat="1" ht="12.75" customHeight="1">
      <c r="A31" s="45" t="s">
        <v>28</v>
      </c>
      <c r="B31" s="42"/>
      <c r="C31" s="42"/>
    </row>
    <row r="32" spans="1:3" s="2" customFormat="1" ht="12.75" customHeight="1">
      <c r="A32" s="45" t="s">
        <v>27</v>
      </c>
      <c r="B32" s="42"/>
      <c r="C32" s="42"/>
    </row>
    <row r="33" spans="1:3" s="2" customFormat="1" ht="12.75" customHeight="1">
      <c r="A33" s="45" t="s">
        <v>132</v>
      </c>
      <c r="B33" s="46">
        <f>8537155+15951452</f>
        <v>24488607</v>
      </c>
      <c r="C33" s="46">
        <f>11034163.35+11920668.31</f>
        <v>22954831.66</v>
      </c>
    </row>
    <row r="34" spans="1:3" s="2" customFormat="1" ht="12.75" customHeight="1">
      <c r="A34" s="45" t="s">
        <v>12</v>
      </c>
      <c r="B34" s="46">
        <f>1086750</f>
        <v>1086750</v>
      </c>
      <c r="C34" s="46">
        <f>1129583+487017+1491302.4</f>
        <v>3107902.4</v>
      </c>
    </row>
    <row r="35" spans="1:4" s="2" customFormat="1" ht="21.75" customHeight="1">
      <c r="A35" s="111" t="s">
        <v>108</v>
      </c>
      <c r="B35" s="112">
        <f>B20-B27</f>
        <v>-101411796.75</v>
      </c>
      <c r="C35" s="112">
        <f>C20-C27</f>
        <v>-134364172.92000002</v>
      </c>
      <c r="D35" s="14"/>
    </row>
    <row r="36" spans="1:3" s="2" customFormat="1" ht="12.75" customHeight="1">
      <c r="A36" s="121" t="s">
        <v>109</v>
      </c>
      <c r="B36" s="121"/>
      <c r="C36" s="121"/>
    </row>
    <row r="37" spans="1:3" s="2" customFormat="1" ht="12.75" customHeight="1" hidden="1">
      <c r="A37" s="36" t="s">
        <v>26</v>
      </c>
      <c r="B37" s="47">
        <f>SUM(B38:B45)</f>
        <v>0</v>
      </c>
      <c r="C37" s="47">
        <f>SUM(C38:C45)</f>
        <v>0</v>
      </c>
    </row>
    <row r="38" spans="1:3" s="2" customFormat="1" ht="12.75" customHeight="1" hidden="1">
      <c r="A38" s="38" t="s">
        <v>18</v>
      </c>
      <c r="B38" s="48" t="s">
        <v>5</v>
      </c>
      <c r="C38" s="48" t="s">
        <v>5</v>
      </c>
    </row>
    <row r="39" spans="1:3" s="2" customFormat="1" ht="12.75" customHeight="1" hidden="1">
      <c r="A39" s="41" t="s">
        <v>25</v>
      </c>
      <c r="B39" s="49" t="s">
        <v>5</v>
      </c>
      <c r="C39" s="49" t="s">
        <v>5</v>
      </c>
    </row>
    <row r="40" spans="1:3" s="2" customFormat="1" ht="12.75" customHeight="1" hidden="1">
      <c r="A40" s="50" t="s">
        <v>24</v>
      </c>
      <c r="B40" s="49" t="s">
        <v>5</v>
      </c>
      <c r="C40" s="49" t="s">
        <v>5</v>
      </c>
    </row>
    <row r="41" spans="1:3" s="2" customFormat="1" ht="12.75" customHeight="1" hidden="1">
      <c r="A41" s="50" t="s">
        <v>23</v>
      </c>
      <c r="B41" s="49" t="s">
        <v>5</v>
      </c>
      <c r="C41" s="49"/>
    </row>
    <row r="42" spans="1:3" s="2" customFormat="1" ht="12.75" customHeight="1" hidden="1">
      <c r="A42" s="41" t="s">
        <v>22</v>
      </c>
      <c r="B42" s="49" t="s">
        <v>5</v>
      </c>
      <c r="C42" s="49" t="s">
        <v>5</v>
      </c>
    </row>
    <row r="43" spans="1:3" s="2" customFormat="1" ht="12" customHeight="1" hidden="1">
      <c r="A43" s="51" t="s">
        <v>21</v>
      </c>
      <c r="B43" s="49" t="s">
        <v>5</v>
      </c>
      <c r="C43" s="49" t="s">
        <v>5</v>
      </c>
    </row>
    <row r="44" spans="1:3" s="7" customFormat="1" ht="12" customHeight="1" hidden="1">
      <c r="A44" s="52" t="s">
        <v>20</v>
      </c>
      <c r="B44" s="53" t="s">
        <v>5</v>
      </c>
      <c r="C44" s="53" t="s">
        <v>5</v>
      </c>
    </row>
    <row r="45" spans="1:3" s="2" customFormat="1" ht="12" customHeight="1" hidden="1">
      <c r="A45" s="41" t="s">
        <v>19</v>
      </c>
      <c r="B45" s="49" t="s">
        <v>5</v>
      </c>
      <c r="C45" s="49" t="s">
        <v>5</v>
      </c>
    </row>
    <row r="46" spans="1:3" s="2" customFormat="1" ht="12.75" customHeight="1">
      <c r="A46" s="35" t="s">
        <v>106</v>
      </c>
      <c r="B46" s="37">
        <f>SUM(B47:B53)</f>
        <v>103758822.16</v>
      </c>
      <c r="C46" s="37">
        <f>SUM(C47:C53)</f>
        <v>60522757.04</v>
      </c>
    </row>
    <row r="47" spans="1:3" s="2" customFormat="1" ht="12.75" customHeight="1">
      <c r="A47" s="50" t="s">
        <v>17</v>
      </c>
      <c r="B47" s="46">
        <v>2908084</v>
      </c>
      <c r="C47" s="49"/>
    </row>
    <row r="48" spans="1:3" s="2" customFormat="1" ht="12.75" customHeight="1">
      <c r="A48" s="41" t="s">
        <v>16</v>
      </c>
      <c r="B48" s="42" t="s">
        <v>5</v>
      </c>
      <c r="C48" s="49" t="s">
        <v>5</v>
      </c>
    </row>
    <row r="49" spans="1:3" s="2" customFormat="1" ht="12.75" customHeight="1">
      <c r="A49" s="45" t="s">
        <v>110</v>
      </c>
      <c r="B49" s="46">
        <v>100850738.16</v>
      </c>
      <c r="C49" s="46">
        <v>60522757.04</v>
      </c>
    </row>
    <row r="50" spans="1:3" s="2" customFormat="1" ht="12.75" customHeight="1" hidden="1">
      <c r="A50" s="41" t="s">
        <v>15</v>
      </c>
      <c r="B50" s="42" t="s">
        <v>5</v>
      </c>
      <c r="C50" s="49" t="s">
        <v>5</v>
      </c>
    </row>
    <row r="51" spans="1:3" s="2" customFormat="1" ht="12.75" customHeight="1" hidden="1">
      <c r="A51" s="41" t="s">
        <v>14</v>
      </c>
      <c r="B51" s="42" t="s">
        <v>5</v>
      </c>
      <c r="C51" s="49" t="s">
        <v>5</v>
      </c>
    </row>
    <row r="52" spans="1:3" s="7" customFormat="1" ht="15" customHeight="1" hidden="1">
      <c r="A52" s="54" t="s">
        <v>13</v>
      </c>
      <c r="B52" s="55" t="s">
        <v>5</v>
      </c>
      <c r="C52" s="53" t="s">
        <v>5</v>
      </c>
    </row>
    <row r="53" spans="1:3" s="2" customFormat="1" ht="12.75" customHeight="1" hidden="1">
      <c r="A53" s="50" t="s">
        <v>12</v>
      </c>
      <c r="B53" s="42" t="s">
        <v>5</v>
      </c>
      <c r="C53" s="49"/>
    </row>
    <row r="54" spans="1:3" s="2" customFormat="1" ht="24.75" customHeight="1">
      <c r="A54" s="113" t="s">
        <v>111</v>
      </c>
      <c r="B54" s="112">
        <f>B37-B46</f>
        <v>-103758822.16</v>
      </c>
      <c r="C54" s="112">
        <f>C37-C46</f>
        <v>-60522757.04</v>
      </c>
    </row>
    <row r="55" spans="1:3" s="2" customFormat="1" ht="15.75" customHeight="1">
      <c r="A55" s="121" t="s">
        <v>112</v>
      </c>
      <c r="B55" s="121"/>
      <c r="C55" s="121"/>
    </row>
    <row r="56" spans="1:3" ht="11.25">
      <c r="A56" s="35" t="s">
        <v>113</v>
      </c>
      <c r="B56" s="37">
        <f>SUM(B57:B60)</f>
        <v>226421502.64</v>
      </c>
      <c r="C56" s="37">
        <f>SUM(C57:C60)</f>
        <v>191981544</v>
      </c>
    </row>
    <row r="57" spans="1:3" ht="11.25" hidden="1">
      <c r="A57" s="50" t="s">
        <v>46</v>
      </c>
      <c r="B57" s="42" t="s">
        <v>5</v>
      </c>
      <c r="C57" s="43" t="s">
        <v>5</v>
      </c>
    </row>
    <row r="58" spans="1:3" ht="11.25">
      <c r="A58" s="59" t="s">
        <v>114</v>
      </c>
      <c r="B58" s="46">
        <v>226421502.64</v>
      </c>
      <c r="C58" s="46">
        <v>191981544</v>
      </c>
    </row>
    <row r="59" spans="1:3" ht="11.25" hidden="1">
      <c r="A59" s="50" t="s">
        <v>47</v>
      </c>
      <c r="B59" s="42"/>
      <c r="C59" s="42" t="s">
        <v>5</v>
      </c>
    </row>
    <row r="60" spans="1:3" ht="11.25" hidden="1">
      <c r="A60" s="50" t="s">
        <v>19</v>
      </c>
      <c r="B60" s="42" t="s">
        <v>5</v>
      </c>
      <c r="C60" s="42" t="s">
        <v>5</v>
      </c>
    </row>
    <row r="61" spans="1:3" ht="11.25">
      <c r="A61" s="35" t="s">
        <v>106</v>
      </c>
      <c r="B61" s="37">
        <f>SUM(B62:B65)</f>
        <v>5400000</v>
      </c>
      <c r="C61" s="37">
        <f>SUM(C62:C65)</f>
        <v>0</v>
      </c>
    </row>
    <row r="62" spans="1:3" ht="11.25">
      <c r="A62" s="60" t="s">
        <v>48</v>
      </c>
      <c r="B62" s="46">
        <v>5400000</v>
      </c>
      <c r="C62" s="46"/>
    </row>
    <row r="63" spans="1:3" ht="11.25" hidden="1">
      <c r="A63" s="41" t="s">
        <v>49</v>
      </c>
      <c r="B63" s="42" t="s">
        <v>5</v>
      </c>
      <c r="C63" s="42" t="s">
        <v>5</v>
      </c>
    </row>
    <row r="64" spans="1:3" ht="11.25" hidden="1">
      <c r="A64" s="41" t="s">
        <v>50</v>
      </c>
      <c r="B64" s="42" t="s">
        <v>5</v>
      </c>
      <c r="C64" s="43" t="s">
        <v>5</v>
      </c>
    </row>
    <row r="65" spans="1:3" ht="11.25" hidden="1">
      <c r="A65" s="41" t="s">
        <v>51</v>
      </c>
      <c r="B65" s="42" t="s">
        <v>5</v>
      </c>
      <c r="C65" s="43"/>
    </row>
    <row r="66" spans="1:3" ht="15.75" customHeight="1">
      <c r="A66" s="111" t="s">
        <v>115</v>
      </c>
      <c r="B66" s="114">
        <f>B56-B61</f>
        <v>221021502.64</v>
      </c>
      <c r="C66" s="114">
        <f>C56-C61</f>
        <v>191981544</v>
      </c>
    </row>
    <row r="67" spans="1:4" ht="23.25" customHeight="1">
      <c r="A67" s="115" t="s">
        <v>116</v>
      </c>
      <c r="B67" s="116">
        <f>B35+B54+B66</f>
        <v>15850883.72999999</v>
      </c>
      <c r="C67" s="116">
        <f>C35+C54+C66</f>
        <v>-2905385.9600000083</v>
      </c>
      <c r="D67" s="16"/>
    </row>
    <row r="68" spans="1:4" ht="11.25">
      <c r="A68" s="56" t="s">
        <v>52</v>
      </c>
      <c r="B68" s="46">
        <f>'ББ (2)'!E29</f>
        <v>2392922.71</v>
      </c>
      <c r="C68" s="57">
        <f>3475594.88+18586</f>
        <v>3494180.88</v>
      </c>
      <c r="D68" s="17"/>
    </row>
    <row r="69" spans="1:4" ht="11.25">
      <c r="A69" s="56" t="s">
        <v>53</v>
      </c>
      <c r="B69" s="46">
        <f>B68+B67</f>
        <v>18243806.43999999</v>
      </c>
      <c r="C69" s="57">
        <f>C68+C67</f>
        <v>588794.9199999915</v>
      </c>
      <c r="D69" s="17"/>
    </row>
    <row r="70" spans="1:4" ht="11.25">
      <c r="A70"/>
      <c r="B70"/>
      <c r="C70" s="17"/>
      <c r="D70" s="17"/>
    </row>
    <row r="73" spans="1:4" ht="11.25">
      <c r="A73" s="61" t="s">
        <v>118</v>
      </c>
      <c r="B73" s="2" t="s">
        <v>117</v>
      </c>
      <c r="C73" s="62"/>
      <c r="D73" s="62"/>
    </row>
    <row r="74" spans="1:4" ht="12">
      <c r="A74" s="19" t="s">
        <v>135</v>
      </c>
      <c r="B74" s="19" t="s">
        <v>90</v>
      </c>
      <c r="D74" s="2"/>
    </row>
    <row r="75" spans="1:4" ht="12">
      <c r="A75" s="19" t="s">
        <v>89</v>
      </c>
      <c r="B75" s="19" t="s">
        <v>11</v>
      </c>
      <c r="D75" s="2"/>
    </row>
    <row r="76" spans="1:4" ht="11.25">
      <c r="A76" s="2"/>
      <c r="B76" s="2"/>
      <c r="C76" s="2"/>
      <c r="D76" s="2"/>
    </row>
  </sheetData>
  <sheetProtection/>
  <mergeCells count="7">
    <mergeCell ref="A55:C55"/>
    <mergeCell ref="A36:C36"/>
    <mergeCell ref="A14:C14"/>
    <mergeCell ref="A15:C15"/>
    <mergeCell ref="A19:C19"/>
    <mergeCell ref="B17:C17"/>
    <mergeCell ref="A17:A18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tabSelected="1" zoomScalePageLayoutView="0" workbookViewId="0" topLeftCell="A4">
      <selection activeCell="D49" sqref="D49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.66015625" style="8" bestFit="1" customWidth="1"/>
    <col min="6" max="6" width="12.83203125" style="0" bestFit="1" customWidth="1"/>
    <col min="7" max="7" width="12" style="0" bestFit="1" customWidth="1"/>
    <col min="8" max="8" width="10.66015625" style="0" customWidth="1"/>
    <col min="9" max="9" width="12.83203125" style="0" bestFit="1" customWidth="1"/>
  </cols>
  <sheetData>
    <row r="1" spans="1:2" s="2" customFormat="1" ht="11.25">
      <c r="A1" s="2" t="s">
        <v>1</v>
      </c>
      <c r="B1" s="2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1:5" ht="11.25">
      <c r="A4" t="s">
        <v>2</v>
      </c>
      <c r="B4" t="s">
        <v>92</v>
      </c>
      <c r="C4"/>
      <c r="D4"/>
      <c r="E4"/>
    </row>
    <row r="5" s="2" customFormat="1" ht="11.25">
      <c r="B5" s="2" t="s">
        <v>91</v>
      </c>
    </row>
    <row r="6" spans="1:5" ht="11.25">
      <c r="A6" t="s">
        <v>3</v>
      </c>
      <c r="B6" s="23">
        <v>14</v>
      </c>
      <c r="C6"/>
      <c r="D6"/>
      <c r="E6"/>
    </row>
    <row r="7" s="2" customFormat="1" ht="11.25"/>
    <row r="8" spans="1:5" ht="11.25">
      <c r="A8" s="2"/>
      <c r="B8"/>
      <c r="C8"/>
      <c r="D8"/>
      <c r="E8"/>
    </row>
    <row r="9" spans="1:2" s="2" customFormat="1" ht="11.25">
      <c r="A9" t="s">
        <v>85</v>
      </c>
      <c r="B9" t="s">
        <v>87</v>
      </c>
    </row>
    <row r="10" spans="1:2" s="2" customFormat="1" ht="11.25">
      <c r="A10" t="s">
        <v>86</v>
      </c>
      <c r="B10" s="22" t="s">
        <v>88</v>
      </c>
    </row>
    <row r="11" spans="1:5" ht="11.25">
      <c r="A11"/>
      <c r="B11"/>
      <c r="C11" s="4"/>
      <c r="D11"/>
      <c r="E11"/>
    </row>
    <row r="12" spans="6:7" s="4" customFormat="1" ht="20.25" customHeight="1">
      <c r="F12" s="11"/>
      <c r="G12" s="11"/>
    </row>
    <row r="13" spans="1:7" s="2" customFormat="1" ht="12.75" customHeight="1">
      <c r="A13" s="125" t="s">
        <v>121</v>
      </c>
      <c r="B13" s="125"/>
      <c r="C13" s="125"/>
      <c r="D13" s="125"/>
      <c r="F13" s="9"/>
      <c r="G13" s="9"/>
    </row>
    <row r="14" spans="1:4" s="2" customFormat="1" ht="12" customHeight="1">
      <c r="A14" s="126" t="s">
        <v>141</v>
      </c>
      <c r="B14" s="126"/>
      <c r="C14" s="126"/>
      <c r="D14" s="126"/>
    </row>
    <row r="15" s="2" customFormat="1" ht="12" customHeight="1">
      <c r="E15" s="2" t="s">
        <v>123</v>
      </c>
    </row>
    <row r="16" spans="1:5" s="2" customFormat="1" ht="35.25" customHeight="1">
      <c r="A16" s="74"/>
      <c r="B16" s="75" t="s">
        <v>9</v>
      </c>
      <c r="C16" s="75" t="s">
        <v>71</v>
      </c>
      <c r="D16" s="75" t="s">
        <v>72</v>
      </c>
      <c r="E16" s="75" t="s">
        <v>120</v>
      </c>
    </row>
    <row r="17" spans="1:10" s="2" customFormat="1" ht="18" customHeight="1">
      <c r="A17" s="76" t="s">
        <v>138</v>
      </c>
      <c r="B17" s="96">
        <f>'ББ (2)'!E34</f>
        <v>331375500</v>
      </c>
      <c r="C17" s="96">
        <f>'ББ (2)'!E35</f>
        <v>200438622.45</v>
      </c>
      <c r="D17" s="84">
        <f>'ББ (2)'!E36</f>
        <v>-1185582275.65</v>
      </c>
      <c r="E17" s="84">
        <f>B17+C17+D17</f>
        <v>-653768153.2</v>
      </c>
      <c r="G17" s="101"/>
      <c r="H17" s="101"/>
      <c r="J17" s="101"/>
    </row>
    <row r="18" spans="1:5" ht="12" customHeight="1" hidden="1">
      <c r="A18" s="77" t="s">
        <v>36</v>
      </c>
      <c r="B18" s="97" t="s">
        <v>5</v>
      </c>
      <c r="C18" s="97" t="s">
        <v>5</v>
      </c>
      <c r="D18" s="81" t="s">
        <v>5</v>
      </c>
      <c r="E18" s="84" t="s">
        <v>5</v>
      </c>
    </row>
    <row r="19" spans="1:6" ht="12" customHeight="1" hidden="1">
      <c r="A19" s="76" t="s">
        <v>37</v>
      </c>
      <c r="B19" s="98"/>
      <c r="C19" s="98" t="s">
        <v>5</v>
      </c>
      <c r="D19" s="100">
        <f>'опиу (2)'!F29</f>
        <v>-278904270.1</v>
      </c>
      <c r="E19" s="84">
        <f>B19+D19</f>
        <v>-278904270.1</v>
      </c>
      <c r="F19" s="17"/>
    </row>
    <row r="20" spans="1:5" ht="12" customHeight="1" hidden="1">
      <c r="A20" s="77" t="s">
        <v>38</v>
      </c>
      <c r="B20" s="97" t="s">
        <v>5</v>
      </c>
      <c r="C20" s="97" t="s">
        <v>5</v>
      </c>
      <c r="D20" s="81" t="s">
        <v>5</v>
      </c>
      <c r="E20" s="84" t="s">
        <v>5</v>
      </c>
    </row>
    <row r="21" spans="1:5" ht="12" customHeight="1" hidden="1">
      <c r="A21" s="78" t="s">
        <v>39</v>
      </c>
      <c r="B21" s="97" t="s">
        <v>5</v>
      </c>
      <c r="C21" s="97" t="s">
        <v>5</v>
      </c>
      <c r="D21" s="81" t="s">
        <v>5</v>
      </c>
      <c r="E21" s="84" t="s">
        <v>5</v>
      </c>
    </row>
    <row r="22" spans="1:5" ht="23.25" customHeight="1" hidden="1">
      <c r="A22" s="78" t="s">
        <v>40</v>
      </c>
      <c r="B22" s="97" t="s">
        <v>5</v>
      </c>
      <c r="C22" s="97" t="s">
        <v>5</v>
      </c>
      <c r="D22" s="81" t="s">
        <v>5</v>
      </c>
      <c r="E22" s="84" t="s">
        <v>5</v>
      </c>
    </row>
    <row r="23" spans="1:5" ht="34.5" customHeight="1" hidden="1">
      <c r="A23" s="76" t="s">
        <v>41</v>
      </c>
      <c r="B23" s="98" t="s">
        <v>5</v>
      </c>
      <c r="C23" s="98" t="s">
        <v>5</v>
      </c>
      <c r="D23" s="100" t="s">
        <v>5</v>
      </c>
      <c r="E23" s="100" t="s">
        <v>5</v>
      </c>
    </row>
    <row r="24" spans="1:5" ht="12" customHeight="1">
      <c r="A24" s="78" t="s">
        <v>122</v>
      </c>
      <c r="B24" s="97" t="s">
        <v>5</v>
      </c>
      <c r="C24" s="97" t="s">
        <v>5</v>
      </c>
      <c r="D24" s="81">
        <f>'опиу (2)'!F29</f>
        <v>-278904270.1</v>
      </c>
      <c r="E24" s="81">
        <f>D24</f>
        <v>-278904270.1</v>
      </c>
    </row>
    <row r="25" spans="1:5" ht="23.25" customHeight="1" hidden="1">
      <c r="A25" s="76" t="s">
        <v>42</v>
      </c>
      <c r="B25" s="98" t="s">
        <v>5</v>
      </c>
      <c r="C25" s="98" t="s">
        <v>5</v>
      </c>
      <c r="D25" s="100">
        <f>D24</f>
        <v>-278904270.1</v>
      </c>
      <c r="E25" s="100">
        <f>E24</f>
        <v>-278904270.1</v>
      </c>
    </row>
    <row r="26" spans="1:5" ht="12" customHeight="1" hidden="1">
      <c r="A26" s="78" t="s">
        <v>43</v>
      </c>
      <c r="B26" s="99" t="s">
        <v>5</v>
      </c>
      <c r="C26" s="99" t="s">
        <v>5</v>
      </c>
      <c r="D26" s="82" t="s">
        <v>5</v>
      </c>
      <c r="E26" s="83" t="s">
        <v>5</v>
      </c>
    </row>
    <row r="27" spans="1:5" ht="12" customHeight="1" hidden="1">
      <c r="A27" s="78" t="s">
        <v>44</v>
      </c>
      <c r="B27" s="97" t="s">
        <v>5</v>
      </c>
      <c r="C27" s="97" t="s">
        <v>5</v>
      </c>
      <c r="D27" s="81" t="s">
        <v>5</v>
      </c>
      <c r="E27" s="84" t="s">
        <v>5</v>
      </c>
    </row>
    <row r="28" spans="1:5" ht="23.25" customHeight="1" hidden="1">
      <c r="A28" s="78" t="s">
        <v>10</v>
      </c>
      <c r="B28" s="97" t="s">
        <v>5</v>
      </c>
      <c r="C28" s="97" t="s">
        <v>5</v>
      </c>
      <c r="D28" s="81" t="s">
        <v>5</v>
      </c>
      <c r="E28" s="84" t="s">
        <v>5</v>
      </c>
    </row>
    <row r="29" spans="1:7" ht="23.25" customHeight="1">
      <c r="A29" s="76" t="s">
        <v>144</v>
      </c>
      <c r="B29" s="96">
        <f>'ББ (2)'!D34</f>
        <v>331375500</v>
      </c>
      <c r="C29" s="96">
        <f>'ББ (2)'!D35</f>
        <v>200438622.45</v>
      </c>
      <c r="D29" s="84">
        <f>D17+D24</f>
        <v>-1464486545.75</v>
      </c>
      <c r="E29" s="84">
        <f>E17+E25</f>
        <v>-932672423.3000001</v>
      </c>
      <c r="G29" s="102"/>
    </row>
    <row r="30" spans="1:5" ht="12" customHeight="1">
      <c r="A30" s="76" t="s">
        <v>134</v>
      </c>
      <c r="B30" s="96">
        <f>'ББ (2)'!E34</f>
        <v>331375500</v>
      </c>
      <c r="C30" s="96">
        <f>'ББ (2)'!E35</f>
        <v>200438622.45</v>
      </c>
      <c r="D30" s="105">
        <f>-1133115784.78-638209+200000</f>
        <v>-1133553993.78</v>
      </c>
      <c r="E30" s="105">
        <f>B30+C30+D30+1000</f>
        <v>-601738871.3299999</v>
      </c>
    </row>
    <row r="31" spans="1:5" ht="12" customHeight="1" hidden="1">
      <c r="A31" s="78" t="s">
        <v>36</v>
      </c>
      <c r="B31" s="99" t="s">
        <v>5</v>
      </c>
      <c r="C31" s="99" t="s">
        <v>5</v>
      </c>
      <c r="D31" s="106" t="s">
        <v>5</v>
      </c>
      <c r="E31" s="107" t="s">
        <v>5</v>
      </c>
    </row>
    <row r="32" spans="1:5" ht="12" customHeight="1" hidden="1">
      <c r="A32" s="76" t="s">
        <v>45</v>
      </c>
      <c r="B32" s="98">
        <v>531815</v>
      </c>
      <c r="C32" s="98" t="s">
        <v>5</v>
      </c>
      <c r="D32" s="73">
        <f>D30</f>
        <v>-1133553993.78</v>
      </c>
      <c r="E32" s="73">
        <f>E30</f>
        <v>-601738871.3299999</v>
      </c>
    </row>
    <row r="33" spans="1:5" ht="12" customHeight="1" hidden="1">
      <c r="A33" s="78" t="s">
        <v>38</v>
      </c>
      <c r="B33" s="99" t="s">
        <v>5</v>
      </c>
      <c r="C33" s="99" t="s">
        <v>5</v>
      </c>
      <c r="D33" s="106" t="s">
        <v>5</v>
      </c>
      <c r="E33" s="107" t="s">
        <v>5</v>
      </c>
    </row>
    <row r="34" spans="1:5" s="2" customFormat="1" ht="12" customHeight="1" hidden="1">
      <c r="A34" s="78" t="s">
        <v>39</v>
      </c>
      <c r="B34" s="99" t="s">
        <v>5</v>
      </c>
      <c r="C34" s="99" t="s">
        <v>5</v>
      </c>
      <c r="D34" s="106" t="s">
        <v>5</v>
      </c>
      <c r="E34" s="107" t="s">
        <v>5</v>
      </c>
    </row>
    <row r="35" spans="1:5" ht="23.25" customHeight="1" hidden="1">
      <c r="A35" s="78" t="s">
        <v>40</v>
      </c>
      <c r="B35" s="96" t="s">
        <v>5</v>
      </c>
      <c r="C35" s="96" t="s">
        <v>5</v>
      </c>
      <c r="D35" s="105" t="s">
        <v>5</v>
      </c>
      <c r="E35" s="105" t="s">
        <v>5</v>
      </c>
    </row>
    <row r="36" spans="1:5" ht="34.5" customHeight="1" hidden="1">
      <c r="A36" s="76" t="s">
        <v>54</v>
      </c>
      <c r="B36" s="98" t="s">
        <v>5</v>
      </c>
      <c r="C36" s="98" t="s">
        <v>5</v>
      </c>
      <c r="D36" s="73" t="s">
        <v>5</v>
      </c>
      <c r="E36" s="73" t="s">
        <v>5</v>
      </c>
    </row>
    <row r="37" spans="1:5" s="2" customFormat="1" ht="18" customHeight="1">
      <c r="A37" s="78" t="s">
        <v>122</v>
      </c>
      <c r="B37" s="96"/>
      <c r="C37" s="96">
        <v>0</v>
      </c>
      <c r="D37" s="108">
        <f>'опиу (2)'!G29</f>
        <v>-195183284.32</v>
      </c>
      <c r="E37" s="108">
        <f>D37</f>
        <v>-195183284.32</v>
      </c>
    </row>
    <row r="38" spans="1:7" ht="23.25" customHeight="1" hidden="1">
      <c r="A38" s="76" t="s">
        <v>55</v>
      </c>
      <c r="B38" s="98" t="s">
        <v>5</v>
      </c>
      <c r="C38" s="98" t="s">
        <v>5</v>
      </c>
      <c r="D38" s="73">
        <f>SUM(D33:D37)</f>
        <v>-195183284.32</v>
      </c>
      <c r="E38" s="73">
        <f>SUM(E33:E37)</f>
        <v>-195183284.32</v>
      </c>
      <c r="G38" s="13"/>
    </row>
    <row r="39" spans="1:5" s="2" customFormat="1" ht="18" customHeight="1" hidden="1">
      <c r="A39" s="78" t="s">
        <v>43</v>
      </c>
      <c r="B39" s="96" t="s">
        <v>5</v>
      </c>
      <c r="C39" s="96" t="s">
        <v>5</v>
      </c>
      <c r="D39" s="105" t="s">
        <v>5</v>
      </c>
      <c r="E39" s="105" t="s">
        <v>5</v>
      </c>
    </row>
    <row r="40" spans="1:5" s="2" customFormat="1" ht="18" customHeight="1" hidden="1">
      <c r="A40" s="78" t="s">
        <v>44</v>
      </c>
      <c r="B40" s="96" t="s">
        <v>5</v>
      </c>
      <c r="C40" s="96" t="s">
        <v>5</v>
      </c>
      <c r="D40" s="105" t="s">
        <v>5</v>
      </c>
      <c r="E40" s="105" t="s">
        <v>5</v>
      </c>
    </row>
    <row r="41" spans="1:5" ht="23.25" customHeight="1" hidden="1">
      <c r="A41" s="78" t="s">
        <v>10</v>
      </c>
      <c r="B41" s="96" t="s">
        <v>5</v>
      </c>
      <c r="C41" s="96" t="s">
        <v>5</v>
      </c>
      <c r="D41" s="105" t="s">
        <v>5</v>
      </c>
      <c r="E41" s="105" t="s">
        <v>5</v>
      </c>
    </row>
    <row r="42" spans="1:5" ht="34.5" customHeight="1">
      <c r="A42" s="76" t="s">
        <v>145</v>
      </c>
      <c r="B42" s="96">
        <f>B30+B37</f>
        <v>331375500</v>
      </c>
      <c r="C42" s="96">
        <f>C30+C37</f>
        <v>200438622.45</v>
      </c>
      <c r="D42" s="105">
        <f>D32+D37</f>
        <v>-1328737278.1</v>
      </c>
      <c r="E42" s="105">
        <f>E32+E37</f>
        <v>-796922155.6499999</v>
      </c>
    </row>
    <row r="43" spans="1:5" s="2" customFormat="1" ht="18" customHeight="1">
      <c r="A43" s="18"/>
      <c r="B43" s="18"/>
      <c r="C43" s="18"/>
      <c r="D43" s="18"/>
      <c r="E43" s="18"/>
    </row>
    <row r="44" spans="1:3" s="2" customFormat="1" ht="12.75" customHeight="1">
      <c r="A44" s="61" t="s">
        <v>118</v>
      </c>
      <c r="C44" s="2" t="s">
        <v>117</v>
      </c>
    </row>
    <row r="45" spans="1:3" ht="12">
      <c r="A45" s="19" t="s">
        <v>135</v>
      </c>
      <c r="C45" s="19" t="s">
        <v>90</v>
      </c>
    </row>
    <row r="46" spans="1:3" ht="12">
      <c r="A46" s="19" t="s">
        <v>89</v>
      </c>
      <c r="C46" s="19" t="s">
        <v>11</v>
      </c>
    </row>
  </sheetData>
  <sheetProtection/>
  <mergeCells count="2"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2023-10-27T09:55:14Z</cp:lastPrinted>
  <dcterms:created xsi:type="dcterms:W3CDTF">2018-02-23T11:21:27Z</dcterms:created>
  <dcterms:modified xsi:type="dcterms:W3CDTF">2023-10-27T10:06:09Z</dcterms:modified>
  <cp:category/>
  <cp:version/>
  <cp:contentType/>
  <cp:contentStatus/>
  <cp:revision>1</cp:revision>
</cp:coreProperties>
</file>