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3"/>
  </bookViews>
  <sheets>
    <sheet name="ББ (2)" sheetId="1" r:id="rId1"/>
    <sheet name="опиу (2)" sheetId="2" r:id="rId2"/>
    <sheet name="ддс (2)" sheetId="3" r:id="rId3"/>
    <sheet name="капитал (2)" sheetId="4" r:id="rId4"/>
  </sheets>
  <definedNames/>
  <calcPr fullCalcOnLoad="1"/>
</workbook>
</file>

<file path=xl/sharedStrings.xml><?xml version="1.0" encoding="utf-8"?>
<sst xmlns="http://schemas.openxmlformats.org/spreadsheetml/2006/main" count="332" uniqueCount="144">
  <si>
    <t>АО "Ай Карааул"</t>
  </si>
  <si>
    <t>Наименование</t>
  </si>
  <si>
    <t>Вид деятельности</t>
  </si>
  <si>
    <t>Среднегодовая численность работников</t>
  </si>
  <si>
    <t>тыс. тенге</t>
  </si>
  <si>
    <t>-</t>
  </si>
  <si>
    <t>Запасы</t>
  </si>
  <si>
    <t>Основные средства</t>
  </si>
  <si>
    <t>Разведочные и оценочные активы</t>
  </si>
  <si>
    <t>Уставный капитал</t>
  </si>
  <si>
    <t>Выкупленные собственные долевые инструменты</t>
  </si>
  <si>
    <t>Шабанбаев М. Э.</t>
  </si>
  <si>
    <t>Главный бухгалтер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</si>
  <si>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</si>
  <si>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</si>
  <si>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</si>
  <si>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</si>
  <si>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нематериальных активов</t>
  </si>
  <si>
    <t>приобретение основных средств</t>
  </si>
  <si>
    <t>в том числе: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</si>
  <si>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</si>
  <si>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</si>
  <si>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</si>
  <si>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</si>
  <si>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</si>
  <si>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</si>
  <si>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</si>
  <si>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</si>
  <si>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</si>
  <si>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</si>
  <si>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</si>
  <si>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</si>
  <si>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</si>
  <si>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</si>
  <si>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</si>
  <si>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</si>
  <si>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</si>
  <si>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</si>
  <si>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</si>
  <si>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</si>
  <si>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</si>
  <si>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</si>
  <si>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</si>
  <si>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</si>
  <si>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</si>
  <si>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</si>
  <si>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</si>
  <si>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</si>
  <si>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эмиссия акций и других ценных бумаг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</si>
  <si>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</si>
  <si>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</si>
  <si>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</si>
  <si>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</si>
  <si>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</si>
  <si>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</si>
  <si>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</si>
  <si>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</si>
  <si>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</si>
  <si>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Балансовая стоимость одной простой акции, в тенге</t>
  </si>
  <si>
    <t>Сальдо на 1 января 2020 года</t>
  </si>
  <si>
    <t>по состоянию на 30 июня 2021 года</t>
  </si>
  <si>
    <t>Активы</t>
  </si>
  <si>
    <t>Примечание</t>
  </si>
  <si>
    <t>Долгосрочные активы</t>
  </si>
  <si>
    <t>Средства, размещенные в кредитных учреждениях</t>
  </si>
  <si>
    <t>Итого долгосрочные активы</t>
  </si>
  <si>
    <t>Текущие активы</t>
  </si>
  <si>
    <t>Займы выданные</t>
  </si>
  <si>
    <t>Предоплаты по налогам и платежам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</si>
  <si>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</si>
  <si>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</si>
  <si>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</si>
  <si>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</si>
  <si>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СОБСТВЕННЫЙ КАПИТАЛ И ОБЯЗАТЕЛЬСТВА</t>
  </si>
  <si>
    <t>Собственный капитал</t>
  </si>
  <si>
    <t>Уставные капитал</t>
  </si>
  <si>
    <t>Дополнительно оплаченный капитал</t>
  </si>
  <si>
    <t>Непокрытый убыток</t>
  </si>
  <si>
    <t>Итого собственный капитал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</si>
  <si>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</si>
  <si>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</si>
  <si>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</si>
  <si>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</si>
  <si>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полученные</t>
  </si>
  <si>
    <t xml:space="preserve">Торговая кредиторская задолженность </t>
  </si>
  <si>
    <t>Обязательства по налогам и платежам</t>
  </si>
  <si>
    <t>Прочие текущие обязательства</t>
  </si>
  <si>
    <t>Итого текущие обязательства</t>
  </si>
  <si>
    <t>Итого обязательства</t>
  </si>
  <si>
    <t>Итого собственный капитал и обязательства</t>
  </si>
  <si>
    <t>Юридический адрес, Бизнес идентификационный</t>
  </si>
  <si>
    <t>номер, Индивидуальный идентификационный номер</t>
  </si>
  <si>
    <t>г. Алматы, ул. Толе би, 63</t>
  </si>
  <si>
    <t>080 740 006 246</t>
  </si>
  <si>
    <t>Президент</t>
  </si>
  <si>
    <t>Карабаева Д. Т.</t>
  </si>
  <si>
    <t>(без научных исследований и разработок)</t>
  </si>
  <si>
    <t xml:space="preserve">Деятельность по проведению геологической разведки и изысканий </t>
  </si>
  <si>
    <t>КОНСОЛИДИРОВАННЫЙ ОТЧЕТ О ПРИБЫЛИ И УБЫТКАХ</t>
  </si>
  <si>
    <t>И ПРОЧЕМ СОВОКУПНОМ ДОХОДЕ</t>
  </si>
  <si>
    <t>Примечания</t>
  </si>
  <si>
    <t>Общие и административные расходы</t>
  </si>
  <si>
    <t>Прочие прибыли (убытки), нетто</t>
  </si>
  <si>
    <t>Операционный убыток</t>
  </si>
  <si>
    <t>Финансовые доходы</t>
  </si>
  <si>
    <t>Финансовые расходы</t>
  </si>
  <si>
    <t>Восстановление убытка (убыток от обесценения финансовых активов</t>
  </si>
  <si>
    <t>Экономия (расход) по корпоративному подоходному налогу</t>
  </si>
  <si>
    <t>Прочий совокупный доход (убыток)</t>
  </si>
  <si>
    <t>Убыток за акцию, тенге</t>
  </si>
  <si>
    <t>Убыток до налогообложения</t>
  </si>
  <si>
    <t>Выбытие денежных средств, всего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</si>
  <si>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</si>
  <si>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</si>
  <si>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</si>
  <si>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разведочных и оценочных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</si>
  <si>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</si>
  <si>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</si>
  <si>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денежных средств, всего</t>
  </si>
  <si>
    <t>полученные займы</t>
  </si>
  <si>
    <t xml:space="preserve">Чистая сумма денежных средств от финансовой деятельности </t>
  </si>
  <si>
    <t>Чистое изменение денежных средств и их эквивалентов</t>
  </si>
  <si>
    <t>______________________</t>
  </si>
  <si>
    <t>________________________</t>
  </si>
  <si>
    <t>КОНСОЛИДИРОВАННЫЙ ОТЧЕТ О ДВИЖЕНИИ ДЕНЕЖНЫХ СРЕДСТВ</t>
  </si>
  <si>
    <t>Итого</t>
  </si>
  <si>
    <t>КОНСОЛИДИРОВАННЫЙ ОТЧЕТ ОБ ИЗМЕНЕНИЯХ В СОБСТВЕННОМ КАПИТАЛЕ</t>
  </si>
  <si>
    <t>Сальдо на 1 января 2021 года</t>
  </si>
  <si>
    <t>Сальдо на 30 июня 2021 года</t>
  </si>
  <si>
    <t>Сальдо на 30 июня 2020 года</t>
  </si>
  <si>
    <t>Убыток и совокупный убыток за отчетный период</t>
  </si>
  <si>
    <t>тыс тенге</t>
  </si>
  <si>
    <t>Промежуточный сокращённый консолидированный отчёт о финансовом положении</t>
  </si>
  <si>
    <t>на 30.06.2021 года (неаудировано)</t>
  </si>
  <si>
    <t>на 31.12.2021 года (аудировано)</t>
  </si>
  <si>
    <t>тыс.тенге</t>
  </si>
  <si>
    <t>наименование</t>
  </si>
  <si>
    <t>За 3 месяца, закончившиева 30 июня</t>
  </si>
  <si>
    <t>2021 года (неаудировано)</t>
  </si>
  <si>
    <t>2020 года (неаудировано)</t>
  </si>
  <si>
    <t>за 6 месяцев, заканчивающиеся 30 июня 2021 года</t>
  </si>
  <si>
    <t xml:space="preserve">Итоговый убыток </t>
  </si>
  <si>
    <t xml:space="preserve">Итого совокупный убыток </t>
  </si>
  <si>
    <t>За 6 месяцев, закончивающиеся 30 июня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</si>
</sst>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#,###,\ _₽;\(\ #,###,\)\ _₽"/>
    <numFmt numFmtId="201" formatCode="#,###,\ _₽;\ \(#,###,\)\ _₽"/>
    <numFmt numFmtId="202" formatCode="#,###,\ _₽;\(#,###,\)\ _₽"/>
    <numFmt numFmtId="203" formatCode="#,##0\ _₽;\(#,##0\)\ _₽"/>
    <numFmt numFmtId="204" formatCode="#,##0.000\ _₽;\(#,##0.000\)\ _₽"/>
    <numFmt numFmtId="205" formatCode="#,##0\ _₽;\(#,###,\)\ _₽"/>
    <numFmt numFmtId="206" formatCode="#,###,\ _₽;#,###,\ _₽"/>
  </numFmts>
  <fonts count="45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indent="5"/>
    </xf>
    <xf numFmtId="0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indent="5"/>
    </xf>
    <xf numFmtId="0" fontId="0" fillId="0" borderId="12" xfId="0" applyNumberFormat="1" applyFont="1" applyBorder="1" applyAlignment="1">
      <alignment horizontal="left" vertical="center" wrapText="1" indent="5"/>
    </xf>
    <xf numFmtId="0" fontId="0" fillId="0" borderId="12" xfId="0" applyNumberFormat="1" applyFont="1" applyBorder="1" applyAlignment="1">
      <alignment horizontal="left" vertical="top" wrapText="1" indent="5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5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202" fontId="5" fillId="0" borderId="10" xfId="0" applyNumberFormat="1" applyFont="1" applyBorder="1" applyAlignment="1">
      <alignment/>
    </xf>
    <xf numFmtId="203" fontId="43" fillId="0" borderId="0" xfId="0" applyNumberFormat="1" applyFont="1" applyAlignment="1">
      <alignment horizontal="right"/>
    </xf>
    <xf numFmtId="204" fontId="43" fillId="0" borderId="0" xfId="0" applyNumberFormat="1" applyFont="1" applyAlignment="1">
      <alignment horizontal="right" vertical="center" wrapText="1"/>
    </xf>
    <xf numFmtId="205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4" fillId="0" borderId="0" xfId="0" applyNumberFormat="1" applyFont="1" applyAlignment="1">
      <alignment horizontal="left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/>
    </xf>
    <xf numFmtId="202" fontId="5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/>
    </xf>
    <xf numFmtId="203" fontId="5" fillId="33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right"/>
    </xf>
    <xf numFmtId="203" fontId="0" fillId="3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203" fontId="5" fillId="0" borderId="10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right" wrapText="1"/>
    </xf>
    <xf numFmtId="203" fontId="0" fillId="33" borderId="10" xfId="0" applyNumberFormat="1" applyFont="1" applyFill="1" applyBorder="1" applyAlignment="1">
      <alignment horizontal="right" wrapText="1"/>
    </xf>
    <xf numFmtId="203" fontId="5" fillId="33" borderId="10" xfId="0" applyNumberFormat="1" applyFont="1" applyFill="1" applyBorder="1" applyAlignment="1">
      <alignment horizontal="right" wrapText="1"/>
    </xf>
    <xf numFmtId="202" fontId="5" fillId="0" borderId="10" xfId="0" applyNumberFormat="1" applyFont="1" applyBorder="1" applyAlignment="1">
      <alignment horizontal="right"/>
    </xf>
    <xf numFmtId="206" fontId="0" fillId="0" borderId="10" xfId="0" applyNumberFormat="1" applyFont="1" applyFill="1" applyBorder="1" applyAlignment="1">
      <alignment horizontal="right" vertical="center"/>
    </xf>
    <xf numFmtId="205" fontId="0" fillId="33" borderId="10" xfId="0" applyNumberFormat="1" applyFont="1" applyFill="1" applyBorder="1" applyAlignment="1">
      <alignment horizontal="right"/>
    </xf>
    <xf numFmtId="205" fontId="0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169" fontId="0" fillId="34" borderId="10" xfId="0" applyNumberFormat="1" applyFont="1" applyFill="1" applyBorder="1" applyAlignment="1">
      <alignment vertical="center"/>
    </xf>
    <xf numFmtId="169" fontId="5" fillId="34" borderId="10" xfId="0" applyNumberFormat="1" applyFont="1" applyFill="1" applyBorder="1" applyAlignment="1">
      <alignment/>
    </xf>
    <xf numFmtId="169" fontId="0" fillId="34" borderId="10" xfId="0" applyNumberFormat="1" applyFont="1" applyFill="1" applyBorder="1" applyAlignment="1">
      <alignment/>
    </xf>
    <xf numFmtId="169" fontId="5" fillId="34" borderId="10" xfId="0" applyNumberFormat="1" applyFont="1" applyFill="1" applyBorder="1" applyAlignment="1">
      <alignment/>
    </xf>
    <xf numFmtId="185" fontId="0" fillId="0" borderId="0" xfId="0" applyNumberFormat="1" applyAlignment="1">
      <alignment horizontal="left"/>
    </xf>
    <xf numFmtId="200" fontId="0" fillId="34" borderId="10" xfId="0" applyNumberFormat="1" applyFont="1" applyFill="1" applyBorder="1" applyAlignment="1">
      <alignment vertical="center"/>
    </xf>
    <xf numFmtId="201" fontId="0" fillId="3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H57"/>
  <sheetViews>
    <sheetView zoomScalePageLayoutView="0" workbookViewId="0" topLeftCell="A16">
      <selection activeCell="D21" sqref="D21"/>
    </sheetView>
  </sheetViews>
  <sheetFormatPr defaultColWidth="10.66015625" defaultRowHeight="11.25"/>
  <cols>
    <col min="1" max="1" width="10.66015625" style="0" customWidth="1"/>
    <col min="2" max="2" width="47" style="0" customWidth="1"/>
    <col min="3" max="3" width="13.33203125" style="0" customWidth="1"/>
    <col min="4" max="4" width="23" style="0" customWidth="1"/>
    <col min="5" max="5" width="23.33203125" style="0" customWidth="1"/>
    <col min="6" max="6" width="10.66015625" style="0" customWidth="1"/>
    <col min="7" max="7" width="11.83203125" style="0" bestFit="1" customWidth="1"/>
  </cols>
  <sheetData>
    <row r="1" s="2" customFormat="1" ht="14.25" customHeight="1"/>
    <row r="2" s="1" customFormat="1" ht="6.75" customHeight="1"/>
    <row r="3" spans="2:3" s="2" customFormat="1" ht="11.25" customHeight="1">
      <c r="B3" s="2" t="s">
        <v>1</v>
      </c>
      <c r="C3" s="2" t="s">
        <v>0</v>
      </c>
    </row>
    <row r="4" ht="12" customHeight="1"/>
    <row r="5" s="2" customFormat="1" ht="4.5" customHeight="1"/>
    <row r="6" spans="2:3" ht="26.25" customHeight="1">
      <c r="B6" t="s">
        <v>2</v>
      </c>
      <c r="C6" t="s">
        <v>97</v>
      </c>
    </row>
    <row r="7" s="2" customFormat="1" ht="10.5" customHeight="1">
      <c r="C7" s="2" t="s">
        <v>96</v>
      </c>
    </row>
    <row r="8" spans="2:3" ht="12" customHeight="1">
      <c r="B8" t="s">
        <v>3</v>
      </c>
      <c r="C8" s="23">
        <v>14</v>
      </c>
    </row>
    <row r="9" s="2" customFormat="1" ht="5.25" customHeight="1"/>
    <row r="10" s="2" customFormat="1" ht="5.25" customHeight="1"/>
    <row r="11" spans="2:3" ht="12" customHeight="1">
      <c r="B11" t="s">
        <v>90</v>
      </c>
      <c r="C11" t="s">
        <v>92</v>
      </c>
    </row>
    <row r="12" spans="2:3" ht="12" customHeight="1">
      <c r="B12" t="s">
        <v>91</v>
      </c>
      <c r="C12" s="22" t="s">
        <v>93</v>
      </c>
    </row>
    <row r="13" s="4" customFormat="1" ht="11.25" customHeight="1"/>
    <row r="14" s="2" customFormat="1" ht="12.75">
      <c r="C14" s="103" t="s">
        <v>132</v>
      </c>
    </row>
    <row r="15" s="2" customFormat="1" ht="15.75" customHeight="1">
      <c r="C15" s="23" t="s">
        <v>60</v>
      </c>
    </row>
    <row r="16" s="2" customFormat="1" ht="16.5" customHeight="1">
      <c r="E16" s="102" t="s">
        <v>135</v>
      </c>
    </row>
    <row r="17" spans="2:5" s="2" customFormat="1" ht="21" customHeight="1">
      <c r="B17" s="20" t="s">
        <v>61</v>
      </c>
      <c r="C17" s="28" t="s">
        <v>62</v>
      </c>
      <c r="D17" s="101" t="s">
        <v>133</v>
      </c>
      <c r="E17" s="101" t="s">
        <v>134</v>
      </c>
    </row>
    <row r="18" spans="2:5" s="2" customFormat="1" ht="12.75" customHeight="1">
      <c r="B18" s="20" t="s">
        <v>63</v>
      </c>
      <c r="C18" s="20"/>
      <c r="D18" s="20"/>
      <c r="E18" s="20"/>
    </row>
    <row r="19" spans="2:5" s="2" customFormat="1" ht="12.75" customHeight="1">
      <c r="B19" s="21" t="s">
        <v>7</v>
      </c>
      <c r="C19" s="75">
        <v>4</v>
      </c>
      <c r="D19" s="104">
        <v>4289710.3</v>
      </c>
      <c r="E19" s="66">
        <v>5753288.14</v>
      </c>
    </row>
    <row r="20" spans="2:5" s="2" customFormat="1" ht="12.75" customHeight="1">
      <c r="B20" s="21" t="s">
        <v>8</v>
      </c>
      <c r="C20" s="75">
        <v>5</v>
      </c>
      <c r="D20" s="104">
        <f>1386581915.51-1000</f>
        <v>1386580915.51</v>
      </c>
      <c r="E20" s="104">
        <v>1376035352.88</v>
      </c>
    </row>
    <row r="21" spans="2:5" s="2" customFormat="1" ht="12.75" customHeight="1">
      <c r="B21" s="21" t="s">
        <v>64</v>
      </c>
      <c r="C21" s="75">
        <v>6</v>
      </c>
      <c r="D21" s="104">
        <f>15155089-2440628.91+1000</f>
        <v>12715460.09</v>
      </c>
      <c r="E21" s="104">
        <f>15155089-2440628.91+1000</f>
        <v>12715460.09</v>
      </c>
    </row>
    <row r="22" spans="2:5" s="2" customFormat="1" ht="12.75" customHeight="1">
      <c r="B22" s="20" t="s">
        <v>65</v>
      </c>
      <c r="C22" s="76"/>
      <c r="D22" s="105">
        <f>SUM(D19:D21)</f>
        <v>1403586085.8999999</v>
      </c>
      <c r="E22" s="105">
        <f>SUM(E19:E21)-1000</f>
        <v>1394503101.1100001</v>
      </c>
    </row>
    <row r="23" spans="2:5" s="2" customFormat="1" ht="12.75" customHeight="1">
      <c r="B23" s="20" t="s">
        <v>66</v>
      </c>
      <c r="C23" s="76"/>
      <c r="D23" s="67"/>
      <c r="E23" s="68"/>
    </row>
    <row r="24" spans="2:5" s="2" customFormat="1" ht="12.75" customHeight="1">
      <c r="B24" s="21" t="s">
        <v>67</v>
      </c>
      <c r="C24" s="75">
        <v>7</v>
      </c>
      <c r="D24" s="106">
        <f>47672944.25-1505675.4-457060</f>
        <v>45710208.85</v>
      </c>
      <c r="E24" s="106">
        <f>47672944.25-1505675.4-457060</f>
        <v>45710208.85</v>
      </c>
    </row>
    <row r="25" spans="2:5" s="2" customFormat="1" ht="12.75" customHeight="1">
      <c r="B25" s="21" t="s">
        <v>6</v>
      </c>
      <c r="C25" s="75">
        <v>8</v>
      </c>
      <c r="D25" s="104">
        <v>672504</v>
      </c>
      <c r="E25" s="104">
        <v>656024</v>
      </c>
    </row>
    <row r="26" spans="2:5" s="2" customFormat="1" ht="12.75" customHeight="1">
      <c r="B26" s="21" t="s">
        <v>68</v>
      </c>
      <c r="C26" s="75">
        <v>9</v>
      </c>
      <c r="D26" s="104">
        <f>293988.57</f>
        <v>293988.57</v>
      </c>
      <c r="E26" s="104">
        <f>355275.57+1000</f>
        <v>356275.57</v>
      </c>
    </row>
    <row r="27" spans="2:5" s="2" customFormat="1" ht="12.75" customHeight="1">
      <c r="B27" s="21" t="s">
        <v>69</v>
      </c>
      <c r="C27" s="75">
        <v>10</v>
      </c>
      <c r="D27" s="106">
        <f>52114849.48+265+42000+124567</f>
        <v>52281681.48</v>
      </c>
      <c r="E27" s="104">
        <f>48111003.5+265-1000</f>
        <v>48110268.5</v>
      </c>
    </row>
    <row r="28" spans="2:5" s="2" customFormat="1" ht="12.75" customHeight="1">
      <c r="B28" s="21" t="s">
        <v>70</v>
      </c>
      <c r="C28" s="75">
        <v>11</v>
      </c>
      <c r="D28" s="104">
        <f>403154.43+18586</f>
        <v>421740.43</v>
      </c>
      <c r="E28" s="104">
        <f>394791.21+18586+1000</f>
        <v>414377.21</v>
      </c>
    </row>
    <row r="29" spans="2:5" s="2" customFormat="1" ht="12.75" customHeight="1">
      <c r="B29" s="20" t="s">
        <v>71</v>
      </c>
      <c r="C29" s="75"/>
      <c r="D29" s="107">
        <f>SUM(D24:D28)</f>
        <v>99380123.33000001</v>
      </c>
      <c r="E29" s="107">
        <f>SUM(E24:E28)-1000</f>
        <v>95246154.13</v>
      </c>
    </row>
    <row r="30" spans="2:5" s="2" customFormat="1" ht="12.75" customHeight="1">
      <c r="B30" s="20" t="s">
        <v>72</v>
      </c>
      <c r="C30" s="75"/>
      <c r="D30" s="107">
        <f>D22+D29</f>
        <v>1502966209.2299998</v>
      </c>
      <c r="E30" s="107">
        <f>E22+E29</f>
        <v>1489749255.2400002</v>
      </c>
    </row>
    <row r="31" spans="2:5" s="2" customFormat="1" ht="12.75" customHeight="1">
      <c r="B31" s="20" t="s">
        <v>73</v>
      </c>
      <c r="C31" s="75"/>
      <c r="D31" s="70"/>
      <c r="E31" s="66"/>
    </row>
    <row r="32" spans="2:5" s="2" customFormat="1" ht="12.75" customHeight="1">
      <c r="B32" s="20" t="s">
        <v>74</v>
      </c>
      <c r="C32" s="75"/>
      <c r="D32" s="70"/>
      <c r="E32" s="66"/>
    </row>
    <row r="33" spans="2:8" s="2" customFormat="1" ht="12.75" customHeight="1">
      <c r="B33" s="21" t="s">
        <v>75</v>
      </c>
      <c r="C33" s="75">
        <v>12</v>
      </c>
      <c r="D33" s="106">
        <v>331375500</v>
      </c>
      <c r="E33" s="104">
        <f>331375500</f>
        <v>331375500</v>
      </c>
      <c r="H33" s="108"/>
    </row>
    <row r="34" spans="2:8" s="2" customFormat="1" ht="12.75" customHeight="1">
      <c r="B34" s="21" t="s">
        <v>76</v>
      </c>
      <c r="C34" s="75">
        <v>13</v>
      </c>
      <c r="D34" s="106">
        <f>200439622.45-1000</f>
        <v>200438622.45</v>
      </c>
      <c r="E34" s="104">
        <f>200439622.45-1000</f>
        <v>200438622.45</v>
      </c>
      <c r="H34" s="108"/>
    </row>
    <row r="35" spans="2:8" s="2" customFormat="1" ht="12.75" customHeight="1">
      <c r="B35" s="21" t="s">
        <v>77</v>
      </c>
      <c r="C35" s="75">
        <v>14</v>
      </c>
      <c r="D35" s="109">
        <f>-1208319498.51-638209+200000</f>
        <v>-1208757707.51</v>
      </c>
      <c r="E35" s="110">
        <f>-1053238282.75-638209+200000-1000</f>
        <v>-1053677491.75</v>
      </c>
      <c r="H35" s="108"/>
    </row>
    <row r="36" spans="2:8" s="2" customFormat="1" ht="12.75" customHeight="1">
      <c r="B36" s="20" t="s">
        <v>78</v>
      </c>
      <c r="C36" s="75"/>
      <c r="D36" s="71">
        <f>SUM(D33:D35)</f>
        <v>-676943585.06</v>
      </c>
      <c r="E36" s="71">
        <f>SUM(E33:E35)+1000</f>
        <v>-521862369.3</v>
      </c>
      <c r="H36" s="108"/>
    </row>
    <row r="37" spans="2:5" s="2" customFormat="1" ht="12.75" customHeight="1">
      <c r="B37" s="20" t="s">
        <v>79</v>
      </c>
      <c r="C37" s="75"/>
      <c r="D37" s="70"/>
      <c r="E37" s="66"/>
    </row>
    <row r="38" spans="2:5" s="2" customFormat="1" ht="12.75" customHeight="1">
      <c r="B38" s="21" t="s">
        <v>80</v>
      </c>
      <c r="C38" s="75">
        <v>15</v>
      </c>
      <c r="D38" s="106">
        <f>22569407.99+1000</f>
        <v>22570407.99</v>
      </c>
      <c r="E38" s="106">
        <f>22569407.99+500</f>
        <v>22569907.99</v>
      </c>
    </row>
    <row r="39" spans="1:5" s="2" customFormat="1" ht="12.75" customHeight="1">
      <c r="A39" s="14"/>
      <c r="B39" s="20" t="s">
        <v>81</v>
      </c>
      <c r="C39" s="75"/>
      <c r="D39" s="69">
        <f>SUM(D38)</f>
        <v>22570407.99</v>
      </c>
      <c r="E39" s="69">
        <f>SUM(E38)</f>
        <v>22569907.99</v>
      </c>
    </row>
    <row r="40" spans="2:5" s="2" customFormat="1" ht="12.75" customHeight="1">
      <c r="B40" s="20" t="s">
        <v>82</v>
      </c>
      <c r="C40" s="75"/>
      <c r="D40" s="70"/>
      <c r="E40" s="66"/>
    </row>
    <row r="41" spans="2:5" s="2" customFormat="1" ht="12.75" customHeight="1">
      <c r="B41" s="21" t="s">
        <v>83</v>
      </c>
      <c r="C41" s="75">
        <v>16</v>
      </c>
      <c r="D41" s="106">
        <f>1834208234.91+297310763.62+60000</f>
        <v>2131578998.5300002</v>
      </c>
      <c r="E41" s="104">
        <f>1721359289.35+247988763.62</f>
        <v>1969348052.9699998</v>
      </c>
    </row>
    <row r="42" spans="2:5" s="2" customFormat="1" ht="12.75" customHeight="1">
      <c r="B42" s="21" t="s">
        <v>84</v>
      </c>
      <c r="C42" s="75">
        <v>17</v>
      </c>
      <c r="D42" s="106">
        <v>9729908.41</v>
      </c>
      <c r="E42" s="104">
        <v>8900784.42</v>
      </c>
    </row>
    <row r="43" spans="2:5" ht="12" customHeight="1">
      <c r="B43" s="21" t="s">
        <v>85</v>
      </c>
      <c r="C43" s="75">
        <v>18</v>
      </c>
      <c r="D43" s="106">
        <f>1026538.32+930400.91</f>
        <v>1956939.23</v>
      </c>
      <c r="E43" s="104">
        <f>956249.03+825395.17</f>
        <v>1781644.2000000002</v>
      </c>
    </row>
    <row r="44" spans="2:5" s="2" customFormat="1" ht="12.75" customHeight="1">
      <c r="B44" s="21" t="s">
        <v>86</v>
      </c>
      <c r="C44" s="75">
        <v>19</v>
      </c>
      <c r="D44" s="106">
        <f>5058605.17+1129387+7885547.96</f>
        <v>14073540.129999999</v>
      </c>
      <c r="E44" s="104">
        <f>1125187+7885547.96-500</f>
        <v>9010234.96</v>
      </c>
    </row>
    <row r="45" spans="2:5" s="2" customFormat="1" ht="12.75" customHeight="1">
      <c r="B45" s="20" t="s">
        <v>87</v>
      </c>
      <c r="C45" s="75"/>
      <c r="D45" s="69">
        <f>SUM(D41:D44)</f>
        <v>2157339386.3</v>
      </c>
      <c r="E45" s="69">
        <f>SUM(E41:E44)</f>
        <v>1989040716.55</v>
      </c>
    </row>
    <row r="46" spans="2:5" s="2" customFormat="1" ht="12.75" customHeight="1">
      <c r="B46" s="20" t="s">
        <v>88</v>
      </c>
      <c r="C46" s="75"/>
      <c r="D46" s="69">
        <f>D39+D45</f>
        <v>2179909794.29</v>
      </c>
      <c r="E46" s="69">
        <f>E39+E45</f>
        <v>2011610624.54</v>
      </c>
    </row>
    <row r="47" spans="2:5" s="2" customFormat="1" ht="12.75" customHeight="1">
      <c r="B47" s="20" t="s">
        <v>89</v>
      </c>
      <c r="C47" s="75"/>
      <c r="D47" s="69">
        <f>D36+D46</f>
        <v>1502966209.23</v>
      </c>
      <c r="E47" s="69">
        <f>E36+E46+1000</f>
        <v>1489749255.24</v>
      </c>
    </row>
    <row r="48" spans="4:5" s="2" customFormat="1" ht="12.75" customHeight="1">
      <c r="D48" s="77">
        <f>D30-D47</f>
        <v>0</v>
      </c>
      <c r="E48" s="77">
        <f>E30-E47</f>
        <v>0</v>
      </c>
    </row>
    <row r="49" s="2" customFormat="1" ht="12.75" customHeight="1"/>
    <row r="50" spans="2:5" s="2" customFormat="1" ht="12.75" customHeight="1">
      <c r="B50" s="12" t="s">
        <v>58</v>
      </c>
      <c r="D50" s="72">
        <f>D36/150000</f>
        <v>-4512.957233733333</v>
      </c>
      <c r="E50" s="72">
        <f>E36/150000</f>
        <v>-3479.0824620000003</v>
      </c>
    </row>
    <row r="51" s="2" customFormat="1" ht="12.75" customHeight="1"/>
    <row r="52" s="2" customFormat="1" ht="12.75" customHeight="1"/>
    <row r="53" s="2" customFormat="1" ht="12.75" customHeight="1">
      <c r="B53" s="3"/>
    </row>
    <row r="54" s="2" customFormat="1" ht="12.75" customHeight="1"/>
    <row r="55" spans="2:5" s="2" customFormat="1" ht="12.75" customHeight="1">
      <c r="B55" s="26"/>
      <c r="D55" s="26"/>
      <c r="E55" s="26"/>
    </row>
    <row r="56" spans="2:4" s="2" customFormat="1" ht="12.75" customHeight="1">
      <c r="B56" s="19" t="s">
        <v>11</v>
      </c>
      <c r="D56" s="19" t="s">
        <v>95</v>
      </c>
    </row>
    <row r="57" spans="2:4" s="2" customFormat="1" ht="12.75" customHeight="1">
      <c r="B57" s="19" t="s">
        <v>94</v>
      </c>
      <c r="D57" s="19" t="s">
        <v>12</v>
      </c>
    </row>
    <row r="58" s="2" customFormat="1" ht="12.75" customHeight="1"/>
    <row r="59" s="2" customFormat="1" ht="12.75" customHeight="1"/>
    <row r="60" s="2" customFormat="1" ht="12.75" customHeight="1"/>
    <row r="61" s="2" customFormat="1" ht="10.5" customHeight="1"/>
    <row r="62" s="2" customFormat="1" ht="20.25" customHeight="1"/>
    <row r="63" s="2" customFormat="1" ht="6" customHeight="1"/>
    <row r="64" s="2" customFormat="1" ht="6" customHeight="1"/>
    <row r="65" s="2" customFormat="1" ht="12.75" customHeight="1"/>
    <row r="66" s="2" customFormat="1" ht="10.5" customHeight="1"/>
    <row r="67" s="2" customFormat="1" ht="12.75" customHeight="1"/>
    <row r="68" s="2" customFormat="1" ht="9.7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"/>
  <sheetViews>
    <sheetView zoomScalePageLayoutView="0" workbookViewId="0" topLeftCell="A4">
      <selection activeCell="G19" sqref="G19"/>
    </sheetView>
  </sheetViews>
  <sheetFormatPr defaultColWidth="10.66015625" defaultRowHeight="11.25"/>
  <cols>
    <col min="1" max="1" width="10" style="0" customWidth="1"/>
    <col min="2" max="2" width="47.16015625" style="0" customWidth="1"/>
    <col min="3" max="3" width="16" style="0" customWidth="1"/>
    <col min="4" max="4" width="17.16015625" style="0" hidden="1" customWidth="1"/>
    <col min="5" max="5" width="18.33203125" style="0" hidden="1" customWidth="1"/>
    <col min="6" max="6" width="19.16015625" style="0" customWidth="1"/>
    <col min="7" max="7" width="18" style="0" customWidth="1"/>
  </cols>
  <sheetData>
    <row r="1" spans="2:3" s="2" customFormat="1" ht="14.25" customHeight="1">
      <c r="B1" s="2" t="s">
        <v>1</v>
      </c>
      <c r="C1" s="2" t="s">
        <v>0</v>
      </c>
    </row>
    <row r="2" spans="2:9" s="1" customFormat="1" ht="6.75" customHeight="1">
      <c r="B2"/>
      <c r="H2"/>
      <c r="I2"/>
    </row>
    <row r="3" spans="2:9" ht="12" customHeight="1">
      <c r="B3" s="2"/>
      <c r="H3" s="2"/>
      <c r="I3" s="2"/>
    </row>
    <row r="4" spans="2:3" ht="12" customHeight="1">
      <c r="B4" t="s">
        <v>2</v>
      </c>
      <c r="C4" t="s">
        <v>97</v>
      </c>
    </row>
    <row r="5" s="2" customFormat="1" ht="12.75" customHeight="1">
      <c r="C5" s="2" t="s">
        <v>96</v>
      </c>
    </row>
    <row r="6" spans="2:5" ht="12" customHeight="1">
      <c r="B6" t="s">
        <v>3</v>
      </c>
      <c r="C6" s="23">
        <v>14</v>
      </c>
      <c r="D6" s="23"/>
      <c r="E6" s="23"/>
    </row>
    <row r="7" s="2" customFormat="1" ht="6" customHeight="1"/>
    <row r="8" spans="2:9" ht="12" customHeight="1">
      <c r="B8" s="2"/>
      <c r="H8" s="2"/>
      <c r="I8" s="2"/>
    </row>
    <row r="9" spans="2:9" s="2" customFormat="1" ht="16.5" customHeight="1">
      <c r="B9" t="s">
        <v>90</v>
      </c>
      <c r="C9" t="s">
        <v>92</v>
      </c>
      <c r="D9"/>
      <c r="E9"/>
      <c r="I9"/>
    </row>
    <row r="10" spans="2:9" s="2" customFormat="1" ht="12.75" customHeight="1">
      <c r="B10" t="s">
        <v>91</v>
      </c>
      <c r="C10" s="22" t="s">
        <v>93</v>
      </c>
      <c r="D10" s="22"/>
      <c r="E10" s="22"/>
      <c r="I10"/>
    </row>
    <row r="11" spans="7:9" ht="12" customHeight="1">
      <c r="G11" s="4"/>
      <c r="H11" s="4"/>
      <c r="I11" s="4"/>
    </row>
    <row r="12" spans="3:9" ht="12" customHeight="1">
      <c r="C12" s="25" t="s">
        <v>98</v>
      </c>
      <c r="D12" s="25"/>
      <c r="E12" s="25"/>
      <c r="G12" s="2"/>
      <c r="I12" s="2"/>
    </row>
    <row r="13" spans="3:9" s="4" customFormat="1" ht="16.5" customHeight="1">
      <c r="C13" s="29" t="s">
        <v>99</v>
      </c>
      <c r="D13" s="29"/>
      <c r="E13" s="29"/>
      <c r="I13" s="2"/>
    </row>
    <row r="14" spans="3:5" s="2" customFormat="1" ht="12.75" customHeight="1">
      <c r="C14" s="24" t="s">
        <v>140</v>
      </c>
      <c r="D14" s="24"/>
      <c r="E14" s="24"/>
    </row>
    <row r="15" s="2" customFormat="1" ht="12" customHeight="1"/>
    <row r="16" s="2" customFormat="1" ht="12" customHeight="1">
      <c r="G16" s="2" t="s">
        <v>131</v>
      </c>
    </row>
    <row r="17" spans="2:7" s="2" customFormat="1" ht="12" customHeight="1">
      <c r="B17" s="111" t="s">
        <v>136</v>
      </c>
      <c r="C17" s="113" t="s">
        <v>100</v>
      </c>
      <c r="D17" s="114" t="s">
        <v>137</v>
      </c>
      <c r="E17" s="114"/>
      <c r="F17" s="114" t="s">
        <v>143</v>
      </c>
      <c r="G17" s="114"/>
    </row>
    <row r="18" spans="2:7" ht="35.25" customHeight="1">
      <c r="B18" s="112"/>
      <c r="C18" s="112"/>
      <c r="D18" s="31" t="s">
        <v>138</v>
      </c>
      <c r="E18" s="31" t="s">
        <v>139</v>
      </c>
      <c r="F18" s="31" t="s">
        <v>138</v>
      </c>
      <c r="G18" s="31" t="s">
        <v>139</v>
      </c>
    </row>
    <row r="19" spans="2:7" s="2" customFormat="1" ht="12.75" customHeight="1">
      <c r="B19" s="21" t="s">
        <v>101</v>
      </c>
      <c r="C19" s="75">
        <v>20</v>
      </c>
      <c r="D19" s="78"/>
      <c r="E19" s="78"/>
      <c r="F19" s="78">
        <v>-42360177.2</v>
      </c>
      <c r="G19" s="78">
        <v>-39192196.53</v>
      </c>
    </row>
    <row r="20" spans="2:7" s="2" customFormat="1" ht="12.75" customHeight="1">
      <c r="B20" s="21" t="s">
        <v>102</v>
      </c>
      <c r="C20" s="75">
        <v>21</v>
      </c>
      <c r="D20" s="96"/>
      <c r="E20" s="96"/>
      <c r="F20" s="96">
        <f>382245+40000+2000-296055</f>
        <v>128190</v>
      </c>
      <c r="G20" s="78">
        <f>640942.5-1001385</f>
        <v>-360442.5</v>
      </c>
    </row>
    <row r="21" spans="2:7" s="2" customFormat="1" ht="12.75" customHeight="1">
      <c r="B21" s="20" t="s">
        <v>103</v>
      </c>
      <c r="C21" s="27"/>
      <c r="D21" s="95"/>
      <c r="E21" s="95"/>
      <c r="F21" s="95">
        <f>F19+F20</f>
        <v>-42231987.2</v>
      </c>
      <c r="G21" s="95">
        <f>G19+G20</f>
        <v>-39552639.03</v>
      </c>
    </row>
    <row r="22" spans="2:7" s="2" customFormat="1" ht="12.75" customHeight="1">
      <c r="B22" s="21" t="s">
        <v>104</v>
      </c>
      <c r="C22" s="75">
        <v>22</v>
      </c>
      <c r="D22" s="79"/>
      <c r="E22" s="79"/>
      <c r="F22" s="79"/>
      <c r="G22" s="79"/>
    </row>
    <row r="23" spans="2:7" s="2" customFormat="1" ht="12.75" customHeight="1">
      <c r="B23" s="21" t="s">
        <v>105</v>
      </c>
      <c r="C23" s="75">
        <v>23</v>
      </c>
      <c r="D23" s="78"/>
      <c r="E23" s="78"/>
      <c r="F23" s="78">
        <f>-112848945.56-283</f>
        <v>-112849228.56</v>
      </c>
      <c r="G23" s="78">
        <v>-103864750.06</v>
      </c>
    </row>
    <row r="24" spans="2:7" s="2" customFormat="1" ht="27" customHeight="1">
      <c r="B24" s="32" t="s">
        <v>106</v>
      </c>
      <c r="C24" s="75"/>
      <c r="D24" s="79"/>
      <c r="E24" s="79"/>
      <c r="F24" s="79"/>
      <c r="G24" s="79"/>
    </row>
    <row r="25" spans="2:7" s="2" customFormat="1" ht="12.75" customHeight="1">
      <c r="B25" s="21" t="s">
        <v>110</v>
      </c>
      <c r="C25" s="75"/>
      <c r="D25" s="80"/>
      <c r="E25" s="80"/>
      <c r="F25" s="80">
        <f>F21+F22+F23+F24</f>
        <v>-155081215.76</v>
      </c>
      <c r="G25" s="80">
        <f>G21+G22+G23+G24</f>
        <v>-143417389.09</v>
      </c>
    </row>
    <row r="26" spans="2:7" s="2" customFormat="1" ht="22.5" customHeight="1">
      <c r="B26" s="32" t="s">
        <v>107</v>
      </c>
      <c r="C26" s="75"/>
      <c r="D26" s="79"/>
      <c r="E26" s="79"/>
      <c r="F26" s="79"/>
      <c r="G26" s="79"/>
    </row>
    <row r="27" spans="2:7" s="2" customFormat="1" ht="12.75" customHeight="1">
      <c r="B27" s="21" t="s">
        <v>141</v>
      </c>
      <c r="C27" s="75"/>
      <c r="D27" s="80"/>
      <c r="E27" s="80"/>
      <c r="F27" s="80">
        <f>F25+F26</f>
        <v>-155081215.76</v>
      </c>
      <c r="G27" s="80">
        <f>G25+G26</f>
        <v>-143417389.09</v>
      </c>
    </row>
    <row r="28" spans="2:7" s="2" customFormat="1" ht="12.75" customHeight="1">
      <c r="B28" s="33" t="s">
        <v>108</v>
      </c>
      <c r="C28" s="75"/>
      <c r="D28" s="79"/>
      <c r="E28" s="79"/>
      <c r="F28" s="79"/>
      <c r="G28" s="79"/>
    </row>
    <row r="29" spans="1:7" ht="23.25" customHeight="1">
      <c r="A29" s="15"/>
      <c r="B29" s="21" t="s">
        <v>142</v>
      </c>
      <c r="C29" s="75"/>
      <c r="D29" s="80"/>
      <c r="E29" s="80"/>
      <c r="F29" s="80">
        <f>F27</f>
        <v>-155081215.76</v>
      </c>
      <c r="G29" s="80">
        <f>G27</f>
        <v>-143417389.09</v>
      </c>
    </row>
    <row r="30" spans="6:7" s="2" customFormat="1" ht="12.75" customHeight="1">
      <c r="F30" s="14"/>
      <c r="G30" s="14"/>
    </row>
    <row r="31" spans="6:7" s="2" customFormat="1" ht="12.75" customHeight="1">
      <c r="F31" s="14"/>
      <c r="G31" s="14"/>
    </row>
    <row r="32" spans="6:7" s="2" customFormat="1" ht="12.75" customHeight="1">
      <c r="F32" s="14"/>
      <c r="G32" s="14"/>
    </row>
    <row r="33" spans="2:7" s="6" customFormat="1" ht="15.75" customHeight="1">
      <c r="B33" s="34" t="s">
        <v>109</v>
      </c>
      <c r="F33" s="73">
        <f>F29/150000000</f>
        <v>-1.0338747717333332</v>
      </c>
      <c r="G33" s="73">
        <f>G29/150000000</f>
        <v>-0.9561159272666667</v>
      </c>
    </row>
    <row r="34" spans="6:7" s="2" customFormat="1" ht="12.75" customHeight="1">
      <c r="F34" s="14"/>
      <c r="G34" s="14"/>
    </row>
    <row r="35" spans="6:7" s="2" customFormat="1" ht="21.75" customHeight="1">
      <c r="F35" s="14"/>
      <c r="G35" s="14"/>
    </row>
    <row r="36" spans="2:7" s="2" customFormat="1" ht="12.75" customHeight="1">
      <c r="B36" s="26"/>
      <c r="F36" s="30"/>
      <c r="G36" s="30"/>
    </row>
    <row r="37" spans="2:6" s="2" customFormat="1" ht="12.75" customHeight="1">
      <c r="B37" s="19" t="s">
        <v>11</v>
      </c>
      <c r="F37" s="19" t="s">
        <v>95</v>
      </c>
    </row>
    <row r="38" spans="2:6" s="2" customFormat="1" ht="12.75" customHeight="1">
      <c r="B38" s="19" t="s">
        <v>94</v>
      </c>
      <c r="F38" s="19" t="s">
        <v>12</v>
      </c>
    </row>
    <row r="39" s="2" customFormat="1" ht="12.75" customHeight="1"/>
    <row r="40" s="2" customFormat="1" ht="18" customHeight="1"/>
    <row r="41" s="2" customFormat="1" ht="12.75" customHeight="1"/>
    <row r="42" s="2" customFormat="1" ht="10.5" customHeight="1"/>
    <row r="43" s="2" customFormat="1" ht="12.75" customHeight="1"/>
    <row r="44" s="2" customFormat="1" ht="9.75" customHeight="1"/>
    <row r="45" s="2" customFormat="1" ht="12.75" customHeight="1"/>
    <row r="46" s="2" customFormat="1" ht="12.75" customHeight="1"/>
  </sheetData>
  <sheetProtection/>
  <mergeCells count="4">
    <mergeCell ref="B17:B18"/>
    <mergeCell ref="C17:C18"/>
    <mergeCell ref="D17:E17"/>
    <mergeCell ref="F17:G1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6"/>
  <sheetViews>
    <sheetView zoomScalePageLayoutView="0" workbookViewId="0" topLeftCell="A7">
      <selection activeCell="B67" sqref="B67"/>
    </sheetView>
  </sheetViews>
  <sheetFormatPr defaultColWidth="10.66015625" defaultRowHeight="11.25"/>
  <cols>
    <col min="1" max="1" width="69.16015625" style="1" customWidth="1"/>
    <col min="2" max="2" width="22.5" style="1" customWidth="1"/>
    <col min="3" max="3" width="23" style="1" customWidth="1"/>
    <col min="4" max="6" width="10.66015625" style="0" customWidth="1"/>
  </cols>
  <sheetData>
    <row r="1" spans="1:2" s="2" customFormat="1" ht="14.25" customHeight="1">
      <c r="A1" s="2" t="s">
        <v>1</v>
      </c>
      <c r="B1" s="2" t="s">
        <v>0</v>
      </c>
    </row>
    <row r="2" s="1" customFormat="1" ht="6.75" customHeight="1">
      <c r="A2"/>
    </row>
    <row r="3" spans="2:3" s="2" customFormat="1" ht="12" customHeight="1">
      <c r="B3"/>
      <c r="C3"/>
    </row>
    <row r="4" spans="1:3" s="2" customFormat="1" ht="12" customHeight="1">
      <c r="A4" t="s">
        <v>2</v>
      </c>
      <c r="B4" t="s">
        <v>97</v>
      </c>
      <c r="C4"/>
    </row>
    <row r="5" s="2" customFormat="1" ht="14.25" customHeight="1">
      <c r="B5" s="2" t="s">
        <v>96</v>
      </c>
    </row>
    <row r="6" spans="1:3" s="2" customFormat="1" ht="12" customHeight="1">
      <c r="A6" t="s">
        <v>3</v>
      </c>
      <c r="B6" s="23">
        <v>14</v>
      </c>
      <c r="C6"/>
    </row>
    <row r="7" s="2" customFormat="1" ht="6" customHeight="1"/>
    <row r="8" spans="2:3" s="2" customFormat="1" ht="12" customHeight="1">
      <c r="B8"/>
      <c r="C8"/>
    </row>
    <row r="9" spans="1:2" s="2" customFormat="1" ht="15" customHeight="1">
      <c r="A9" t="s">
        <v>90</v>
      </c>
      <c r="B9" t="s">
        <v>92</v>
      </c>
    </row>
    <row r="10" spans="1:2" s="2" customFormat="1" ht="13.5" customHeight="1">
      <c r="A10" t="s">
        <v>91</v>
      </c>
      <c r="B10" s="22" t="s">
        <v>93</v>
      </c>
    </row>
    <row r="11" spans="1:3" s="2" customFormat="1" ht="12" customHeight="1">
      <c r="A11"/>
      <c r="B11"/>
      <c r="C11" s="4"/>
    </row>
    <row r="12" spans="1:3" s="2" customFormat="1" ht="12" customHeight="1">
      <c r="A12" s="3"/>
      <c r="B12" s="10"/>
      <c r="C12" s="10"/>
    </row>
    <row r="13" s="4" customFormat="1" ht="4.5" customHeight="1"/>
    <row r="14" spans="1:3" s="2" customFormat="1" ht="12.75" customHeight="1">
      <c r="A14" s="116" t="s">
        <v>124</v>
      </c>
      <c r="B14" s="116"/>
      <c r="C14" s="116"/>
    </row>
    <row r="15" spans="1:3" s="2" customFormat="1" ht="12" customHeight="1">
      <c r="A15" s="117" t="s">
        <v>140</v>
      </c>
      <c r="B15" s="117"/>
      <c r="C15" s="117"/>
    </row>
    <row r="16" s="2" customFormat="1" ht="12" customHeight="1">
      <c r="C16" s="5" t="s">
        <v>4</v>
      </c>
    </row>
    <row r="17" spans="1:3" s="2" customFormat="1" ht="12" customHeight="1">
      <c r="A17" s="120" t="s">
        <v>1</v>
      </c>
      <c r="B17" s="114" t="s">
        <v>143</v>
      </c>
      <c r="C17" s="114"/>
    </row>
    <row r="18" spans="1:3" s="2" customFormat="1" ht="33.75" customHeight="1">
      <c r="A18" s="120"/>
      <c r="B18" s="121" t="s">
        <v>138</v>
      </c>
      <c r="C18" s="121" t="s">
        <v>139</v>
      </c>
    </row>
    <row r="19" spans="1:3" s="2" customFormat="1" ht="12.75" customHeight="1">
      <c r="A19" s="115" t="s">
        <v>112</v>
      </c>
      <c r="B19" s="115"/>
      <c r="C19" s="115"/>
    </row>
    <row r="20" spans="1:3" s="2" customFormat="1" ht="12.75" customHeight="1" hidden="1">
      <c r="A20" s="36" t="s">
        <v>27</v>
      </c>
      <c r="B20" s="37">
        <f>SUM(B21:B26)</f>
        <v>0</v>
      </c>
      <c r="C20" s="38">
        <f>SUM(C21:C26)</f>
        <v>0</v>
      </c>
    </row>
    <row r="21" spans="1:3" s="2" customFormat="1" ht="12.75" customHeight="1" hidden="1">
      <c r="A21" s="39" t="s">
        <v>19</v>
      </c>
      <c r="B21" s="40" t="s">
        <v>5</v>
      </c>
      <c r="C21" s="41" t="s">
        <v>5</v>
      </c>
    </row>
    <row r="22" spans="1:3" s="2" customFormat="1" ht="12.75" customHeight="1" hidden="1">
      <c r="A22" s="42" t="s">
        <v>37</v>
      </c>
      <c r="B22" s="43" t="s">
        <v>5</v>
      </c>
      <c r="C22" s="44" t="s">
        <v>5</v>
      </c>
    </row>
    <row r="23" spans="1:3" s="2" customFormat="1" ht="12.75" customHeight="1" hidden="1">
      <c r="A23" s="42" t="s">
        <v>36</v>
      </c>
      <c r="B23" s="43" t="s">
        <v>5</v>
      </c>
      <c r="C23" s="44" t="s">
        <v>5</v>
      </c>
    </row>
    <row r="24" spans="1:3" s="2" customFormat="1" ht="12.75" customHeight="1" hidden="1">
      <c r="A24" s="42" t="s">
        <v>35</v>
      </c>
      <c r="B24" s="43"/>
      <c r="C24" s="44"/>
    </row>
    <row r="25" spans="1:3" s="2" customFormat="1" ht="12.75" customHeight="1" hidden="1">
      <c r="A25" s="42" t="s">
        <v>34</v>
      </c>
      <c r="B25" s="43" t="s">
        <v>5</v>
      </c>
      <c r="C25" s="44" t="s">
        <v>5</v>
      </c>
    </row>
    <row r="26" spans="1:3" s="2" customFormat="1" ht="12.75" customHeight="1" hidden="1">
      <c r="A26" s="42" t="s">
        <v>20</v>
      </c>
      <c r="B26" s="45"/>
      <c r="C26" s="44"/>
    </row>
    <row r="27" spans="1:3" s="2" customFormat="1" ht="12.75" customHeight="1">
      <c r="A27" s="60" t="s">
        <v>111</v>
      </c>
      <c r="B27" s="37">
        <f>SUM(B28:B34)</f>
        <v>49313636.78</v>
      </c>
      <c r="C27" s="37">
        <f>SUM(C28:C34)</f>
        <v>46466823.06</v>
      </c>
    </row>
    <row r="28" spans="1:6" s="2" customFormat="1" ht="12.75" customHeight="1">
      <c r="A28" s="46" t="s">
        <v>33</v>
      </c>
      <c r="B28" s="47">
        <v>10143538.58</v>
      </c>
      <c r="C28" s="47">
        <v>5087778.33</v>
      </c>
      <c r="F28" s="14"/>
    </row>
    <row r="29" spans="1:3" s="2" customFormat="1" ht="12.75" customHeight="1">
      <c r="A29" s="46" t="s">
        <v>32</v>
      </c>
      <c r="B29" s="47"/>
      <c r="C29" s="47">
        <v>5308000</v>
      </c>
    </row>
    <row r="30" spans="1:3" s="2" customFormat="1" ht="12.75" customHeight="1">
      <c r="A30" s="46" t="s">
        <v>31</v>
      </c>
      <c r="B30" s="47">
        <v>27684200.66</v>
      </c>
      <c r="C30" s="47">
        <v>25349174.96</v>
      </c>
    </row>
    <row r="31" spans="1:3" s="2" customFormat="1" ht="12.75" customHeight="1">
      <c r="A31" s="46" t="s">
        <v>30</v>
      </c>
      <c r="B31" s="43"/>
      <c r="C31" s="43" t="s">
        <v>5</v>
      </c>
    </row>
    <row r="32" spans="1:3" s="2" customFormat="1" ht="12.75" customHeight="1">
      <c r="A32" s="46" t="s">
        <v>29</v>
      </c>
      <c r="B32" s="43"/>
      <c r="C32" s="43" t="s">
        <v>5</v>
      </c>
    </row>
    <row r="33" spans="1:3" s="2" customFormat="1" ht="12.75" customHeight="1">
      <c r="A33" s="46" t="s">
        <v>28</v>
      </c>
      <c r="B33" s="47">
        <f>5590388.78+5925760.76-187874</f>
        <v>11328275.54</v>
      </c>
      <c r="C33" s="47">
        <f>4141130.99+6014673.78-64127</f>
        <v>10091677.77</v>
      </c>
    </row>
    <row r="34" spans="1:3" s="2" customFormat="1" ht="12.75" customHeight="1">
      <c r="A34" s="46" t="s">
        <v>13</v>
      </c>
      <c r="B34" s="47">
        <v>157622</v>
      </c>
      <c r="C34" s="47">
        <v>630192</v>
      </c>
    </row>
    <row r="35" spans="1:4" s="2" customFormat="1" ht="21.75" customHeight="1">
      <c r="A35" s="58" t="s">
        <v>113</v>
      </c>
      <c r="B35" s="74">
        <f>B20-B27</f>
        <v>-49313636.78</v>
      </c>
      <c r="C35" s="74">
        <f>C20-C27</f>
        <v>-46466823.06</v>
      </c>
      <c r="D35" s="14"/>
    </row>
    <row r="36" spans="1:3" s="2" customFormat="1" ht="12.75" customHeight="1">
      <c r="A36" s="115" t="s">
        <v>114</v>
      </c>
      <c r="B36" s="115"/>
      <c r="C36" s="115"/>
    </row>
    <row r="37" spans="1:3" s="2" customFormat="1" ht="12.75" customHeight="1" hidden="1">
      <c r="A37" s="36" t="s">
        <v>27</v>
      </c>
      <c r="B37" s="48">
        <f>SUM(B38:B45)</f>
        <v>0</v>
      </c>
      <c r="C37" s="48">
        <f>SUM(C38:C45)</f>
        <v>0</v>
      </c>
    </row>
    <row r="38" spans="1:3" s="2" customFormat="1" ht="12.75" customHeight="1" hidden="1">
      <c r="A38" s="39" t="s">
        <v>19</v>
      </c>
      <c r="B38" s="49" t="s">
        <v>5</v>
      </c>
      <c r="C38" s="49" t="s">
        <v>5</v>
      </c>
    </row>
    <row r="39" spans="1:3" s="2" customFormat="1" ht="12.75" customHeight="1" hidden="1">
      <c r="A39" s="42" t="s">
        <v>26</v>
      </c>
      <c r="B39" s="50" t="s">
        <v>5</v>
      </c>
      <c r="C39" s="50" t="s">
        <v>5</v>
      </c>
    </row>
    <row r="40" spans="1:3" s="2" customFormat="1" ht="12.75" customHeight="1" hidden="1">
      <c r="A40" s="51" t="s">
        <v>25</v>
      </c>
      <c r="B40" s="50" t="s">
        <v>5</v>
      </c>
      <c r="C40" s="50" t="s">
        <v>5</v>
      </c>
    </row>
    <row r="41" spans="1:3" s="2" customFormat="1" ht="12.75" customHeight="1" hidden="1">
      <c r="A41" s="51" t="s">
        <v>24</v>
      </c>
      <c r="B41" s="50" t="s">
        <v>5</v>
      </c>
      <c r="C41" s="50"/>
    </row>
    <row r="42" spans="1:3" s="2" customFormat="1" ht="12.75" customHeight="1" hidden="1">
      <c r="A42" s="42" t="s">
        <v>23</v>
      </c>
      <c r="B42" s="50" t="s">
        <v>5</v>
      </c>
      <c r="C42" s="50" t="s">
        <v>5</v>
      </c>
    </row>
    <row r="43" spans="1:3" s="2" customFormat="1" ht="12" customHeight="1" hidden="1">
      <c r="A43" s="52" t="s">
        <v>22</v>
      </c>
      <c r="B43" s="50" t="s">
        <v>5</v>
      </c>
      <c r="C43" s="50" t="s">
        <v>5</v>
      </c>
    </row>
    <row r="44" spans="1:3" s="7" customFormat="1" ht="12" customHeight="1" hidden="1">
      <c r="A44" s="53" t="s">
        <v>21</v>
      </c>
      <c r="B44" s="54" t="s">
        <v>5</v>
      </c>
      <c r="C44" s="54" t="s">
        <v>5</v>
      </c>
    </row>
    <row r="45" spans="1:3" s="2" customFormat="1" ht="12" customHeight="1" hidden="1">
      <c r="A45" s="42" t="s">
        <v>20</v>
      </c>
      <c r="B45" s="50" t="s">
        <v>5</v>
      </c>
      <c r="C45" s="50" t="s">
        <v>5</v>
      </c>
    </row>
    <row r="46" spans="1:3" s="2" customFormat="1" ht="12.75" customHeight="1">
      <c r="A46" s="35" t="s">
        <v>111</v>
      </c>
      <c r="B46" s="37">
        <f>SUM(B47:B53)</f>
        <v>0</v>
      </c>
      <c r="C46" s="37">
        <f>SUM(C47:C53)</f>
        <v>90967653.4</v>
      </c>
    </row>
    <row r="47" spans="1:3" s="2" customFormat="1" ht="12.75" customHeight="1" hidden="1">
      <c r="A47" s="51" t="s">
        <v>18</v>
      </c>
      <c r="B47" s="43" t="s">
        <v>5</v>
      </c>
      <c r="C47" s="50"/>
    </row>
    <row r="48" spans="1:3" s="2" customFormat="1" ht="12.75" customHeight="1" hidden="1">
      <c r="A48" s="42" t="s">
        <v>17</v>
      </c>
      <c r="B48" s="43" t="s">
        <v>5</v>
      </c>
      <c r="C48" s="50" t="s">
        <v>5</v>
      </c>
    </row>
    <row r="49" spans="1:3" s="2" customFormat="1" ht="12.75" customHeight="1">
      <c r="A49" s="46" t="s">
        <v>115</v>
      </c>
      <c r="B49" s="47"/>
      <c r="C49" s="47">
        <v>90967653.4</v>
      </c>
    </row>
    <row r="50" spans="1:3" s="2" customFormat="1" ht="12.75" customHeight="1" hidden="1">
      <c r="A50" s="42" t="s">
        <v>16</v>
      </c>
      <c r="B50" s="43" t="s">
        <v>5</v>
      </c>
      <c r="C50" s="50" t="s">
        <v>5</v>
      </c>
    </row>
    <row r="51" spans="1:3" s="2" customFormat="1" ht="12.75" customHeight="1" hidden="1">
      <c r="A51" s="42" t="s">
        <v>15</v>
      </c>
      <c r="B51" s="43" t="s">
        <v>5</v>
      </c>
      <c r="C51" s="50" t="s">
        <v>5</v>
      </c>
    </row>
    <row r="52" spans="1:3" s="7" customFormat="1" ht="15" customHeight="1" hidden="1">
      <c r="A52" s="55" t="s">
        <v>14</v>
      </c>
      <c r="B52" s="56" t="s">
        <v>5</v>
      </c>
      <c r="C52" s="54" t="s">
        <v>5</v>
      </c>
    </row>
    <row r="53" spans="1:3" s="2" customFormat="1" ht="12.75" customHeight="1" hidden="1">
      <c r="A53" s="51" t="s">
        <v>13</v>
      </c>
      <c r="B53" s="43" t="s">
        <v>5</v>
      </c>
      <c r="C53" s="50"/>
    </row>
    <row r="54" spans="1:3" s="2" customFormat="1" ht="24.75" customHeight="1">
      <c r="A54" s="61" t="s">
        <v>116</v>
      </c>
      <c r="B54" s="37">
        <f>B37-B46</f>
        <v>0</v>
      </c>
      <c r="C54" s="74">
        <f>C37-C46</f>
        <v>-90967653.4</v>
      </c>
    </row>
    <row r="55" spans="1:3" s="2" customFormat="1" ht="15.75" customHeight="1">
      <c r="A55" s="115" t="s">
        <v>117</v>
      </c>
      <c r="B55" s="115"/>
      <c r="C55" s="115"/>
    </row>
    <row r="56" spans="1:3" ht="11.25">
      <c r="A56" s="35" t="s">
        <v>118</v>
      </c>
      <c r="B56" s="37">
        <f>SUM(B57:B60)</f>
        <v>53337000</v>
      </c>
      <c r="C56" s="37">
        <f>SUM(C57:C60)</f>
        <v>137431023.79</v>
      </c>
    </row>
    <row r="57" spans="1:3" ht="11.25" hidden="1">
      <c r="A57" s="51" t="s">
        <v>48</v>
      </c>
      <c r="B57" s="43" t="s">
        <v>5</v>
      </c>
      <c r="C57" s="44" t="s">
        <v>5</v>
      </c>
    </row>
    <row r="58" spans="1:3" ht="11.25">
      <c r="A58" s="62" t="s">
        <v>119</v>
      </c>
      <c r="B58" s="47">
        <v>53337000</v>
      </c>
      <c r="C58" s="47">
        <v>137431023.79</v>
      </c>
    </row>
    <row r="59" spans="1:3" ht="11.25" hidden="1">
      <c r="A59" s="51" t="s">
        <v>49</v>
      </c>
      <c r="B59" s="43"/>
      <c r="C59" s="43" t="s">
        <v>5</v>
      </c>
    </row>
    <row r="60" spans="1:3" ht="11.25" hidden="1">
      <c r="A60" s="51" t="s">
        <v>20</v>
      </c>
      <c r="B60" s="43" t="s">
        <v>5</v>
      </c>
      <c r="C60" s="43" t="s">
        <v>5</v>
      </c>
    </row>
    <row r="61" spans="1:3" ht="11.25">
      <c r="A61" s="35" t="s">
        <v>111</v>
      </c>
      <c r="B61" s="37">
        <f>SUM(B62:B65)</f>
        <v>4015000</v>
      </c>
      <c r="C61" s="38">
        <f>SUM(C62:C65)</f>
        <v>0</v>
      </c>
    </row>
    <row r="62" spans="1:3" ht="11.25">
      <c r="A62" s="63" t="s">
        <v>50</v>
      </c>
      <c r="B62" s="47">
        <v>4015000</v>
      </c>
      <c r="C62" s="43" t="s">
        <v>5</v>
      </c>
    </row>
    <row r="63" spans="1:3" ht="11.25" hidden="1">
      <c r="A63" s="42" t="s">
        <v>51</v>
      </c>
      <c r="B63" s="43" t="s">
        <v>5</v>
      </c>
      <c r="C63" s="43" t="s">
        <v>5</v>
      </c>
    </row>
    <row r="64" spans="1:3" ht="11.25" hidden="1">
      <c r="A64" s="42" t="s">
        <v>52</v>
      </c>
      <c r="B64" s="43" t="s">
        <v>5</v>
      </c>
      <c r="C64" s="44" t="s">
        <v>5</v>
      </c>
    </row>
    <row r="65" spans="1:3" ht="11.25" hidden="1">
      <c r="A65" s="42" t="s">
        <v>53</v>
      </c>
      <c r="B65" s="43" t="s">
        <v>5</v>
      </c>
      <c r="C65" s="44"/>
    </row>
    <row r="66" spans="1:3" ht="15.75" customHeight="1">
      <c r="A66" s="58" t="s">
        <v>120</v>
      </c>
      <c r="B66" s="37">
        <f>B56-B61</f>
        <v>49322000</v>
      </c>
      <c r="C66" s="37">
        <f>C56-C61</f>
        <v>137431023.79</v>
      </c>
    </row>
    <row r="67" spans="1:4" ht="23.25" customHeight="1">
      <c r="A67" s="58" t="s">
        <v>121</v>
      </c>
      <c r="B67" s="37">
        <f>B35+B54+B66</f>
        <v>8363.219999998808</v>
      </c>
      <c r="C67" s="74">
        <f>C35+C54+C66</f>
        <v>-3452.6700000166893</v>
      </c>
      <c r="D67" s="16"/>
    </row>
    <row r="68" spans="1:4" ht="11.25">
      <c r="A68" s="57" t="s">
        <v>54</v>
      </c>
      <c r="B68" s="47">
        <f>'ББ (2)'!E28</f>
        <v>414377.21</v>
      </c>
      <c r="C68" s="59">
        <v>406000</v>
      </c>
      <c r="D68" s="17"/>
    </row>
    <row r="69" spans="1:4" ht="11.25">
      <c r="A69" s="57" t="s">
        <v>55</v>
      </c>
      <c r="B69" s="47">
        <f>B68+B67-500</f>
        <v>422240.4299999988</v>
      </c>
      <c r="C69" s="59">
        <f>C68+C67</f>
        <v>402547.3299999833</v>
      </c>
      <c r="D69" s="17"/>
    </row>
    <row r="70" spans="1:4" ht="11.25">
      <c r="A70"/>
      <c r="B70"/>
      <c r="C70" s="17"/>
      <c r="D70" s="17"/>
    </row>
    <row r="73" spans="1:4" ht="11.25">
      <c r="A73" s="64" t="s">
        <v>123</v>
      </c>
      <c r="B73" s="2" t="s">
        <v>122</v>
      </c>
      <c r="C73" s="65"/>
      <c r="D73" s="65"/>
    </row>
    <row r="74" spans="1:4" ht="12">
      <c r="A74" s="19" t="s">
        <v>11</v>
      </c>
      <c r="B74" s="19" t="s">
        <v>95</v>
      </c>
      <c r="D74" s="2"/>
    </row>
    <row r="75" spans="1:4" ht="12">
      <c r="A75" s="19" t="s">
        <v>94</v>
      </c>
      <c r="B75" s="19" t="s">
        <v>12</v>
      </c>
      <c r="D75" s="2"/>
    </row>
    <row r="76" spans="1:4" ht="11.25">
      <c r="A76" s="2"/>
      <c r="B76" s="2"/>
      <c r="C76" s="2"/>
      <c r="D76" s="2"/>
    </row>
  </sheetData>
  <sheetProtection/>
  <mergeCells count="7">
    <mergeCell ref="A55:C55"/>
    <mergeCell ref="A36:C36"/>
    <mergeCell ref="A14:C14"/>
    <mergeCell ref="A15:C15"/>
    <mergeCell ref="A19:C19"/>
    <mergeCell ref="B17:C17"/>
    <mergeCell ref="A17:A18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r:id="rId1"/>
  <rowBreaks count="1" manualBreakCount="1">
    <brk id="55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PageLayoutView="0" workbookViewId="0" topLeftCell="A4">
      <selection activeCell="B37" sqref="B37"/>
    </sheetView>
  </sheetViews>
  <sheetFormatPr defaultColWidth="10.66015625" defaultRowHeight="11.25"/>
  <cols>
    <col min="1" max="1" width="49.66015625" style="8" customWidth="1"/>
    <col min="2" max="2" width="16.5" style="8" customWidth="1"/>
    <col min="3" max="3" width="19.33203125" style="8" customWidth="1"/>
    <col min="4" max="4" width="20.66015625" style="8" customWidth="1"/>
    <col min="5" max="5" width="15" style="8" customWidth="1"/>
  </cols>
  <sheetData>
    <row r="1" spans="1:2" s="2" customFormat="1" ht="11.25">
      <c r="A1" s="2" t="s">
        <v>1</v>
      </c>
      <c r="B1" s="2" t="s">
        <v>0</v>
      </c>
    </row>
    <row r="2" spans="1:3" s="8" customFormat="1" ht="12">
      <c r="A2"/>
      <c r="B2" s="1"/>
      <c r="C2" s="1"/>
    </row>
    <row r="3" spans="1:5" ht="11.25">
      <c r="A3" s="2"/>
      <c r="B3"/>
      <c r="C3"/>
      <c r="D3"/>
      <c r="E3"/>
    </row>
    <row r="4" spans="1:5" ht="11.25">
      <c r="A4" t="s">
        <v>2</v>
      </c>
      <c r="B4" t="s">
        <v>97</v>
      </c>
      <c r="C4"/>
      <c r="D4"/>
      <c r="E4"/>
    </row>
    <row r="5" s="2" customFormat="1" ht="11.25">
      <c r="B5" s="2" t="s">
        <v>96</v>
      </c>
    </row>
    <row r="6" spans="1:5" ht="11.25">
      <c r="A6" t="s">
        <v>3</v>
      </c>
      <c r="B6" s="23">
        <v>14</v>
      </c>
      <c r="C6"/>
      <c r="D6"/>
      <c r="E6"/>
    </row>
    <row r="7" s="2" customFormat="1" ht="11.25"/>
    <row r="8" spans="1:5" ht="11.25">
      <c r="A8" s="2"/>
      <c r="B8"/>
      <c r="C8"/>
      <c r="D8"/>
      <c r="E8"/>
    </row>
    <row r="9" spans="1:2" s="2" customFormat="1" ht="11.25">
      <c r="A9" t="s">
        <v>90</v>
      </c>
      <c r="B9" t="s">
        <v>92</v>
      </c>
    </row>
    <row r="10" spans="1:2" s="2" customFormat="1" ht="11.25">
      <c r="A10" t="s">
        <v>91</v>
      </c>
      <c r="B10" s="22" t="s">
        <v>93</v>
      </c>
    </row>
    <row r="11" spans="1:5" ht="11.25">
      <c r="A11"/>
      <c r="B11"/>
      <c r="C11" s="4"/>
      <c r="D11"/>
      <c r="E11"/>
    </row>
    <row r="12" spans="6:7" s="4" customFormat="1" ht="20.25" customHeight="1">
      <c r="F12" s="11"/>
      <c r="G12" s="11"/>
    </row>
    <row r="13" spans="1:7" s="2" customFormat="1" ht="12.75" customHeight="1">
      <c r="A13" s="118" t="s">
        <v>126</v>
      </c>
      <c r="B13" s="118"/>
      <c r="C13" s="118"/>
      <c r="D13" s="118"/>
      <c r="F13" s="9"/>
      <c r="G13" s="9"/>
    </row>
    <row r="14" spans="1:4" s="2" customFormat="1" ht="12" customHeight="1">
      <c r="A14" s="119" t="s">
        <v>140</v>
      </c>
      <c r="B14" s="119"/>
      <c r="C14" s="119"/>
      <c r="D14" s="119"/>
    </row>
    <row r="15" s="2" customFormat="1" ht="12" customHeight="1">
      <c r="E15" s="2" t="s">
        <v>131</v>
      </c>
    </row>
    <row r="16" spans="1:5" s="2" customFormat="1" ht="35.25" customHeight="1">
      <c r="A16" s="81"/>
      <c r="B16" s="82" t="s">
        <v>9</v>
      </c>
      <c r="C16" s="82" t="s">
        <v>76</v>
      </c>
      <c r="D16" s="82" t="s">
        <v>77</v>
      </c>
      <c r="E16" s="82" t="s">
        <v>125</v>
      </c>
    </row>
    <row r="17" spans="1:5" s="2" customFormat="1" ht="18" customHeight="1">
      <c r="A17" s="83" t="s">
        <v>127</v>
      </c>
      <c r="B17" s="84">
        <v>331376</v>
      </c>
      <c r="C17" s="84">
        <v>200439</v>
      </c>
      <c r="D17" s="85">
        <v>-1053677</v>
      </c>
      <c r="E17" s="85">
        <f>B17+C17+D17</f>
        <v>-521862</v>
      </c>
    </row>
    <row r="18" spans="1:5" ht="12" customHeight="1" hidden="1">
      <c r="A18" s="86" t="s">
        <v>38</v>
      </c>
      <c r="B18" s="87" t="s">
        <v>5</v>
      </c>
      <c r="C18" s="87" t="s">
        <v>5</v>
      </c>
      <c r="D18" s="88" t="s">
        <v>5</v>
      </c>
      <c r="E18" s="85" t="s">
        <v>5</v>
      </c>
    </row>
    <row r="19" spans="1:6" ht="12" customHeight="1" hidden="1">
      <c r="A19" s="83" t="s">
        <v>39</v>
      </c>
      <c r="B19" s="89"/>
      <c r="C19" s="89" t="s">
        <v>5</v>
      </c>
      <c r="D19" s="90">
        <f>'опиу (2)'!F29</f>
        <v>-155081215.76</v>
      </c>
      <c r="E19" s="85">
        <f>B19+D19</f>
        <v>-155081215.76</v>
      </c>
      <c r="F19" s="17"/>
    </row>
    <row r="20" spans="1:5" ht="12" customHeight="1" hidden="1">
      <c r="A20" s="86" t="s">
        <v>40</v>
      </c>
      <c r="B20" s="87" t="s">
        <v>5</v>
      </c>
      <c r="C20" s="87" t="s">
        <v>5</v>
      </c>
      <c r="D20" s="88" t="s">
        <v>5</v>
      </c>
      <c r="E20" s="85" t="s">
        <v>5</v>
      </c>
    </row>
    <row r="21" spans="1:5" ht="12" customHeight="1" hidden="1">
      <c r="A21" s="91" t="s">
        <v>41</v>
      </c>
      <c r="B21" s="87" t="s">
        <v>5</v>
      </c>
      <c r="C21" s="87" t="s">
        <v>5</v>
      </c>
      <c r="D21" s="88" t="s">
        <v>5</v>
      </c>
      <c r="E21" s="85" t="s">
        <v>5</v>
      </c>
    </row>
    <row r="22" spans="1:5" ht="23.25" customHeight="1" hidden="1">
      <c r="A22" s="91" t="s">
        <v>42</v>
      </c>
      <c r="B22" s="87" t="s">
        <v>5</v>
      </c>
      <c r="C22" s="87" t="s">
        <v>5</v>
      </c>
      <c r="D22" s="88" t="s">
        <v>5</v>
      </c>
      <c r="E22" s="85" t="s">
        <v>5</v>
      </c>
    </row>
    <row r="23" spans="1:5" ht="34.5" customHeight="1" hidden="1">
      <c r="A23" s="83" t="s">
        <v>43</v>
      </c>
      <c r="B23" s="89" t="s">
        <v>5</v>
      </c>
      <c r="C23" s="89" t="s">
        <v>5</v>
      </c>
      <c r="D23" s="90" t="s">
        <v>5</v>
      </c>
      <c r="E23" s="90" t="s">
        <v>5</v>
      </c>
    </row>
    <row r="24" spans="1:5" ht="12" customHeight="1">
      <c r="A24" s="91" t="s">
        <v>130</v>
      </c>
      <c r="B24" s="87" t="s">
        <v>5</v>
      </c>
      <c r="C24" s="87" t="s">
        <v>5</v>
      </c>
      <c r="D24" s="88">
        <f>-155081</f>
        <v>-155081</v>
      </c>
      <c r="E24" s="88">
        <f>D24</f>
        <v>-155081</v>
      </c>
    </row>
    <row r="25" spans="1:5" ht="23.25" customHeight="1" hidden="1">
      <c r="A25" s="83" t="s">
        <v>44</v>
      </c>
      <c r="B25" s="89" t="s">
        <v>5</v>
      </c>
      <c r="C25" s="89" t="s">
        <v>5</v>
      </c>
      <c r="D25" s="89">
        <f>D24</f>
        <v>-155081</v>
      </c>
      <c r="E25" s="89">
        <f>E24</f>
        <v>-155081</v>
      </c>
    </row>
    <row r="26" spans="1:5" ht="12" customHeight="1" hidden="1">
      <c r="A26" s="91" t="s">
        <v>45</v>
      </c>
      <c r="B26" s="92" t="s">
        <v>5</v>
      </c>
      <c r="C26" s="92" t="s">
        <v>5</v>
      </c>
      <c r="D26" s="98" t="s">
        <v>5</v>
      </c>
      <c r="E26" s="99" t="s">
        <v>5</v>
      </c>
    </row>
    <row r="27" spans="1:5" ht="12" customHeight="1" hidden="1">
      <c r="A27" s="91" t="s">
        <v>46</v>
      </c>
      <c r="B27" s="87" t="s">
        <v>5</v>
      </c>
      <c r="C27" s="87" t="s">
        <v>5</v>
      </c>
      <c r="D27" s="97" t="s">
        <v>5</v>
      </c>
      <c r="E27" s="100" t="s">
        <v>5</v>
      </c>
    </row>
    <row r="28" spans="1:5" ht="23.25" customHeight="1" hidden="1">
      <c r="A28" s="91" t="s">
        <v>10</v>
      </c>
      <c r="B28" s="87" t="s">
        <v>5</v>
      </c>
      <c r="C28" s="87" t="s">
        <v>5</v>
      </c>
      <c r="D28" s="97" t="s">
        <v>5</v>
      </c>
      <c r="E28" s="100" t="s">
        <v>5</v>
      </c>
    </row>
    <row r="29" spans="1:5" ht="23.25" customHeight="1">
      <c r="A29" s="83" t="s">
        <v>128</v>
      </c>
      <c r="B29" s="84">
        <v>331376</v>
      </c>
      <c r="C29" s="84">
        <v>200439</v>
      </c>
      <c r="D29" s="85">
        <f>D17+D24</f>
        <v>-1208758</v>
      </c>
      <c r="E29" s="85">
        <f>E17+E25</f>
        <v>-676943</v>
      </c>
    </row>
    <row r="30" spans="1:5" ht="12" customHeight="1">
      <c r="A30" s="83" t="s">
        <v>59</v>
      </c>
      <c r="B30" s="84">
        <v>331376</v>
      </c>
      <c r="C30" s="84">
        <v>200439</v>
      </c>
      <c r="D30" s="85">
        <v>-982263</v>
      </c>
      <c r="E30" s="85">
        <f>B30+C30+D30</f>
        <v>-450448</v>
      </c>
    </row>
    <row r="31" spans="1:5" ht="12" customHeight="1" hidden="1">
      <c r="A31" s="91" t="s">
        <v>38</v>
      </c>
      <c r="B31" s="92" t="s">
        <v>5</v>
      </c>
      <c r="C31" s="92" t="s">
        <v>5</v>
      </c>
      <c r="D31" s="93" t="s">
        <v>5</v>
      </c>
      <c r="E31" s="94" t="s">
        <v>5</v>
      </c>
    </row>
    <row r="32" spans="1:5" ht="12" customHeight="1" hidden="1">
      <c r="A32" s="83" t="s">
        <v>47</v>
      </c>
      <c r="B32" s="89">
        <v>531815</v>
      </c>
      <c r="C32" s="89" t="s">
        <v>5</v>
      </c>
      <c r="D32" s="90">
        <f>D30</f>
        <v>-982263</v>
      </c>
      <c r="E32" s="90">
        <f>E30</f>
        <v>-450448</v>
      </c>
    </row>
    <row r="33" spans="1:5" ht="12" customHeight="1" hidden="1">
      <c r="A33" s="91" t="s">
        <v>40</v>
      </c>
      <c r="B33" s="92" t="s">
        <v>5</v>
      </c>
      <c r="C33" s="92" t="s">
        <v>5</v>
      </c>
      <c r="D33" s="93" t="s">
        <v>5</v>
      </c>
      <c r="E33" s="94" t="s">
        <v>5</v>
      </c>
    </row>
    <row r="34" spans="1:5" s="2" customFormat="1" ht="12" customHeight="1" hidden="1">
      <c r="A34" s="91" t="s">
        <v>41</v>
      </c>
      <c r="B34" s="92" t="s">
        <v>5</v>
      </c>
      <c r="C34" s="92" t="s">
        <v>5</v>
      </c>
      <c r="D34" s="93" t="s">
        <v>5</v>
      </c>
      <c r="E34" s="94" t="s">
        <v>5</v>
      </c>
    </row>
    <row r="35" spans="1:5" ht="23.25" customHeight="1" hidden="1">
      <c r="A35" s="91" t="s">
        <v>42</v>
      </c>
      <c r="B35" s="84" t="s">
        <v>5</v>
      </c>
      <c r="C35" s="84" t="s">
        <v>5</v>
      </c>
      <c r="D35" s="85" t="s">
        <v>5</v>
      </c>
      <c r="E35" s="85" t="s">
        <v>5</v>
      </c>
    </row>
    <row r="36" spans="1:5" ht="34.5" customHeight="1" hidden="1">
      <c r="A36" s="83" t="s">
        <v>56</v>
      </c>
      <c r="B36" s="89" t="s">
        <v>5</v>
      </c>
      <c r="C36" s="89" t="s">
        <v>5</v>
      </c>
      <c r="D36" s="90" t="s">
        <v>5</v>
      </c>
      <c r="E36" s="90" t="s">
        <v>5</v>
      </c>
    </row>
    <row r="37" spans="1:5" s="2" customFormat="1" ht="18" customHeight="1">
      <c r="A37" s="91" t="s">
        <v>130</v>
      </c>
      <c r="B37" s="84"/>
      <c r="C37" s="84" t="s">
        <v>5</v>
      </c>
      <c r="D37" s="88">
        <v>-143417</v>
      </c>
      <c r="E37" s="88">
        <v>-143417</v>
      </c>
    </row>
    <row r="38" spans="1:7" ht="23.25" customHeight="1" hidden="1">
      <c r="A38" s="83" t="s">
        <v>57</v>
      </c>
      <c r="B38" s="89" t="s">
        <v>5</v>
      </c>
      <c r="C38" s="89" t="s">
        <v>5</v>
      </c>
      <c r="D38" s="90">
        <f>SUM(D33:D37)</f>
        <v>-143417</v>
      </c>
      <c r="E38" s="90">
        <f>SUM(E33:E37)</f>
        <v>-143417</v>
      </c>
      <c r="G38" s="13"/>
    </row>
    <row r="39" spans="1:5" s="2" customFormat="1" ht="18" customHeight="1" hidden="1">
      <c r="A39" s="91" t="s">
        <v>45</v>
      </c>
      <c r="B39" s="84" t="s">
        <v>5</v>
      </c>
      <c r="C39" s="84" t="s">
        <v>5</v>
      </c>
      <c r="D39" s="85" t="s">
        <v>5</v>
      </c>
      <c r="E39" s="85" t="s">
        <v>5</v>
      </c>
    </row>
    <row r="40" spans="1:5" s="2" customFormat="1" ht="18" customHeight="1" hidden="1">
      <c r="A40" s="91" t="s">
        <v>46</v>
      </c>
      <c r="B40" s="84" t="s">
        <v>5</v>
      </c>
      <c r="C40" s="84" t="s">
        <v>5</v>
      </c>
      <c r="D40" s="85" t="s">
        <v>5</v>
      </c>
      <c r="E40" s="85" t="s">
        <v>5</v>
      </c>
    </row>
    <row r="41" spans="1:5" ht="23.25" customHeight="1" hidden="1">
      <c r="A41" s="91" t="s">
        <v>10</v>
      </c>
      <c r="B41" s="84" t="s">
        <v>5</v>
      </c>
      <c r="C41" s="84" t="s">
        <v>5</v>
      </c>
      <c r="D41" s="85" t="s">
        <v>5</v>
      </c>
      <c r="E41" s="85" t="s">
        <v>5</v>
      </c>
    </row>
    <row r="42" spans="1:5" ht="34.5" customHeight="1">
      <c r="A42" s="83" t="s">
        <v>129</v>
      </c>
      <c r="B42" s="84">
        <v>331376</v>
      </c>
      <c r="C42" s="84">
        <v>200439</v>
      </c>
      <c r="D42" s="85">
        <f>D32+D37</f>
        <v>-1125680</v>
      </c>
      <c r="E42" s="85">
        <f>E32+E37</f>
        <v>-593865</v>
      </c>
    </row>
    <row r="43" spans="1:5" s="2" customFormat="1" ht="18" customHeight="1">
      <c r="A43" s="18"/>
      <c r="B43" s="18"/>
      <c r="C43" s="18"/>
      <c r="D43" s="18"/>
      <c r="E43" s="18"/>
    </row>
    <row r="44" spans="1:3" s="2" customFormat="1" ht="12.75" customHeight="1">
      <c r="A44" s="64" t="s">
        <v>123</v>
      </c>
      <c r="C44" s="2" t="s">
        <v>122</v>
      </c>
    </row>
    <row r="45" spans="1:3" ht="12">
      <c r="A45" s="19" t="s">
        <v>11</v>
      </c>
      <c r="C45" s="19" t="s">
        <v>95</v>
      </c>
    </row>
    <row r="46" spans="1:3" ht="12">
      <c r="A46" s="19" t="s">
        <v>94</v>
      </c>
      <c r="C46" s="19" t="s">
        <v>12</v>
      </c>
    </row>
  </sheetData>
  <sheetProtection/>
  <mergeCells count="2">
    <mergeCell ref="A13:D13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90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2021-08-16T04:34:45Z</cp:lastPrinted>
  <dcterms:created xsi:type="dcterms:W3CDTF">2018-02-23T11:21:27Z</dcterms:created>
  <dcterms:modified xsi:type="dcterms:W3CDTF">2021-08-16T04:58:44Z</dcterms:modified>
  <cp:category/>
  <cp:version/>
  <cp:contentType/>
  <cp:contentStatus/>
  <cp:revision>1</cp:revision>
</cp:coreProperties>
</file>