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320" windowHeight="12630" activeTab="0"/>
  </bookViews>
  <sheets>
    <sheet name="единый лимит на валют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Ирина Иванова</author>
  </authors>
  <commentList>
    <comment ref="K4" authorId="0">
      <text>
        <r>
          <rPr>
            <b/>
            <sz val="9"/>
            <rFont val="Tahoma"/>
            <family val="2"/>
          </rPr>
          <t>Ирина Иванова:</t>
        </r>
        <r>
          <rPr>
            <sz val="9"/>
            <rFont val="Tahoma"/>
            <family val="2"/>
          </rPr>
          <t xml:space="preserve">
поменять формулу</t>
        </r>
      </text>
    </comment>
  </commentList>
</comments>
</file>

<file path=xl/sharedStrings.xml><?xml version="1.0" encoding="utf-8"?>
<sst xmlns="http://schemas.openxmlformats.org/spreadsheetml/2006/main" count="73" uniqueCount="57">
  <si>
    <t>USD</t>
  </si>
  <si>
    <t>TOD</t>
  </si>
  <si>
    <t>TOM</t>
  </si>
  <si>
    <t>Обозначение</t>
  </si>
  <si>
    <t>Цена</t>
  </si>
  <si>
    <t>Форвардный курс</t>
  </si>
  <si>
    <t>Процентный риск портфеля</t>
  </si>
  <si>
    <t>Обеспечение</t>
  </si>
  <si>
    <t>KZT</t>
  </si>
  <si>
    <t>Дата расчетов</t>
  </si>
  <si>
    <t>BUY</t>
  </si>
  <si>
    <t>SELL</t>
  </si>
  <si>
    <t>SPT</t>
  </si>
  <si>
    <t>swp-курс</t>
  </si>
  <si>
    <t>SPT+1</t>
  </si>
  <si>
    <t>SWP_1</t>
  </si>
  <si>
    <t>SWP_2</t>
  </si>
  <si>
    <t>USD сделки</t>
  </si>
  <si>
    <t>USD макс заявки</t>
  </si>
  <si>
    <t>Итого нетто ТОП</t>
  </si>
  <si>
    <t>Итого заявки</t>
  </si>
  <si>
    <t>Кол. дней от TOD</t>
  </si>
  <si>
    <t>Ставка % риска</t>
  </si>
  <si>
    <t>Риск-параметры</t>
  </si>
  <si>
    <t>Наименование</t>
  </si>
  <si>
    <t>Значение</t>
  </si>
  <si>
    <t>Единый  лимит (Limit)</t>
  </si>
  <si>
    <t>Portfolio (MTM+Collateral)</t>
  </si>
  <si>
    <t>Collateral(with discount)</t>
  </si>
  <si>
    <t>Маржевое обеспечение (Collateral)</t>
  </si>
  <si>
    <t>Маржинальные требования (-(FX_Risk+IR_Risk+MTM))</t>
  </si>
  <si>
    <t>Валютный риск (FX)</t>
  </si>
  <si>
    <t>Валютный риск на 1 USD</t>
  </si>
  <si>
    <t>Данные вводятся в желтых ячейках</t>
  </si>
  <si>
    <t>В случае отрицательного значения Единого лимита -заявки не пропускаются в ТС!!!</t>
  </si>
  <si>
    <t>ввод через курс</t>
  </si>
  <si>
    <t>Нетто-позиция по сделкам (вводятся со знаками)</t>
  </si>
  <si>
    <t>Заявки в торговой системе (вводятся без знаков)</t>
  </si>
  <si>
    <t>Переоценка (MTM)</t>
  </si>
  <si>
    <t>Процентный риск по USD (IRisk_USD)</t>
  </si>
  <si>
    <t>Итого сделки+заявки (Netto_USD)</t>
  </si>
  <si>
    <t>Итого сделки+заявки (Netto-KZT)</t>
  </si>
  <si>
    <t>mark-to-market Netto (MTM)</t>
  </si>
  <si>
    <t>%-риск Netto (IR_Risk)</t>
  </si>
  <si>
    <t>Валютный риск Netto (FX_Risk)</t>
  </si>
  <si>
    <t>Доля маржинальных требований от ИТОГО Netto</t>
  </si>
  <si>
    <t>Итого Нетто за 3 расч.даты</t>
  </si>
  <si>
    <t>ИТОГО требования/обязательства с обеспечением</t>
  </si>
  <si>
    <t>Ставка концентрации %-риска (ConcIR_$)</t>
  </si>
  <si>
    <t>Ставка %-риска (IRR_$)</t>
  </si>
  <si>
    <t>Ставка концентрации FX-риска (Conc_$)</t>
  </si>
  <si>
    <t>Ставка FX-риска (MR_$)</t>
  </si>
  <si>
    <t>Лимит концентрации (Limit_$)</t>
  </si>
  <si>
    <t>расчетная цена SWAP_1_$</t>
  </si>
  <si>
    <t>расчетная цена SWAP_2_$</t>
  </si>
  <si>
    <t>расчетная цена TOM_$</t>
  </si>
  <si>
    <t>ограничение по МО в $ -30%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</si>
</sst>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_ ;[Red]\-#,##0\ "/>
    <numFmt numFmtId="169" formatCode="#,##0.00_ ;[Red]\-#,##0.00\ "/>
    <numFmt numFmtId="170" formatCode="#,##0.0000_ ;[Red]\-#,##0.0000\ "/>
    <numFmt numFmtId="171" formatCode="_-* #,##0.0000_-;\-* #,##0.0000_-;_-* &quot;-&quot;??_-;_-@_-"/>
    <numFmt numFmtId="172" formatCode="0;;&quot;-&quot;;"/>
    <numFmt numFmtId="173" formatCode="0.000000%"/>
    <numFmt numFmtId="174" formatCode="#,##0\ [$KZT];[Red]\-#,##0\ [$KZT]"/>
    <numFmt numFmtId="175" formatCode="_-* #,##0\ _₽_-;\-* #,##0\ _₽_-;_-* &quot;-&quot;??\ _₽_-;_-@_-"/>
    <numFmt numFmtId="176" formatCode="_-* #,##0.00\ _₽_-;\-* #,##0.00\ _₽_-;_-* &quot;-&quot;??\ _₽_-;_-@_-"/>
    <numFmt numFmtId="177" formatCode="[$$-409]#,##0_ ;[Red]\-[$$-409]#,##0\ "/>
    <numFmt numFmtId="178" formatCode="#,##0.0000\ [$KZT];[Red]\-#,##0.0000\ [$KZT]"/>
    <numFmt numFmtId="179" formatCode="#,##0\ [$KZT];\-#,##0\ [$KZT]"/>
    <numFmt numFmtId="180" formatCode="#,##0\ [$KZT]"/>
    <numFmt numFmtId="181" formatCode="[$$-409]#,##0.0000_ ;[Red]\-[$$-409]#,##0.0000\ "/>
    <numFmt numFmtId="182" formatCode="0.0%"/>
    <numFmt numFmtId="183" formatCode="0.000%"/>
    <numFmt numFmtId="184" formatCode="_-* #,##0.0_-;\-* #,##0.0_-;_-* &quot;-&quot;??_-;_-@_-"/>
    <numFmt numFmtId="185" formatCode="_-* #,##0_-;\-* #,##0_-;_-* &quot;-&quot;??_-;_-@_-"/>
    <numFmt numFmtId="186" formatCode="#,##0.0000\ [$KZT];\-#,##0.0000\ [$KZT]"/>
    <numFmt numFmtId="187" formatCode="#,##0.000\ [$KZT];\-#,##0.000\ [$KZT]"/>
    <numFmt numFmtId="188" formatCode="#,##0.00000\ [$KZT];\-#,##0.00000\ [$KZT]"/>
    <numFmt numFmtId="189" formatCode="_-* #,##0.0000_р_._-;\-* #,##0.0000_р_._-;_-* &quot;-&quot;????_р_._-;_-@_-"/>
    <numFmt numFmtId="190" formatCode="[$$-C09]#,##0;[Red]\-[$$-C09]#,##0"/>
    <numFmt numFmtId="191" formatCode="[$$-C09]#,##0.0;[Red]\-[$$-C09]#,##0.0"/>
    <numFmt numFmtId="192" formatCode="[$$-C09]#,##0.00;[Red]\-[$$-C09]#,##0.00"/>
    <numFmt numFmtId="193" formatCode="#,##0.0\ [$KZT];[Red]\-#,##0.0\ [$KZT]"/>
    <numFmt numFmtId="194" formatCode="#,##0.00\ [$KZT];[Red]\-#,##0.00\ [$KZT]"/>
    <numFmt numFmtId="195" formatCode="[$$-C09]#,##0.0000;[Red]\-[$$-C09]#,##0.0000"/>
    <numFmt numFmtId="196" formatCode="_-* #,##0.000_-;\-* #,##0.000_-;_-* &quot;-&quot;??_-;_-@_-"/>
    <numFmt numFmtId="197" formatCode="_-* #,##0.00000_-;\-* #,##0.00000_-;_-* &quot;-&quot;??_-;_-@_-"/>
    <numFmt numFmtId="198" formatCode="#,##0.000\ [$KZT];[Red]\-#,##0.000\ [$KZT]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36"/>
      <name val="Calibri"/>
      <family val="2"/>
    </font>
    <font>
      <b/>
      <sz val="10"/>
      <color indexed="3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rgb="FF7030A0"/>
      <name val="Calibri"/>
      <family val="2"/>
    </font>
    <font>
      <b/>
      <sz val="10"/>
      <color rgb="FF0070C0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medium"/>
      <top/>
      <bottom style="medium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 style="thick"/>
      <right style="thick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170" fontId="22" fillId="0" borderId="10" xfId="0" applyNumberFormat="1" applyFont="1" applyFill="1" applyBorder="1" applyAlignment="1">
      <alignment horizontal="right"/>
    </xf>
    <xf numFmtId="170" fontId="22" fillId="0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9" fontId="23" fillId="33" borderId="0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70" fontId="24" fillId="33" borderId="0" xfId="0" applyNumberFormat="1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4" fontId="54" fillId="0" borderId="14" xfId="0" applyNumberFormat="1" applyFont="1" applyFill="1" applyBorder="1" applyAlignment="1">
      <alignment horizontal="center"/>
    </xf>
    <xf numFmtId="171" fontId="22" fillId="0" borderId="10" xfId="0" applyNumberFormat="1" applyFont="1" applyFill="1" applyBorder="1" applyAlignment="1">
      <alignment horizontal="right"/>
    </xf>
    <xf numFmtId="14" fontId="54" fillId="0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174" fontId="22" fillId="0" borderId="10" xfId="0" applyNumberFormat="1" applyFont="1" applyFill="1" applyBorder="1" applyAlignment="1">
      <alignment horizontal="right"/>
    </xf>
    <xf numFmtId="2" fontId="53" fillId="0" borderId="11" xfId="0" applyNumberFormat="1" applyFont="1" applyFill="1" applyBorder="1" applyAlignment="1">
      <alignment horizontal="center" vertical="center"/>
    </xf>
    <xf numFmtId="175" fontId="0" fillId="10" borderId="15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169" fontId="2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3" fillId="33" borderId="16" xfId="0" applyFont="1" applyFill="1" applyBorder="1" applyAlignment="1">
      <alignment horizontal="center"/>
    </xf>
    <xf numFmtId="172" fontId="54" fillId="34" borderId="17" xfId="0" applyNumberFormat="1" applyFont="1" applyFill="1" applyBorder="1" applyAlignment="1">
      <alignment horizontal="right"/>
    </xf>
    <xf numFmtId="0" fontId="0" fillId="33" borderId="18" xfId="0" applyFont="1" applyFill="1" applyBorder="1" applyAlignment="1">
      <alignment/>
    </xf>
    <xf numFmtId="171" fontId="22" fillId="0" borderId="14" xfId="0" applyNumberFormat="1" applyFont="1" applyFill="1" applyBorder="1" applyAlignment="1">
      <alignment horizontal="right"/>
    </xf>
    <xf numFmtId="170" fontId="22" fillId="0" borderId="14" xfId="0" applyNumberFormat="1" applyFont="1" applyFill="1" applyBorder="1" applyAlignment="1">
      <alignment horizontal="right"/>
    </xf>
    <xf numFmtId="174" fontId="22" fillId="0" borderId="19" xfId="0" applyNumberFormat="1" applyFont="1" applyFill="1" applyBorder="1" applyAlignment="1">
      <alignment horizontal="right"/>
    </xf>
    <xf numFmtId="0" fontId="53" fillId="33" borderId="20" xfId="0" applyFont="1" applyFill="1" applyBorder="1" applyAlignment="1">
      <alignment horizontal="center"/>
    </xf>
    <xf numFmtId="14" fontId="54" fillId="0" borderId="20" xfId="0" applyNumberFormat="1" applyFont="1" applyFill="1" applyBorder="1" applyAlignment="1">
      <alignment horizontal="center"/>
    </xf>
    <xf numFmtId="172" fontId="54" fillId="33" borderId="13" xfId="0" applyNumberFormat="1" applyFont="1" applyFill="1" applyBorder="1" applyAlignment="1">
      <alignment horizontal="right"/>
    </xf>
    <xf numFmtId="14" fontId="54" fillId="34" borderId="13" xfId="0" applyNumberFormat="1" applyFont="1" applyFill="1" applyBorder="1" applyAlignment="1">
      <alignment horizontal="center"/>
    </xf>
    <xf numFmtId="174" fontId="22" fillId="0" borderId="21" xfId="0" applyNumberFormat="1" applyFont="1" applyFill="1" applyBorder="1" applyAlignment="1">
      <alignment horizontal="right"/>
    </xf>
    <xf numFmtId="177" fontId="22" fillId="10" borderId="13" xfId="0" applyNumberFormat="1" applyFont="1" applyFill="1" applyBorder="1" applyAlignment="1">
      <alignment horizontal="right"/>
    </xf>
    <xf numFmtId="177" fontId="22" fillId="10" borderId="20" xfId="0" applyNumberFormat="1" applyFont="1" applyFill="1" applyBorder="1" applyAlignment="1">
      <alignment horizontal="right"/>
    </xf>
    <xf numFmtId="177" fontId="22" fillId="10" borderId="10" xfId="0" applyNumberFormat="1" applyFont="1" applyFill="1" applyBorder="1" applyAlignment="1">
      <alignment horizontal="right"/>
    </xf>
    <xf numFmtId="177" fontId="22" fillId="0" borderId="10" xfId="0" applyNumberFormat="1" applyFont="1" applyFill="1" applyBorder="1" applyAlignment="1">
      <alignment horizontal="right"/>
    </xf>
    <xf numFmtId="177" fontId="22" fillId="16" borderId="11" xfId="0" applyNumberFormat="1" applyFont="1" applyFill="1" applyBorder="1" applyAlignment="1">
      <alignment horizontal="right"/>
    </xf>
    <xf numFmtId="177" fontId="27" fillId="0" borderId="11" xfId="0" applyNumberFormat="1" applyFont="1" applyBorder="1" applyAlignment="1">
      <alignment horizontal="right"/>
    </xf>
    <xf numFmtId="14" fontId="54" fillId="0" borderId="16" xfId="0" applyNumberFormat="1" applyFont="1" applyFill="1" applyBorder="1" applyAlignment="1">
      <alignment horizontal="center"/>
    </xf>
    <xf numFmtId="170" fontId="22" fillId="0" borderId="20" xfId="0" applyNumberFormat="1" applyFont="1" applyFill="1" applyBorder="1" applyAlignment="1">
      <alignment horizontal="right"/>
    </xf>
    <xf numFmtId="170" fontId="22" fillId="0" borderId="1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75" fontId="0" fillId="0" borderId="0" xfId="60" applyNumberFormat="1" applyFont="1" applyFill="1" applyBorder="1" applyAlignment="1">
      <alignment/>
    </xf>
    <xf numFmtId="175" fontId="0" fillId="0" borderId="0" xfId="60" applyNumberFormat="1" applyFont="1" applyFill="1" applyBorder="1" applyAlignment="1">
      <alignment/>
    </xf>
    <xf numFmtId="177" fontId="22" fillId="16" borderId="12" xfId="0" applyNumberFormat="1" applyFont="1" applyFill="1" applyBorder="1" applyAlignment="1">
      <alignment horizontal="right"/>
    </xf>
    <xf numFmtId="174" fontId="22" fillId="0" borderId="0" xfId="0" applyNumberFormat="1" applyFont="1" applyFill="1" applyBorder="1" applyAlignment="1">
      <alignment horizontal="right"/>
    </xf>
    <xf numFmtId="0" fontId="53" fillId="33" borderId="22" xfId="0" applyFont="1" applyFill="1" applyBorder="1" applyAlignment="1">
      <alignment/>
    </xf>
    <xf numFmtId="174" fontId="22" fillId="0" borderId="23" xfId="0" applyNumberFormat="1" applyFont="1" applyFill="1" applyBorder="1" applyAlignment="1">
      <alignment horizontal="right"/>
    </xf>
    <xf numFmtId="14" fontId="54" fillId="0" borderId="11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27" fillId="0" borderId="0" xfId="0" applyNumberFormat="1" applyFont="1" applyBorder="1" applyAlignment="1">
      <alignment horizontal="right"/>
    </xf>
    <xf numFmtId="0" fontId="53" fillId="33" borderId="0" xfId="0" applyFont="1" applyFill="1" applyBorder="1" applyAlignment="1">
      <alignment horizontal="left"/>
    </xf>
    <xf numFmtId="14" fontId="54" fillId="0" borderId="0" xfId="0" applyNumberFormat="1" applyFont="1" applyFill="1" applyBorder="1" applyAlignment="1">
      <alignment horizontal="center"/>
    </xf>
    <xf numFmtId="177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0" fontId="0" fillId="0" borderId="24" xfId="0" applyFill="1" applyBorder="1" applyAlignment="1">
      <alignment vertical="center" wrapText="1"/>
    </xf>
    <xf numFmtId="176" fontId="0" fillId="0" borderId="0" xfId="60" applyNumberFormat="1" applyFont="1" applyFill="1" applyBorder="1" applyAlignment="1">
      <alignment/>
    </xf>
    <xf numFmtId="43" fontId="0" fillId="0" borderId="0" xfId="60" applyNumberFormat="1" applyFont="1" applyFill="1" applyBorder="1" applyAlignment="1">
      <alignment/>
    </xf>
    <xf numFmtId="0" fontId="0" fillId="10" borderId="24" xfId="0" applyFill="1" applyBorder="1" applyAlignment="1">
      <alignment horizontal="center"/>
    </xf>
    <xf numFmtId="14" fontId="54" fillId="0" borderId="25" xfId="0" applyNumberFormat="1" applyFont="1" applyFill="1" applyBorder="1" applyAlignment="1">
      <alignment horizontal="center"/>
    </xf>
    <xf numFmtId="14" fontId="54" fillId="0" borderId="26" xfId="0" applyNumberFormat="1" applyFont="1" applyFill="1" applyBorder="1" applyAlignment="1">
      <alignment horizontal="center"/>
    </xf>
    <xf numFmtId="172" fontId="54" fillId="34" borderId="10" xfId="0" applyNumberFormat="1" applyFont="1" applyFill="1" applyBorder="1" applyAlignment="1">
      <alignment horizontal="right"/>
    </xf>
    <xf numFmtId="174" fontId="22" fillId="13" borderId="21" xfId="0" applyNumberFormat="1" applyFont="1" applyFill="1" applyBorder="1" applyAlignment="1">
      <alignment horizontal="right"/>
    </xf>
    <xf numFmtId="174" fontId="22" fillId="13" borderId="20" xfId="0" applyNumberFormat="1" applyFont="1" applyFill="1" applyBorder="1" applyAlignment="1">
      <alignment horizontal="right"/>
    </xf>
    <xf numFmtId="174" fontId="22" fillId="13" borderId="10" xfId="0" applyNumberFormat="1" applyFont="1" applyFill="1" applyBorder="1" applyAlignment="1">
      <alignment horizontal="right"/>
    </xf>
    <xf numFmtId="14" fontId="54" fillId="0" borderId="27" xfId="0" applyNumberFormat="1" applyFont="1" applyFill="1" applyBorder="1" applyAlignment="1">
      <alignment horizontal="center"/>
    </xf>
    <xf numFmtId="2" fontId="22" fillId="0" borderId="27" xfId="0" applyNumberFormat="1" applyFont="1" applyFill="1" applyBorder="1" applyAlignment="1">
      <alignment horizontal="right"/>
    </xf>
    <xf numFmtId="2" fontId="22" fillId="10" borderId="20" xfId="0" applyNumberFormat="1" applyFont="1" applyFill="1" applyBorder="1" applyAlignment="1">
      <alignment horizontal="right"/>
    </xf>
    <xf numFmtId="2" fontId="22" fillId="10" borderId="16" xfId="0" applyNumberFormat="1" applyFont="1" applyFill="1" applyBorder="1" applyAlignment="1">
      <alignment horizontal="right"/>
    </xf>
    <xf numFmtId="177" fontId="22" fillId="34" borderId="20" xfId="0" applyNumberFormat="1" applyFont="1" applyFill="1" applyBorder="1" applyAlignment="1">
      <alignment horizontal="right"/>
    </xf>
    <xf numFmtId="175" fontId="0" fillId="0" borderId="0" xfId="60" applyNumberFormat="1" applyFont="1" applyFill="1" applyBorder="1" applyAlignment="1">
      <alignment/>
    </xf>
    <xf numFmtId="177" fontId="22" fillId="16" borderId="28" xfId="0" applyNumberFormat="1" applyFont="1" applyFill="1" applyBorder="1" applyAlignment="1">
      <alignment horizontal="right"/>
    </xf>
    <xf numFmtId="0" fontId="53" fillId="33" borderId="28" xfId="0" applyFont="1" applyFill="1" applyBorder="1" applyAlignment="1">
      <alignment/>
    </xf>
    <xf numFmtId="0" fontId="0" fillId="0" borderId="11" xfId="0" applyBorder="1" applyAlignment="1">
      <alignment/>
    </xf>
    <xf numFmtId="177" fontId="27" fillId="16" borderId="11" xfId="0" applyNumberFormat="1" applyFont="1" applyFill="1" applyBorder="1" applyAlignment="1">
      <alignment horizontal="right"/>
    </xf>
    <xf numFmtId="14" fontId="54" fillId="0" borderId="22" xfId="0" applyNumberFormat="1" applyFont="1" applyFill="1" applyBorder="1" applyAlignment="1">
      <alignment horizontal="center"/>
    </xf>
    <xf numFmtId="174" fontId="27" fillId="19" borderId="11" xfId="0" applyNumberFormat="1" applyFont="1" applyFill="1" applyBorder="1" applyAlignment="1">
      <alignment horizontal="right"/>
    </xf>
    <xf numFmtId="175" fontId="0" fillId="34" borderId="29" xfId="6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177" fontId="27" fillId="34" borderId="11" xfId="0" applyNumberFormat="1" applyFont="1" applyFill="1" applyBorder="1" applyAlignment="1">
      <alignment horizontal="right"/>
    </xf>
    <xf numFmtId="174" fontId="27" fillId="34" borderId="11" xfId="0" applyNumberFormat="1" applyFont="1" applyFill="1" applyBorder="1" applyAlignment="1">
      <alignment horizontal="right"/>
    </xf>
    <xf numFmtId="0" fontId="53" fillId="0" borderId="31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/>
    </xf>
    <xf numFmtId="0" fontId="53" fillId="33" borderId="3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14" fontId="54" fillId="0" borderId="34" xfId="0" applyNumberFormat="1" applyFont="1" applyFill="1" applyBorder="1" applyAlignment="1">
      <alignment horizontal="center"/>
    </xf>
    <xf numFmtId="14" fontId="54" fillId="0" borderId="33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175" fontId="0" fillId="34" borderId="35" xfId="60" applyNumberFormat="1" applyFont="1" applyFill="1" applyBorder="1" applyAlignment="1">
      <alignment/>
    </xf>
    <xf numFmtId="0" fontId="53" fillId="33" borderId="36" xfId="0" applyFont="1" applyFill="1" applyBorder="1" applyAlignment="1">
      <alignment horizontal="center"/>
    </xf>
    <xf numFmtId="14" fontId="54" fillId="0" borderId="36" xfId="0" applyNumberFormat="1" applyFont="1" applyFill="1" applyBorder="1" applyAlignment="1">
      <alignment horizontal="center"/>
    </xf>
    <xf numFmtId="175" fontId="0" fillId="10" borderId="15" xfId="60" applyNumberFormat="1" applyFont="1" applyFill="1" applyBorder="1" applyAlignment="1">
      <alignment/>
    </xf>
    <xf numFmtId="169" fontId="23" fillId="0" borderId="0" xfId="0" applyNumberFormat="1" applyFont="1" applyFill="1" applyBorder="1" applyAlignment="1">
      <alignment horizontal="left"/>
    </xf>
    <xf numFmtId="170" fontId="2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3" fillId="33" borderId="27" xfId="0" applyFont="1" applyFill="1" applyBorder="1" applyAlignment="1">
      <alignment horizontal="left"/>
    </xf>
    <xf numFmtId="175" fontId="0" fillId="0" borderId="37" xfId="60" applyNumberFormat="1" applyFont="1" applyBorder="1" applyAlignment="1">
      <alignment horizontal="right"/>
    </xf>
    <xf numFmtId="0" fontId="53" fillId="33" borderId="38" xfId="0" applyFont="1" applyFill="1" applyBorder="1" applyAlignment="1">
      <alignment horizontal="left"/>
    </xf>
    <xf numFmtId="174" fontId="22" fillId="0" borderId="39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0" fontId="53" fillId="0" borderId="40" xfId="0" applyFont="1" applyFill="1" applyBorder="1" applyAlignment="1">
      <alignment horizontal="left"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171" fontId="22" fillId="0" borderId="10" xfId="60" applyNumberFormat="1" applyFont="1" applyFill="1" applyBorder="1" applyAlignment="1">
      <alignment horizontal="right"/>
    </xf>
    <xf numFmtId="178" fontId="22" fillId="0" borderId="11" xfId="0" applyNumberFormat="1" applyFont="1" applyFill="1" applyBorder="1" applyAlignment="1">
      <alignment horizontal="right"/>
    </xf>
    <xf numFmtId="0" fontId="53" fillId="0" borderId="43" xfId="0" applyFont="1" applyFill="1" applyBorder="1" applyAlignment="1">
      <alignment horizontal="center"/>
    </xf>
    <xf numFmtId="171" fontId="27" fillId="34" borderId="44" xfId="0" applyNumberFormat="1" applyFont="1" applyFill="1" applyBorder="1" applyAlignment="1">
      <alignment horizontal="right"/>
    </xf>
    <xf numFmtId="10" fontId="22" fillId="34" borderId="39" xfId="0" applyNumberFormat="1" applyFont="1" applyFill="1" applyBorder="1" applyAlignment="1">
      <alignment horizontal="right"/>
    </xf>
    <xf numFmtId="179" fontId="55" fillId="0" borderId="11" xfId="0" applyNumberFormat="1" applyFont="1" applyFill="1" applyBorder="1" applyAlignment="1">
      <alignment horizontal="right"/>
    </xf>
    <xf numFmtId="169" fontId="55" fillId="0" borderId="22" xfId="0" applyNumberFormat="1" applyFont="1" applyFill="1" applyBorder="1" applyAlignment="1">
      <alignment horizontal="left"/>
    </xf>
    <xf numFmtId="0" fontId="55" fillId="0" borderId="45" xfId="0" applyFont="1" applyFill="1" applyBorder="1" applyAlignment="1">
      <alignment horizontal="left"/>
    </xf>
    <xf numFmtId="169" fontId="55" fillId="0" borderId="12" xfId="0" applyNumberFormat="1" applyFont="1" applyFill="1" applyBorder="1" applyAlignment="1">
      <alignment horizontal="center" wrapText="1"/>
    </xf>
    <xf numFmtId="169" fontId="55" fillId="0" borderId="28" xfId="0" applyNumberFormat="1" applyFont="1" applyFill="1" applyBorder="1" applyAlignment="1">
      <alignment horizontal="left" wrapText="1"/>
    </xf>
    <xf numFmtId="169" fontId="55" fillId="0" borderId="28" xfId="0" applyNumberFormat="1" applyFont="1" applyFill="1" applyBorder="1" applyAlignment="1">
      <alignment horizontal="center" wrapText="1"/>
    </xf>
    <xf numFmtId="174" fontId="56" fillId="0" borderId="46" xfId="0" applyNumberFormat="1" applyFont="1" applyFill="1" applyBorder="1" applyAlignment="1">
      <alignment horizontal="right"/>
    </xf>
    <xf numFmtId="179" fontId="0" fillId="33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69" fontId="27" fillId="0" borderId="22" xfId="0" applyNumberFormat="1" applyFont="1" applyFill="1" applyBorder="1" applyAlignment="1">
      <alignment horizontal="left"/>
    </xf>
    <xf numFmtId="171" fontId="55" fillId="0" borderId="11" xfId="0" applyNumberFormat="1" applyFont="1" applyFill="1" applyBorder="1" applyAlignment="1">
      <alignment horizontal="left"/>
    </xf>
    <xf numFmtId="180" fontId="55" fillId="0" borderId="12" xfId="0" applyNumberFormat="1" applyFont="1" applyFill="1" applyBorder="1" applyAlignment="1">
      <alignment horizontal="right"/>
    </xf>
    <xf numFmtId="174" fontId="27" fillId="11" borderId="11" xfId="0" applyNumberFormat="1" applyFont="1" applyFill="1" applyBorder="1" applyAlignment="1">
      <alignment horizontal="right"/>
    </xf>
    <xf numFmtId="174" fontId="0" fillId="33" borderId="0" xfId="0" applyNumberFormat="1" applyFont="1" applyFill="1" applyAlignment="1">
      <alignment/>
    </xf>
    <xf numFmtId="174" fontId="22" fillId="11" borderId="21" xfId="0" applyNumberFormat="1" applyFont="1" applyFill="1" applyBorder="1" applyAlignment="1">
      <alignment horizontal="right"/>
    </xf>
    <xf numFmtId="174" fontId="22" fillId="0" borderId="47" xfId="0" applyNumberFormat="1" applyFont="1" applyFill="1" applyBorder="1" applyAlignment="1">
      <alignment horizontal="right"/>
    </xf>
    <xf numFmtId="0" fontId="0" fillId="33" borderId="48" xfId="0" applyFont="1" applyFill="1" applyBorder="1" applyAlignment="1">
      <alignment/>
    </xf>
    <xf numFmtId="174" fontId="56" fillId="0" borderId="49" xfId="0" applyNumberFormat="1" applyFont="1" applyFill="1" applyBorder="1" applyAlignment="1">
      <alignment horizontal="right"/>
    </xf>
    <xf numFmtId="0" fontId="23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 vertical="center"/>
    </xf>
    <xf numFmtId="10" fontId="0" fillId="33" borderId="0" xfId="57" applyNumberFormat="1" applyFont="1" applyFill="1" applyBorder="1" applyAlignment="1">
      <alignment/>
    </xf>
    <xf numFmtId="183" fontId="22" fillId="34" borderId="39" xfId="0" applyNumberFormat="1" applyFont="1" applyFill="1" applyBorder="1" applyAlignment="1">
      <alignment horizontal="right"/>
    </xf>
    <xf numFmtId="169" fontId="56" fillId="0" borderId="50" xfId="0" applyNumberFormat="1" applyFont="1" applyFill="1" applyBorder="1" applyAlignment="1">
      <alignment horizontal="left"/>
    </xf>
    <xf numFmtId="0" fontId="0" fillId="33" borderId="49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169" fontId="56" fillId="0" borderId="51" xfId="0" applyNumberFormat="1" applyFont="1" applyFill="1" applyBorder="1" applyAlignment="1">
      <alignment horizontal="left"/>
    </xf>
    <xf numFmtId="0" fontId="0" fillId="33" borderId="52" xfId="0" applyFont="1" applyFill="1" applyBorder="1" applyAlignment="1">
      <alignment/>
    </xf>
    <xf numFmtId="169" fontId="56" fillId="0" borderId="27" xfId="0" applyNumberFormat="1" applyFont="1" applyFill="1" applyBorder="1" applyAlignment="1">
      <alignment horizontal="right"/>
    </xf>
    <xf numFmtId="170" fontId="22" fillId="0" borderId="21" xfId="0" applyNumberFormat="1" applyFont="1" applyFill="1" applyBorder="1" applyAlignment="1">
      <alignment horizontal="right"/>
    </xf>
    <xf numFmtId="177" fontId="57" fillId="0" borderId="0" xfId="0" applyNumberFormat="1" applyFont="1" applyBorder="1" applyAlignment="1">
      <alignment horizontal="right"/>
    </xf>
    <xf numFmtId="174" fontId="27" fillId="19" borderId="11" xfId="0" applyNumberFormat="1" applyFont="1" applyFill="1" applyBorder="1" applyAlignment="1">
      <alignment horizontal="right"/>
    </xf>
    <xf numFmtId="0" fontId="51" fillId="33" borderId="0" xfId="0" applyFont="1" applyFill="1" applyAlignment="1">
      <alignment horizontal="right"/>
    </xf>
    <xf numFmtId="0" fontId="53" fillId="0" borderId="53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33" borderId="55" xfId="0" applyFont="1" applyFill="1" applyBorder="1" applyAlignment="1">
      <alignment/>
    </xf>
    <xf numFmtId="0" fontId="53" fillId="0" borderId="56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center"/>
    </xf>
    <xf numFmtId="168" fontId="27" fillId="0" borderId="58" xfId="0" applyNumberFormat="1" applyFont="1" applyFill="1" applyBorder="1" applyAlignment="1">
      <alignment horizontal="center"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10" fontId="22" fillId="34" borderId="61" xfId="0" applyNumberFormat="1" applyFont="1" applyFill="1" applyBorder="1" applyAlignment="1">
      <alignment horizontal="right"/>
    </xf>
    <xf numFmtId="0" fontId="53" fillId="0" borderId="58" xfId="0" applyFont="1" applyFill="1" applyBorder="1" applyAlignment="1">
      <alignment horizontal="center"/>
    </xf>
    <xf numFmtId="10" fontId="54" fillId="34" borderId="39" xfId="0" applyNumberFormat="1" applyFont="1" applyFill="1" applyBorder="1" applyAlignment="1">
      <alignment horizontal="right"/>
    </xf>
    <xf numFmtId="0" fontId="0" fillId="33" borderId="51" xfId="0" applyFont="1" applyFill="1" applyBorder="1" applyAlignment="1">
      <alignment/>
    </xf>
    <xf numFmtId="0" fontId="0" fillId="33" borderId="62" xfId="0" applyFont="1" applyFill="1" applyBorder="1" applyAlignment="1">
      <alignment/>
    </xf>
    <xf numFmtId="185" fontId="22" fillId="34" borderId="47" xfId="6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/>
    </xf>
    <xf numFmtId="0" fontId="59" fillId="0" borderId="0" xfId="60" applyNumberFormat="1" applyFont="1" applyFill="1" applyBorder="1" applyAlignment="1">
      <alignment horizontal="left"/>
    </xf>
    <xf numFmtId="183" fontId="56" fillId="0" borderId="47" xfId="57" applyNumberFormat="1" applyFont="1" applyFill="1" applyBorder="1" applyAlignment="1">
      <alignment horizontal="right"/>
    </xf>
    <xf numFmtId="167" fontId="0" fillId="0" borderId="0" xfId="60" applyFont="1" applyFill="1" applyAlignment="1">
      <alignment/>
    </xf>
    <xf numFmtId="192" fontId="27" fillId="11" borderId="11" xfId="0" applyNumberFormat="1" applyFont="1" applyFill="1" applyBorder="1" applyAlignment="1">
      <alignment horizontal="right"/>
    </xf>
    <xf numFmtId="177" fontId="22" fillId="34" borderId="14" xfId="0" applyNumberFormat="1" applyFont="1" applyFill="1" applyBorder="1" applyAlignment="1">
      <alignment horizontal="right"/>
    </xf>
    <xf numFmtId="174" fontId="22" fillId="19" borderId="11" xfId="0" applyNumberFormat="1" applyFont="1" applyFill="1" applyBorder="1" applyAlignment="1">
      <alignment horizontal="right"/>
    </xf>
    <xf numFmtId="177" fontId="22" fillId="34" borderId="17" xfId="0" applyNumberFormat="1" applyFont="1" applyFill="1" applyBorder="1" applyAlignment="1">
      <alignment horizontal="right"/>
    </xf>
    <xf numFmtId="2" fontId="22" fillId="10" borderId="17" xfId="0" applyNumberFormat="1" applyFont="1" applyFill="1" applyBorder="1" applyAlignment="1">
      <alignment horizontal="right"/>
    </xf>
    <xf numFmtId="174" fontId="33" fillId="34" borderId="14" xfId="0" applyNumberFormat="1" applyFont="1" applyFill="1" applyBorder="1" applyAlignment="1">
      <alignment/>
    </xf>
    <xf numFmtId="43" fontId="0" fillId="33" borderId="0" xfId="0" applyNumberFormat="1" applyFont="1" applyFill="1" applyAlignment="1">
      <alignment/>
    </xf>
    <xf numFmtId="185" fontId="0" fillId="33" borderId="0" xfId="60" applyNumberFormat="1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0" borderId="0" xfId="60" applyNumberFormat="1" applyFont="1" applyFill="1" applyAlignment="1">
      <alignment/>
    </xf>
    <xf numFmtId="185" fontId="0" fillId="33" borderId="0" xfId="60" applyNumberFormat="1" applyFont="1" applyFill="1" applyAlignment="1">
      <alignment horizontal="left"/>
    </xf>
    <xf numFmtId="0" fontId="53" fillId="0" borderId="41" xfId="0" applyFont="1" applyFill="1" applyBorder="1" applyAlignment="1">
      <alignment horizontal="center"/>
    </xf>
    <xf numFmtId="0" fontId="53" fillId="0" borderId="63" xfId="0" applyFont="1" applyFill="1" applyBorder="1" applyAlignment="1">
      <alignment horizontal="center"/>
    </xf>
    <xf numFmtId="168" fontId="27" fillId="0" borderId="64" xfId="0" applyNumberFormat="1" applyFont="1" applyFill="1" applyBorder="1" applyAlignment="1">
      <alignment horizontal="center"/>
    </xf>
    <xf numFmtId="0" fontId="53" fillId="0" borderId="64" xfId="0" applyFont="1" applyFill="1" applyBorder="1" applyAlignment="1">
      <alignment horizontal="center"/>
    </xf>
    <xf numFmtId="0" fontId="0" fillId="33" borderId="65" xfId="0" applyFont="1" applyFill="1" applyBorder="1" applyAlignment="1">
      <alignment/>
    </xf>
    <xf numFmtId="0" fontId="0" fillId="33" borderId="64" xfId="0" applyFont="1" applyFill="1" applyBorder="1" applyAlignment="1">
      <alignment/>
    </xf>
    <xf numFmtId="167" fontId="0" fillId="33" borderId="0" xfId="60" applyFont="1" applyFill="1" applyAlignment="1">
      <alignment/>
    </xf>
    <xf numFmtId="194" fontId="22" fillId="0" borderId="39" xfId="0" applyNumberFormat="1" applyFont="1" applyFill="1" applyBorder="1" applyAlignment="1">
      <alignment horizontal="right"/>
    </xf>
    <xf numFmtId="194" fontId="55" fillId="0" borderId="46" xfId="0" applyNumberFormat="1" applyFont="1" applyFill="1" applyBorder="1" applyAlignment="1">
      <alignment horizontal="right"/>
    </xf>
    <xf numFmtId="194" fontId="24" fillId="0" borderId="47" xfId="0" applyNumberFormat="1" applyFont="1" applyFill="1" applyBorder="1" applyAlignment="1">
      <alignment horizontal="right"/>
    </xf>
    <xf numFmtId="197" fontId="22" fillId="0" borderId="10" xfId="60" applyNumberFormat="1" applyFont="1" applyFill="1" applyBorder="1" applyAlignment="1">
      <alignment horizontal="right"/>
    </xf>
    <xf numFmtId="174" fontId="60" fillId="0" borderId="46" xfId="0" applyNumberFormat="1" applyFont="1" applyFill="1" applyBorder="1" applyAlignment="1">
      <alignment horizontal="right"/>
    </xf>
    <xf numFmtId="0" fontId="56" fillId="33" borderId="49" xfId="0" applyFont="1" applyFill="1" applyBorder="1" applyAlignment="1">
      <alignment horizontal="center"/>
    </xf>
    <xf numFmtId="171" fontId="27" fillId="0" borderId="66" xfId="0" applyNumberFormat="1" applyFont="1" applyFill="1" applyBorder="1" applyAlignment="1">
      <alignment horizontal="center" wrapText="1"/>
    </xf>
    <xf numFmtId="171" fontId="27" fillId="0" borderId="67" xfId="0" applyNumberFormat="1" applyFont="1" applyFill="1" applyBorder="1" applyAlignment="1">
      <alignment horizontal="center" wrapText="1"/>
    </xf>
    <xf numFmtId="0" fontId="56" fillId="33" borderId="68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174" fontId="27" fillId="11" borderId="69" xfId="0" applyNumberFormat="1" applyFont="1" applyFill="1" applyBorder="1" applyAlignment="1">
      <alignment horizontal="center" wrapText="1"/>
    </xf>
    <xf numFmtId="174" fontId="27" fillId="11" borderId="27" xfId="0" applyNumberFormat="1" applyFont="1" applyFill="1" applyBorder="1" applyAlignment="1">
      <alignment horizontal="center" wrapText="1"/>
    </xf>
    <xf numFmtId="169" fontId="55" fillId="0" borderId="69" xfId="0" applyNumberFormat="1" applyFont="1" applyFill="1" applyBorder="1" applyAlignment="1">
      <alignment horizontal="center" wrapText="1"/>
    </xf>
    <xf numFmtId="169" fontId="55" fillId="0" borderId="27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A1">
      <selection activeCell="E18" sqref="E18:G18"/>
    </sheetView>
  </sheetViews>
  <sheetFormatPr defaultColWidth="9.140625" defaultRowHeight="14.25" customHeight="1"/>
  <cols>
    <col min="1" max="1" width="6.8515625" style="8" customWidth="1"/>
    <col min="2" max="2" width="11.8515625" style="8" customWidth="1"/>
    <col min="3" max="3" width="13.8515625" style="8" customWidth="1"/>
    <col min="4" max="4" width="14.28125" style="8" customWidth="1"/>
    <col min="5" max="5" width="17.00390625" style="8" customWidth="1"/>
    <col min="6" max="6" width="13.28125" style="8" customWidth="1"/>
    <col min="7" max="7" width="16.7109375" style="8" customWidth="1"/>
    <col min="8" max="8" width="2.00390625" style="3" customWidth="1"/>
    <col min="9" max="9" width="12.28125" style="3" customWidth="1"/>
    <col min="10" max="10" width="12.421875" style="3" customWidth="1"/>
    <col min="11" max="11" width="17.57421875" style="3" customWidth="1"/>
    <col min="12" max="12" width="1.28515625" style="8" customWidth="1"/>
    <col min="13" max="13" width="17.00390625" style="8" customWidth="1"/>
    <col min="14" max="14" width="15.00390625" style="8" customWidth="1"/>
    <col min="15" max="15" width="1.7109375" style="8" customWidth="1"/>
    <col min="16" max="16" width="14.8515625" style="8" customWidth="1"/>
    <col min="17" max="17" width="16.140625" style="8" customWidth="1"/>
    <col min="18" max="18" width="16.7109375" style="8" bestFit="1" customWidth="1"/>
    <col min="19" max="16384" width="9.140625" style="8" customWidth="1"/>
  </cols>
  <sheetData>
    <row r="1" spans="1:14" ht="14.25" customHeight="1">
      <c r="A1" s="138" t="s">
        <v>33</v>
      </c>
      <c r="B1" s="139"/>
      <c r="C1" s="139"/>
      <c r="D1" s="5"/>
      <c r="E1" s="6"/>
      <c r="F1" s="6"/>
      <c r="G1" s="6"/>
      <c r="H1" s="6"/>
      <c r="J1" s="6"/>
      <c r="K1" s="6"/>
      <c r="L1" s="6"/>
      <c r="M1" s="3"/>
      <c r="N1" s="7"/>
    </row>
    <row r="2" spans="1:14" ht="14.25" customHeight="1" thickBot="1">
      <c r="A2" s="24" t="s">
        <v>0</v>
      </c>
      <c r="B2" s="24"/>
      <c r="C2" s="23"/>
      <c r="D2" s="25"/>
      <c r="E2" s="25"/>
      <c r="F2" s="25"/>
      <c r="G2" s="25"/>
      <c r="I2" s="102" t="s">
        <v>38</v>
      </c>
      <c r="J2" s="102"/>
      <c r="K2" s="102"/>
      <c r="M2" s="102" t="s">
        <v>39</v>
      </c>
      <c r="N2" s="102"/>
    </row>
    <row r="3" spans="1:14" ht="37.5" customHeight="1" thickBot="1" thickTop="1">
      <c r="A3" s="13" t="s">
        <v>21</v>
      </c>
      <c r="B3" s="10" t="s">
        <v>3</v>
      </c>
      <c r="C3" s="13" t="s">
        <v>9</v>
      </c>
      <c r="D3" s="10" t="s">
        <v>17</v>
      </c>
      <c r="E3" s="11" t="s">
        <v>18</v>
      </c>
      <c r="F3" s="12" t="s">
        <v>40</v>
      </c>
      <c r="G3" s="12" t="s">
        <v>41</v>
      </c>
      <c r="I3" s="13" t="s">
        <v>13</v>
      </c>
      <c r="J3" s="13" t="s">
        <v>5</v>
      </c>
      <c r="K3" s="12" t="s">
        <v>38</v>
      </c>
      <c r="M3" s="13" t="s">
        <v>22</v>
      </c>
      <c r="N3" s="12" t="s">
        <v>6</v>
      </c>
    </row>
    <row r="4" spans="1:14" ht="14.25" customHeight="1" thickTop="1">
      <c r="A4" s="36">
        <v>0</v>
      </c>
      <c r="B4" s="14" t="s">
        <v>1</v>
      </c>
      <c r="C4" s="37">
        <v>43370</v>
      </c>
      <c r="D4" s="39">
        <f>D14</f>
        <v>-5000000</v>
      </c>
      <c r="E4" s="39">
        <f>IF(ABS($D$17+$D$28)&gt;ABS($D$17-$E$28),SUMIF(C$21:C$27,$C4,D$21:D$27),-SUMIF(C$21:C$27,$C4,E$21:E$27))</f>
        <v>-1000000</v>
      </c>
      <c r="F4" s="39">
        <f>D4+E4</f>
        <v>-6000000</v>
      </c>
      <c r="G4" s="70">
        <f>E14-E4*J4</f>
        <v>2171760000</v>
      </c>
      <c r="H4" s="4"/>
      <c r="I4" s="31">
        <f>J4-$J$9</f>
        <v>0</v>
      </c>
      <c r="J4" s="47">
        <f>M19</f>
        <v>361.96</v>
      </c>
      <c r="K4" s="38">
        <f>D4*J4+E14</f>
        <v>0</v>
      </c>
      <c r="M4" s="194">
        <f>IF(ABS($F$8)&lt;$M$26,J4*$M$24/365*A4,J4*$M$25/365*A4)</f>
        <v>0</v>
      </c>
      <c r="N4" s="191">
        <f>ROUND(M4*F4,6)</f>
        <v>0</v>
      </c>
    </row>
    <row r="5" spans="1:14" ht="14.25" customHeight="1">
      <c r="A5" s="69">
        <v>1</v>
      </c>
      <c r="B5" s="34" t="s">
        <v>2</v>
      </c>
      <c r="C5" s="35">
        <f>$C$4+A5</f>
        <v>43371</v>
      </c>
      <c r="D5" s="40">
        <f>D15</f>
        <v>0</v>
      </c>
      <c r="E5" s="40">
        <f>IF(ABS($D$17+$D$28)&gt;ABS($D$17-$E$28),SUMIF(C$21:C$27,$C5,D$21:D$27),-SUMIF(C$21:C$27,$C5,E$21:E$27))</f>
        <v>0</v>
      </c>
      <c r="F5" s="40">
        <f>D5+E5</f>
        <v>0</v>
      </c>
      <c r="G5" s="71">
        <f>E15-E5*J5</f>
        <v>0</v>
      </c>
      <c r="I5" s="31">
        <f>J5-$J$9</f>
        <v>0.2677510000000325</v>
      </c>
      <c r="J5" s="46">
        <f>ROUND($M$19*(1+M20/365*(C6-$C$5)),6)</f>
        <v>362.227751</v>
      </c>
      <c r="K5" s="54">
        <f>D5*J5+E15</f>
        <v>0</v>
      </c>
      <c r="M5" s="115">
        <f>IF(ABS($F$8)&lt;$M$26,J5*$M$24/365*A5,J5*$M$25/365*A5)</f>
        <v>0.024313917532876712</v>
      </c>
      <c r="N5" s="191">
        <f>ROUND(M5*F5,6)</f>
        <v>0</v>
      </c>
    </row>
    <row r="6" spans="1:14" ht="14.25" customHeight="1">
      <c r="A6" s="69">
        <v>4</v>
      </c>
      <c r="B6" s="15" t="s">
        <v>12</v>
      </c>
      <c r="C6" s="16">
        <f>$C$4+A6</f>
        <v>43374</v>
      </c>
      <c r="D6" s="41">
        <f>D16</f>
        <v>0</v>
      </c>
      <c r="E6" s="41">
        <f>IF(ABS($D$17+$D$28)&gt;=ABS($D$17-$E$28),SUMIF(C$21:C$27,$C6,D$21:D$27),-SUMIF(C$21:C$27,$C6,E$21:E$27))</f>
        <v>0</v>
      </c>
      <c r="F6" s="41">
        <f>D6+E6</f>
        <v>0</v>
      </c>
      <c r="G6" s="72">
        <f>E16-E6*J6</f>
        <v>0</v>
      </c>
      <c r="I6" s="17">
        <f>J6-$J$9</f>
        <v>0.3238640000000146</v>
      </c>
      <c r="J6" s="32">
        <f>ROUND($M$19*(1+M21/365*(C7-$C$5)),6)</f>
        <v>362.283864</v>
      </c>
      <c r="K6" s="108">
        <f>D6*J6+E16</f>
        <v>0</v>
      </c>
      <c r="M6" s="115">
        <f>IF(ABS($F$8)&lt;$M$26,J6*$M$24/365*A6,J6*$M$25/365*A6)</f>
        <v>0.09727073608767124</v>
      </c>
      <c r="N6" s="191">
        <f>ROUND(M6*F6,6)</f>
        <v>0</v>
      </c>
    </row>
    <row r="7" spans="1:14" ht="14.25" customHeight="1" thickBot="1">
      <c r="A7" s="29">
        <v>5</v>
      </c>
      <c r="B7" s="15" t="s">
        <v>14</v>
      </c>
      <c r="C7" s="45">
        <f>$C$4+A7</f>
        <v>43375</v>
      </c>
      <c r="D7" s="42"/>
      <c r="E7" s="42"/>
      <c r="F7" s="42"/>
      <c r="G7" s="20"/>
      <c r="I7" s="31"/>
      <c r="J7" s="32"/>
      <c r="K7" s="33"/>
      <c r="M7" s="1"/>
      <c r="N7" s="191"/>
    </row>
    <row r="8" spans="1:14" ht="14.25" customHeight="1" thickBot="1" thickTop="1">
      <c r="A8" s="53" t="s">
        <v>46</v>
      </c>
      <c r="B8" s="80"/>
      <c r="C8" s="55"/>
      <c r="D8" s="43">
        <f>SUM(D4:D7)</f>
        <v>-5000000</v>
      </c>
      <c r="E8" s="43">
        <f>SUM(E4:E7)</f>
        <v>-1000000</v>
      </c>
      <c r="F8" s="43">
        <f>SUM(F4:F7)</f>
        <v>-6000000</v>
      </c>
      <c r="G8" s="150">
        <f>SUM(G4:G7)</f>
        <v>2171760000</v>
      </c>
      <c r="I8" s="130" t="s">
        <v>42</v>
      </c>
      <c r="J8" s="2"/>
      <c r="K8" s="131">
        <f>ROUND(SUM(K4:K7),6)</f>
        <v>0</v>
      </c>
      <c r="M8" s="203" t="s">
        <v>43</v>
      </c>
      <c r="N8" s="192">
        <f>-ABS(SUM(N4:N7))</f>
        <v>0</v>
      </c>
    </row>
    <row r="9" spans="1:14" ht="14.25" customHeight="1" thickBot="1" thickTop="1">
      <c r="A9" s="53" t="s">
        <v>7</v>
      </c>
      <c r="B9" s="80"/>
      <c r="C9" s="83">
        <f>C4</f>
        <v>43370</v>
      </c>
      <c r="D9" s="79"/>
      <c r="E9" s="51"/>
      <c r="F9" s="88">
        <v>1000</v>
      </c>
      <c r="G9" s="89">
        <v>50000000</v>
      </c>
      <c r="I9" s="197" t="s">
        <v>28</v>
      </c>
      <c r="J9" s="148">
        <f>M19</f>
        <v>361.96</v>
      </c>
      <c r="K9" s="134">
        <f>ROUND(IF(OR(F9*J9&lt;M29*0.3,M29&lt;0),F9*J9+G9+K10,M29*0.3+G9+K10),2)</f>
        <v>50353526.33</v>
      </c>
      <c r="M9" s="204"/>
      <c r="N9" s="193"/>
    </row>
    <row r="10" spans="1:14" ht="14.25" customHeight="1" thickBot="1" thickTop="1">
      <c r="A10" s="53" t="s">
        <v>47</v>
      </c>
      <c r="B10" s="80"/>
      <c r="C10" s="81"/>
      <c r="D10" s="44"/>
      <c r="E10" s="44"/>
      <c r="F10" s="82">
        <f>SUM(F8:F9)</f>
        <v>-5999000</v>
      </c>
      <c r="G10" s="84">
        <f>SUM(G8:G9)</f>
        <v>2221760000</v>
      </c>
      <c r="H10" s="9"/>
      <c r="I10" s="198"/>
      <c r="J10" s="136"/>
      <c r="K10" s="135">
        <f>ROUND(IF(OR(F9*J9&lt;M29*0.3,M29&lt;0),-F9*K14,-M29*0.3/J9*K14),2)</f>
        <v>-8433.67</v>
      </c>
      <c r="M10" s="190"/>
      <c r="N10" s="23"/>
    </row>
    <row r="11" spans="1:14" ht="14.25" customHeight="1" thickBot="1" thickTop="1">
      <c r="A11" s="23"/>
      <c r="B11" s="56"/>
      <c r="C11" s="57"/>
      <c r="D11" s="57"/>
      <c r="E11" s="58"/>
      <c r="F11" s="149">
        <f>IF(M29&lt;0,"",IF(F9*J9&gt;M29*0.3,"превышена сумма обеспечения в USD!!!",""))</f>
      </c>
      <c r="G11" s="58"/>
      <c r="H11" s="9"/>
      <c r="I11" s="199" t="s">
        <v>27</v>
      </c>
      <c r="J11" s="200"/>
      <c r="K11" s="126">
        <f>ROUND(SUM(K8:K9),2)</f>
        <v>50353526.33</v>
      </c>
      <c r="M11" s="172"/>
      <c r="N11" s="23"/>
    </row>
    <row r="12" spans="1:12" ht="14.25" customHeight="1" thickBot="1" thickTop="1">
      <c r="A12" s="23"/>
      <c r="B12" s="59" t="s">
        <v>36</v>
      </c>
      <c r="C12" s="57"/>
      <c r="D12" s="57"/>
      <c r="E12" s="58"/>
      <c r="F12" s="58"/>
      <c r="G12" s="58"/>
      <c r="I12" s="196"/>
      <c r="J12" s="196"/>
      <c r="K12" s="137"/>
      <c r="L12" s="23"/>
    </row>
    <row r="13" spans="2:17" ht="14.25" customHeight="1" thickBot="1" thickTop="1">
      <c r="B13" s="10" t="s">
        <v>3</v>
      </c>
      <c r="C13" s="13" t="s">
        <v>9</v>
      </c>
      <c r="D13" s="10" t="s">
        <v>0</v>
      </c>
      <c r="E13" s="11" t="s">
        <v>8</v>
      </c>
      <c r="F13" s="21" t="s">
        <v>4</v>
      </c>
      <c r="G13" s="167" t="s">
        <v>35</v>
      </c>
      <c r="H13" s="8"/>
      <c r="I13" s="102" t="s">
        <v>31</v>
      </c>
      <c r="J13" s="103"/>
      <c r="K13" s="104"/>
      <c r="L13" s="23"/>
      <c r="N13" s="180"/>
      <c r="O13" s="181"/>
      <c r="P13" s="182"/>
      <c r="Q13" s="179"/>
    </row>
    <row r="14" spans="2:17" ht="14.25" customHeight="1" thickBot="1" thickTop="1">
      <c r="B14" s="14" t="s">
        <v>1</v>
      </c>
      <c r="C14" s="18">
        <f>SUMIF($B$4:$B$7,B14,$C$4:$C$7)</f>
        <v>43370</v>
      </c>
      <c r="D14" s="176">
        <v>-5000000</v>
      </c>
      <c r="E14" s="178">
        <f>-D14*G14</f>
        <v>1809800000</v>
      </c>
      <c r="F14" s="177">
        <f>-E14/D14</f>
        <v>361.96</v>
      </c>
      <c r="G14" s="168">
        <v>361.96</v>
      </c>
      <c r="H14" s="8"/>
      <c r="I14" s="110" t="s">
        <v>32</v>
      </c>
      <c r="J14" s="111"/>
      <c r="K14" s="116">
        <f>IF(ABS(F8)&lt;M26,J9*M22,J9*M23)</f>
        <v>8.433668</v>
      </c>
      <c r="L14" s="23"/>
      <c r="N14" s="180"/>
      <c r="O14" s="181"/>
      <c r="P14" s="182"/>
      <c r="Q14" s="179"/>
    </row>
    <row r="15" spans="2:17" ht="14.25" customHeight="1" thickBot="1" thickTop="1">
      <c r="B15" s="34" t="s">
        <v>2</v>
      </c>
      <c r="C15" s="35">
        <f>SUMIF($B$4:$B$7,B15,$C$4:$C$7)</f>
        <v>43371</v>
      </c>
      <c r="D15" s="77"/>
      <c r="E15" s="178">
        <f>-D15*G15</f>
        <v>0</v>
      </c>
      <c r="F15" s="75" t="e">
        <f>-E15/D15</f>
        <v>#DIV/0!</v>
      </c>
      <c r="G15" s="169">
        <v>361.8</v>
      </c>
      <c r="H15" s="8"/>
      <c r="I15" s="122" t="s">
        <v>44</v>
      </c>
      <c r="J15" s="112"/>
      <c r="K15" s="120">
        <f>-ABS(ROUND(F8*K14,6))</f>
        <v>-50602008</v>
      </c>
      <c r="L15" s="23"/>
      <c r="N15" s="183"/>
      <c r="O15" s="181"/>
      <c r="P15" s="180"/>
      <c r="Q15" s="179"/>
    </row>
    <row r="16" spans="2:17" ht="14.25" customHeight="1" thickBot="1">
      <c r="B16" s="28" t="s">
        <v>12</v>
      </c>
      <c r="C16" s="45">
        <f>SUMIF($B$4:$B$7,B16,$C$4:$C$7)</f>
        <v>43374</v>
      </c>
      <c r="D16" s="174"/>
      <c r="E16" s="178">
        <f>-D16*G16</f>
        <v>0</v>
      </c>
      <c r="F16" s="76" t="e">
        <f>-E16/D16</f>
        <v>#DIV/0!</v>
      </c>
      <c r="G16" s="170">
        <v>362</v>
      </c>
      <c r="H16" s="8"/>
      <c r="I16"/>
      <c r="J16" s="103"/>
      <c r="K16" s="109"/>
      <c r="L16" s="23"/>
      <c r="N16" s="180"/>
      <c r="O16" s="181"/>
      <c r="P16" s="180"/>
      <c r="Q16" s="179"/>
    </row>
    <row r="17" spans="2:14" ht="14.25" customHeight="1" thickBot="1" thickTop="1">
      <c r="B17" s="105" t="s">
        <v>19</v>
      </c>
      <c r="C17" s="73"/>
      <c r="D17" s="43">
        <f>SUM(D14:D16)</f>
        <v>-5000000</v>
      </c>
      <c r="E17" s="175">
        <f>SUM(E14:E16)</f>
        <v>1809800000</v>
      </c>
      <c r="F17" s="74"/>
      <c r="G17" s="49"/>
      <c r="H17" s="8"/>
      <c r="I17" s="102" t="s">
        <v>23</v>
      </c>
      <c r="J17" s="102"/>
      <c r="K17" s="23"/>
      <c r="L17" s="23"/>
      <c r="N17" s="19"/>
    </row>
    <row r="18" spans="2:13" ht="14.25" customHeight="1" thickBot="1" thickTop="1">
      <c r="B18" s="56"/>
      <c r="C18" s="60"/>
      <c r="D18" s="61"/>
      <c r="E18" s="52"/>
      <c r="F18" s="62"/>
      <c r="G18" s="49"/>
      <c r="H18" s="8"/>
      <c r="I18" s="152" t="s">
        <v>24</v>
      </c>
      <c r="J18" s="184"/>
      <c r="K18" s="184"/>
      <c r="L18" s="155"/>
      <c r="M18" s="117" t="s">
        <v>25</v>
      </c>
    </row>
    <row r="19" spans="2:13" ht="14.25" customHeight="1" thickBot="1">
      <c r="B19" s="59" t="s">
        <v>37</v>
      </c>
      <c r="C19" s="27"/>
      <c r="D19" s="23"/>
      <c r="E19" s="26"/>
      <c r="F19" s="26"/>
      <c r="G19" s="49"/>
      <c r="H19" s="8"/>
      <c r="I19" s="153" t="s">
        <v>55</v>
      </c>
      <c r="J19" s="185"/>
      <c r="K19" s="185"/>
      <c r="L19" s="156"/>
      <c r="M19" s="118">
        <v>361.96</v>
      </c>
    </row>
    <row r="20" spans="1:13" ht="14.25" customHeight="1" thickBot="1" thickTop="1">
      <c r="A20" s="9"/>
      <c r="B20" s="90" t="s">
        <v>3</v>
      </c>
      <c r="C20" s="63" t="s">
        <v>9</v>
      </c>
      <c r="D20" s="66" t="s">
        <v>10</v>
      </c>
      <c r="E20" s="66" t="s">
        <v>11</v>
      </c>
      <c r="F20" s="48"/>
      <c r="G20" s="49"/>
      <c r="H20" s="8"/>
      <c r="I20" s="154" t="s">
        <v>53</v>
      </c>
      <c r="J20" s="186"/>
      <c r="K20" s="186"/>
      <c r="L20" s="157"/>
      <c r="M20" s="141">
        <v>0.09</v>
      </c>
    </row>
    <row r="21" spans="1:13" ht="14.25" customHeight="1" thickTop="1">
      <c r="A21" s="3"/>
      <c r="B21" s="92" t="s">
        <v>1</v>
      </c>
      <c r="C21" s="94">
        <f aca="true" t="shared" si="0" ref="C21:C27">SUMIF($B$4:$B$7,B21,$C$4:$C$7)</f>
        <v>43370</v>
      </c>
      <c r="D21" s="85"/>
      <c r="E21" s="85"/>
      <c r="F21" s="64"/>
      <c r="G21" s="49"/>
      <c r="H21" s="8"/>
      <c r="I21" s="154" t="s">
        <v>54</v>
      </c>
      <c r="J21" s="186"/>
      <c r="K21" s="186"/>
      <c r="L21" s="157"/>
      <c r="M21" s="141">
        <v>0.081646</v>
      </c>
    </row>
    <row r="22" spans="1:13" ht="14.25" customHeight="1">
      <c r="A22" s="3"/>
      <c r="B22" s="93" t="s">
        <v>2</v>
      </c>
      <c r="C22" s="95">
        <f t="shared" si="0"/>
        <v>43371</v>
      </c>
      <c r="D22" s="85">
        <v>500000</v>
      </c>
      <c r="E22" s="85"/>
      <c r="F22" s="64"/>
      <c r="G22" s="49"/>
      <c r="H22" s="8"/>
      <c r="I22" s="154" t="s">
        <v>51</v>
      </c>
      <c r="J22" s="187"/>
      <c r="K22" s="187"/>
      <c r="L22" s="162"/>
      <c r="M22" s="163">
        <v>0.0233</v>
      </c>
    </row>
    <row r="23" spans="2:13" ht="14.25" customHeight="1" thickBot="1">
      <c r="B23" s="96" t="s">
        <v>12</v>
      </c>
      <c r="C23" s="67">
        <f t="shared" si="0"/>
        <v>43374</v>
      </c>
      <c r="D23" s="85"/>
      <c r="E23" s="85"/>
      <c r="F23" s="64"/>
      <c r="G23" s="50"/>
      <c r="H23" s="8"/>
      <c r="I23" s="159" t="s">
        <v>50</v>
      </c>
      <c r="J23" s="188"/>
      <c r="K23" s="188"/>
      <c r="L23" s="160"/>
      <c r="M23" s="161">
        <v>0.0421</v>
      </c>
    </row>
    <row r="24" spans="1:14" ht="16.5" customHeight="1">
      <c r="A24" s="30" t="s">
        <v>15</v>
      </c>
      <c r="B24" s="97" t="s">
        <v>1</v>
      </c>
      <c r="C24" s="94">
        <f t="shared" si="0"/>
        <v>43370</v>
      </c>
      <c r="D24" s="98"/>
      <c r="E24" s="98">
        <v>1000000</v>
      </c>
      <c r="F24" s="64"/>
      <c r="G24" s="26"/>
      <c r="H24" s="8"/>
      <c r="I24" s="154" t="s">
        <v>49</v>
      </c>
      <c r="J24" s="189"/>
      <c r="K24" s="189"/>
      <c r="L24" s="158"/>
      <c r="M24" s="119">
        <v>0.0245</v>
      </c>
      <c r="N24" s="23"/>
    </row>
    <row r="25" spans="1:14" ht="15.75" thickBot="1">
      <c r="A25" s="86"/>
      <c r="B25" s="99" t="s">
        <v>2</v>
      </c>
      <c r="C25" s="100">
        <f t="shared" si="0"/>
        <v>43371</v>
      </c>
      <c r="D25" s="101">
        <f>E24</f>
        <v>1000000</v>
      </c>
      <c r="E25" s="101">
        <f>D24</f>
        <v>0</v>
      </c>
      <c r="F25" s="65"/>
      <c r="G25" s="48"/>
      <c r="I25" s="154" t="s">
        <v>48</v>
      </c>
      <c r="J25" s="189"/>
      <c r="K25" s="189"/>
      <c r="L25" s="158"/>
      <c r="M25" s="119">
        <v>0.0272</v>
      </c>
      <c r="N25" s="23"/>
    </row>
    <row r="26" spans="1:14" ht="14.25" customHeight="1" thickBot="1" thickTop="1">
      <c r="A26" s="30" t="s">
        <v>16</v>
      </c>
      <c r="B26" s="91" t="s">
        <v>1</v>
      </c>
      <c r="C26" s="68">
        <f t="shared" si="0"/>
        <v>43370</v>
      </c>
      <c r="D26" s="85"/>
      <c r="E26" s="85"/>
      <c r="F26" s="64"/>
      <c r="G26" s="78"/>
      <c r="I26" s="164" t="s">
        <v>52</v>
      </c>
      <c r="J26" s="146"/>
      <c r="K26" s="146"/>
      <c r="L26" s="165"/>
      <c r="M26" s="166">
        <v>50009146</v>
      </c>
      <c r="N26" s="201" t="s">
        <v>56</v>
      </c>
    </row>
    <row r="27" spans="1:14" ht="14.25" customHeight="1" thickBot="1" thickTop="1">
      <c r="A27" s="87"/>
      <c r="B27" s="99" t="s">
        <v>12</v>
      </c>
      <c r="C27" s="100">
        <f t="shared" si="0"/>
        <v>43374</v>
      </c>
      <c r="D27" s="101">
        <f>E26</f>
        <v>0</v>
      </c>
      <c r="E27" s="101">
        <f>D26</f>
        <v>0</v>
      </c>
      <c r="F27" s="65"/>
      <c r="G27" s="78"/>
      <c r="I27" s="8"/>
      <c r="J27" s="102"/>
      <c r="K27" s="23"/>
      <c r="L27" s="23"/>
      <c r="M27" s="133"/>
      <c r="N27" s="202"/>
    </row>
    <row r="28" spans="1:14" ht="14.25" customHeight="1" thickBot="1" thickTop="1">
      <c r="A28" s="3"/>
      <c r="B28" s="107" t="s">
        <v>20</v>
      </c>
      <c r="C28" s="106"/>
      <c r="D28" s="22">
        <f>SUM(D21:D27)</f>
        <v>1500000</v>
      </c>
      <c r="E28" s="22">
        <f>SUM(E21:E27)</f>
        <v>1000000</v>
      </c>
      <c r="F28" s="50"/>
      <c r="G28" s="78"/>
      <c r="I28" s="129" t="s">
        <v>29</v>
      </c>
      <c r="J28" s="114"/>
      <c r="K28" s="114"/>
      <c r="L28" s="113"/>
      <c r="M28" s="132">
        <f>ROUND(K9,2)</f>
        <v>50353526.33</v>
      </c>
      <c r="N28" s="173">
        <f>IF(M29&lt;0,"",M29*0.3/J9)</f>
        <v>41940</v>
      </c>
    </row>
    <row r="29" spans="6:13" ht="14.25" customHeight="1" thickBot="1" thickTop="1">
      <c r="F29" s="3"/>
      <c r="I29" s="121" t="s">
        <v>30</v>
      </c>
      <c r="J29" s="124"/>
      <c r="K29" s="125"/>
      <c r="L29" s="123"/>
      <c r="M29" s="120">
        <f>-ROUND((N8+K15+K8),2)</f>
        <v>50602008</v>
      </c>
    </row>
    <row r="30" spans="9:13" ht="14.25" customHeight="1" thickTop="1">
      <c r="I30" s="142" t="s">
        <v>26</v>
      </c>
      <c r="J30" s="143"/>
      <c r="K30" s="143"/>
      <c r="L30" s="144"/>
      <c r="M30" s="195">
        <f>M28-M29</f>
        <v>-248481.6700000018</v>
      </c>
    </row>
    <row r="31" spans="9:13" ht="14.25" customHeight="1" thickBot="1">
      <c r="I31" s="145"/>
      <c r="J31" s="146"/>
      <c r="K31" s="146"/>
      <c r="L31" s="147" t="s">
        <v>45</v>
      </c>
      <c r="M31" s="171">
        <f>ABS(M29/(G8+K8))</f>
        <v>0.0233</v>
      </c>
    </row>
    <row r="32" spans="12:13" ht="14.25" customHeight="1" thickTop="1">
      <c r="L32" s="23"/>
      <c r="M32" s="151" t="s">
        <v>34</v>
      </c>
    </row>
    <row r="33" ht="14.25" customHeight="1">
      <c r="M33" s="128"/>
    </row>
    <row r="34" ht="14.25" customHeight="1">
      <c r="M34" s="127"/>
    </row>
    <row r="35" ht="14.25" customHeight="1">
      <c r="J35" s="140"/>
    </row>
  </sheetData>
  <sheetProtection/>
  <mergeCells count="5">
    <mergeCell ref="I12:J12"/>
    <mergeCell ref="I9:I10"/>
    <mergeCell ref="I11:J11"/>
    <mergeCell ref="N26:N27"/>
    <mergeCell ref="M8:M9"/>
  </mergeCells>
  <printOptions/>
  <pageMargins left="0.25" right="0.25" top="0.75" bottom="0.75" header="0.3" footer="0.3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Ирина Иванова</cp:lastModifiedBy>
  <cp:lastPrinted>2018-04-19T09:04:46Z</cp:lastPrinted>
  <dcterms:created xsi:type="dcterms:W3CDTF">2011-12-29T11:33:56Z</dcterms:created>
  <dcterms:modified xsi:type="dcterms:W3CDTF">2018-09-28T03:21:00Z</dcterms:modified>
  <cp:category/>
  <cp:version/>
  <cp:contentType/>
  <cp:contentStatus/>
</cp:coreProperties>
</file>