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760" tabRatio="908" firstSheet="2" activeTab="2"/>
  </bookViews>
  <sheets>
    <sheet name="Индекс" sheetId="1" state="hidden" r:id="rId1"/>
    <sheet name="Реквизиты" sheetId="34" state="hidden" r:id="rId2"/>
    <sheet name="ФО.1" sheetId="19" r:id="rId3"/>
    <sheet name="ФО.2" sheetId="20" r:id="rId4"/>
    <sheet name="ФО.3_П" sheetId="21" r:id="rId5"/>
    <sheet name="ФО.4" sheetId="22" r:id="rId6"/>
    <sheet name="ФА" sheetId="26" state="hidden" r:id="rId7"/>
    <sheet name="Д и К" sheetId="27" state="hidden" r:id="rId8"/>
    <sheet name="СК" sheetId="36" state="hidden" r:id="rId9"/>
    <sheet name="ОСВ.1" sheetId="31" state="hidden" r:id="rId10"/>
    <sheet name="ОСВ.2" sheetId="37" state="hidden" r:id="rId11"/>
    <sheet name="ОСВ.3" sheetId="40" state="hidden" r:id="rId12"/>
    <sheet name="ОСВ.4" sheetId="42" state="hidden" r:id="rId13"/>
    <sheet name="ОСВ.5" sheetId="45" state="hidden" r:id="rId14"/>
    <sheet name="ОСВ.6" sheetId="50" state="hidden" r:id="rId15"/>
    <sheet name="Лист1" sheetId="51" state="hidden" r:id="rId16"/>
    <sheet name="ОПИУ.1" sheetId="32" state="hidden" r:id="rId17"/>
    <sheet name="ОПИУ.2" sheetId="38" state="hidden" r:id="rId18"/>
    <sheet name="ОПИУ.3" sheetId="39" state="hidden" r:id="rId19"/>
    <sheet name="ОПИУ.4" sheetId="43" state="hidden" r:id="rId20"/>
    <sheet name="ОПИУ.5" sheetId="46" state="hidden" r:id="rId21"/>
    <sheet name="ОПИУ.6" sheetId="49" state="hidden" r:id="rId22"/>
    <sheet name="ДДС.1" sheetId="33" state="hidden" r:id="rId23"/>
    <sheet name="ДДС.2" sheetId="35" state="hidden" r:id="rId24"/>
    <sheet name="Справочник" sheetId="23" state="hidden" r:id="rId25"/>
    <sheet name="1240" sheetId="28" state="hidden" r:id="rId26"/>
    <sheet name="12.ИИ" sheetId="25" state="hidden" r:id="rId27"/>
    <sheet name="13.ОС" sheetId="24" state="hidden" r:id="rId28"/>
    <sheet name="ДДС.3" sheetId="41" state="hidden" r:id="rId29"/>
    <sheet name="ДДС.4" sheetId="44" state="hidden" r:id="rId30"/>
    <sheet name="ДДС.5" sheetId="47" state="hidden" r:id="rId31"/>
    <sheet name="ДДС.6" sheetId="48" state="hidden" r:id="rId32"/>
  </sheets>
  <externalReferences>
    <externalReference r:id="rId33"/>
  </externalReferences>
  <definedNames>
    <definedName name="_xlnm._FilterDatabase" localSheetId="22" hidden="1">ДДС.1!$A$7:$M$736</definedName>
    <definedName name="_xlnm._FilterDatabase" localSheetId="23" hidden="1">ДДС.2!$A$7:$M$696</definedName>
    <definedName name="_xlnm._FilterDatabase" localSheetId="16" hidden="1">ОПИУ.1!$A$7:$K$336</definedName>
    <definedName name="_xlnm._FilterDatabase" localSheetId="9" hidden="1">ОСВ.1!$A$7:$M$171</definedName>
    <definedName name="_xlnm._FilterDatabase" localSheetId="10" hidden="1">ОСВ.2!$A$7:$M$171</definedName>
    <definedName name="_xlnm._FilterDatabase" localSheetId="24" hidden="1">Справочник!$A$1:$M$302</definedName>
    <definedName name="_xlnm._FilterDatabase" localSheetId="5" hidden="1">ФО.4!$A$39:$I$48</definedName>
    <definedName name="_xlnm.Print_Area" localSheetId="2">ФО.1!$A$11:$E$93</definedName>
    <definedName name="_xlnm.Print_Area" localSheetId="3">ФО.2!$A$11:$D$67</definedName>
    <definedName name="_xlnm.Print_Area" localSheetId="4">ФО.3_П!$A$11:$D$87</definedName>
    <definedName name="_xlnm.Print_Area" localSheetId="5">ФО.4!$A$12:$I$102</definedName>
  </definedNames>
  <calcPr calcId="124519"/>
</workbook>
</file>

<file path=xl/calcChain.xml><?xml version="1.0" encoding="utf-8"?>
<calcChain xmlns="http://schemas.openxmlformats.org/spreadsheetml/2006/main">
  <c r="D86" i="19"/>
  <c r="I11" i="51"/>
  <c r="I10"/>
  <c r="G11"/>
  <c r="G10"/>
  <c r="I4"/>
  <c r="I3"/>
  <c r="I2"/>
  <c r="G4"/>
  <c r="G3"/>
  <c r="G2"/>
  <c r="F46" i="48" l="1"/>
  <c r="E46"/>
  <c r="E23" i="49"/>
  <c r="E24"/>
  <c r="C46" i="41" l="1"/>
  <c r="C8"/>
  <c r="F46" i="35"/>
  <c r="D83"/>
  <c r="M33" i="40"/>
  <c r="C33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B69"/>
  <c r="B70"/>
  <c r="B71"/>
  <c r="B72"/>
  <c r="B73"/>
  <c r="B74"/>
  <c r="B75"/>
  <c r="B76"/>
  <c r="B77"/>
  <c r="B78"/>
  <c r="B79"/>
  <c r="B80"/>
  <c r="B81"/>
  <c r="B82"/>
  <c r="B83"/>
  <c r="B56"/>
  <c r="B57"/>
  <c r="B58"/>
  <c r="B59"/>
  <c r="B60"/>
  <c r="B61"/>
  <c r="B62"/>
  <c r="B63"/>
  <c r="B64"/>
  <c r="B65"/>
  <c r="B66"/>
  <c r="B67"/>
  <c r="B68"/>
  <c r="B44"/>
  <c r="B45"/>
  <c r="B46"/>
  <c r="B47"/>
  <c r="B48"/>
  <c r="B49"/>
  <c r="B50"/>
  <c r="B51"/>
  <c r="B52"/>
  <c r="B53"/>
  <c r="B54"/>
  <c r="B55"/>
  <c r="B29"/>
  <c r="B30"/>
  <c r="B31"/>
  <c r="B32"/>
  <c r="B33"/>
  <c r="B34"/>
  <c r="B35"/>
  <c r="B36"/>
  <c r="B37"/>
  <c r="B38"/>
  <c r="B39"/>
  <c r="B40"/>
  <c r="B41"/>
  <c r="B42"/>
  <c r="B43"/>
  <c r="B18"/>
  <c r="B19"/>
  <c r="B20"/>
  <c r="B21"/>
  <c r="B22"/>
  <c r="B23"/>
  <c r="B24"/>
  <c r="B25"/>
  <c r="B26"/>
  <c r="B27"/>
  <c r="B28"/>
  <c r="B9"/>
  <c r="B10"/>
  <c r="B11"/>
  <c r="B12"/>
  <c r="B13"/>
  <c r="B14"/>
  <c r="B15"/>
  <c r="B16"/>
  <c r="B17"/>
  <c r="L75"/>
  <c r="M58"/>
  <c r="M57"/>
  <c r="M45"/>
  <c r="M46"/>
  <c r="M47"/>
  <c r="M48"/>
  <c r="M49"/>
  <c r="M50"/>
  <c r="M44"/>
  <c r="M43"/>
  <c r="M42"/>
  <c r="M41"/>
  <c r="M40"/>
  <c r="M36"/>
  <c r="M37"/>
  <c r="M38"/>
  <c r="M39"/>
  <c r="M35"/>
  <c r="M34"/>
  <c r="L30"/>
  <c r="L31"/>
  <c r="M32"/>
  <c r="L19"/>
  <c r="L17"/>
  <c r="L18"/>
  <c r="L16"/>
  <c r="L15"/>
  <c r="L10"/>
  <c r="L11"/>
  <c r="L12"/>
  <c r="L13"/>
  <c r="L14"/>
  <c r="L9"/>
  <c r="L8"/>
  <c r="I57"/>
  <c r="I58"/>
  <c r="I75"/>
  <c r="D50"/>
  <c r="D30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I43"/>
  <c r="I34"/>
  <c r="H30"/>
  <c r="H17"/>
  <c r="H15" s="1"/>
  <c r="H8"/>
  <c r="E23" i="39"/>
  <c r="E23" i="46"/>
  <c r="E42" i="35"/>
  <c r="E43"/>
  <c r="E44"/>
  <c r="E45"/>
  <c r="E47"/>
  <c r="E46"/>
  <c r="C84" l="1"/>
  <c r="H75" i="40"/>
  <c r="E30" i="38"/>
  <c r="K80" i="48"/>
  <c r="J80"/>
  <c r="D80"/>
  <c r="C80"/>
  <c r="M77"/>
  <c r="L77"/>
  <c r="F77"/>
  <c r="E77"/>
  <c r="M76"/>
  <c r="L76"/>
  <c r="F76"/>
  <c r="E76"/>
  <c r="M75"/>
  <c r="L75"/>
  <c r="F75"/>
  <c r="E75"/>
  <c r="M74"/>
  <c r="L74"/>
  <c r="F74"/>
  <c r="E74"/>
  <c r="M73"/>
  <c r="L73"/>
  <c r="F73"/>
  <c r="E73"/>
  <c r="M72"/>
  <c r="L72"/>
  <c r="F72"/>
  <c r="E72"/>
  <c r="M71"/>
  <c r="L71"/>
  <c r="F71"/>
  <c r="E71"/>
  <c r="M70"/>
  <c r="L70"/>
  <c r="F70"/>
  <c r="E70"/>
  <c r="M69"/>
  <c r="L69"/>
  <c r="F69"/>
  <c r="E69"/>
  <c r="M68"/>
  <c r="L68"/>
  <c r="F68"/>
  <c r="E68"/>
  <c r="M67"/>
  <c r="L67"/>
  <c r="F67"/>
  <c r="E67"/>
  <c r="M66"/>
  <c r="L66"/>
  <c r="F66"/>
  <c r="E66"/>
  <c r="M65"/>
  <c r="L65"/>
  <c r="F65"/>
  <c r="E65"/>
  <c r="M64"/>
  <c r="L64"/>
  <c r="M63"/>
  <c r="L63"/>
  <c r="M62"/>
  <c r="L62"/>
  <c r="F62"/>
  <c r="E62"/>
  <c r="M61"/>
  <c r="L61"/>
  <c r="F61"/>
  <c r="E61"/>
  <c r="M60"/>
  <c r="L60"/>
  <c r="F60"/>
  <c r="E60"/>
  <c r="M59"/>
  <c r="L59"/>
  <c r="F59"/>
  <c r="E59"/>
  <c r="M58"/>
  <c r="L58"/>
  <c r="F58"/>
  <c r="E58"/>
  <c r="M57"/>
  <c r="L57"/>
  <c r="F57"/>
  <c r="E57"/>
  <c r="M56"/>
  <c r="L56"/>
  <c r="F56"/>
  <c r="E56"/>
  <c r="M55"/>
  <c r="L55"/>
  <c r="F55"/>
  <c r="E55"/>
  <c r="M54"/>
  <c r="L54"/>
  <c r="F54"/>
  <c r="E54"/>
  <c r="M53"/>
  <c r="L53"/>
  <c r="F53"/>
  <c r="E53"/>
  <c r="M52"/>
  <c r="L52"/>
  <c r="F52"/>
  <c r="E52"/>
  <c r="M51"/>
  <c r="L51"/>
  <c r="F51"/>
  <c r="E51"/>
  <c r="M50"/>
  <c r="L50"/>
  <c r="F50"/>
  <c r="E50"/>
  <c r="M49"/>
  <c r="L49"/>
  <c r="F49"/>
  <c r="E49"/>
  <c r="M48"/>
  <c r="L48"/>
  <c r="F48"/>
  <c r="E48"/>
  <c r="M47"/>
  <c r="L47"/>
  <c r="M46"/>
  <c r="L46"/>
  <c r="M45"/>
  <c r="L45"/>
  <c r="F45"/>
  <c r="E45"/>
  <c r="M44"/>
  <c r="L44"/>
  <c r="F44"/>
  <c r="E44"/>
  <c r="M43"/>
  <c r="L43"/>
  <c r="F43"/>
  <c r="E43"/>
  <c r="M42"/>
  <c r="L42"/>
  <c r="F42"/>
  <c r="E42"/>
  <c r="M41"/>
  <c r="L41"/>
  <c r="F41"/>
  <c r="E41"/>
  <c r="M40"/>
  <c r="L40"/>
  <c r="F40"/>
  <c r="E40"/>
  <c r="M39"/>
  <c r="L39"/>
  <c r="F39"/>
  <c r="E39"/>
  <c r="M38"/>
  <c r="L38"/>
  <c r="F38"/>
  <c r="E38"/>
  <c r="M37"/>
  <c r="L37"/>
  <c r="F37"/>
  <c r="E37"/>
  <c r="M36"/>
  <c r="L36"/>
  <c r="F36"/>
  <c r="E36"/>
  <c r="M35"/>
  <c r="L35"/>
  <c r="F35"/>
  <c r="E35"/>
  <c r="M34"/>
  <c r="L34"/>
  <c r="F34"/>
  <c r="E34"/>
  <c r="M33"/>
  <c r="L33"/>
  <c r="F33"/>
  <c r="E33"/>
  <c r="M32"/>
  <c r="L32"/>
  <c r="F32"/>
  <c r="E32"/>
  <c r="M31"/>
  <c r="L31"/>
  <c r="F31"/>
  <c r="E31"/>
  <c r="M30"/>
  <c r="L30"/>
  <c r="F30"/>
  <c r="E30"/>
  <c r="M29"/>
  <c r="L29"/>
  <c r="F29"/>
  <c r="E29"/>
  <c r="M28"/>
  <c r="L28"/>
  <c r="F28"/>
  <c r="E28"/>
  <c r="M27"/>
  <c r="L27"/>
  <c r="F27"/>
  <c r="E27"/>
  <c r="M26"/>
  <c r="L26"/>
  <c r="F26"/>
  <c r="E26"/>
  <c r="M25"/>
  <c r="L25"/>
  <c r="F25"/>
  <c r="E25"/>
  <c r="M24"/>
  <c r="L24"/>
  <c r="F24"/>
  <c r="E24"/>
  <c r="M23"/>
  <c r="L23"/>
  <c r="F23"/>
  <c r="E23"/>
  <c r="M22"/>
  <c r="L22"/>
  <c r="F22"/>
  <c r="E22"/>
  <c r="M21"/>
  <c r="L21"/>
  <c r="F21"/>
  <c r="E21"/>
  <c r="M20"/>
  <c r="L20"/>
  <c r="F20"/>
  <c r="E20"/>
  <c r="M19"/>
  <c r="L19"/>
  <c r="F19"/>
  <c r="E19"/>
  <c r="M18"/>
  <c r="L18"/>
  <c r="F18"/>
  <c r="E18"/>
  <c r="M17"/>
  <c r="L17"/>
  <c r="F17"/>
  <c r="E17"/>
  <c r="M16"/>
  <c r="L16"/>
  <c r="F16"/>
  <c r="E16"/>
  <c r="M15"/>
  <c r="L15"/>
  <c r="F15"/>
  <c r="E15"/>
  <c r="M14"/>
  <c r="L14"/>
  <c r="F14"/>
  <c r="E14"/>
  <c r="M13"/>
  <c r="L13"/>
  <c r="F13"/>
  <c r="E13"/>
  <c r="M12"/>
  <c r="L12"/>
  <c r="F12"/>
  <c r="E12"/>
  <c r="M11"/>
  <c r="L11"/>
  <c r="F11"/>
  <c r="E11"/>
  <c r="M10"/>
  <c r="L10"/>
  <c r="F10"/>
  <c r="E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M9"/>
  <c r="L9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F9"/>
  <c r="E9"/>
  <c r="A9"/>
  <c r="E52" i="49"/>
  <c r="K51"/>
  <c r="E51"/>
  <c r="A51"/>
  <c r="A52" s="1"/>
  <c r="K50"/>
  <c r="E50"/>
  <c r="K49"/>
  <c r="E49"/>
  <c r="A49"/>
  <c r="K48"/>
  <c r="E48"/>
  <c r="K47"/>
  <c r="E47"/>
  <c r="K46"/>
  <c r="E46"/>
  <c r="K45"/>
  <c r="E45"/>
  <c r="K44"/>
  <c r="E44"/>
  <c r="K43"/>
  <c r="E43"/>
  <c r="A43"/>
  <c r="K42"/>
  <c r="E42"/>
  <c r="K41"/>
  <c r="E41"/>
  <c r="K40"/>
  <c r="E40"/>
  <c r="K39"/>
  <c r="E39"/>
  <c r="A39"/>
  <c r="K38"/>
  <c r="E38"/>
  <c r="K37"/>
  <c r="E37"/>
  <c r="K36"/>
  <c r="E36"/>
  <c r="K35"/>
  <c r="E35"/>
  <c r="K34"/>
  <c r="E34"/>
  <c r="K33"/>
  <c r="E33"/>
  <c r="K32"/>
  <c r="E32"/>
  <c r="K31"/>
  <c r="E31"/>
  <c r="K30"/>
  <c r="K29"/>
  <c r="E29"/>
  <c r="K28"/>
  <c r="E28"/>
  <c r="K27"/>
  <c r="E27"/>
  <c r="K26"/>
  <c r="E26"/>
  <c r="E25"/>
  <c r="K24"/>
  <c r="K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D171" i="50"/>
  <c r="C171"/>
  <c r="B171"/>
  <c r="D170"/>
  <c r="C170"/>
  <c r="B170"/>
  <c r="D169"/>
  <c r="C169"/>
  <c r="B169"/>
  <c r="D168"/>
  <c r="C168"/>
  <c r="B168"/>
  <c r="D167"/>
  <c r="C167"/>
  <c r="B167"/>
  <c r="D166"/>
  <c r="C166"/>
  <c r="B166"/>
  <c r="D165"/>
  <c r="C165"/>
  <c r="B165"/>
  <c r="D164"/>
  <c r="C164"/>
  <c r="B164"/>
  <c r="D163"/>
  <c r="C163"/>
  <c r="B163"/>
  <c r="D162"/>
  <c r="C162"/>
  <c r="B162"/>
  <c r="D161"/>
  <c r="C161"/>
  <c r="B161"/>
  <c r="D160"/>
  <c r="C160"/>
  <c r="B160"/>
  <c r="D159"/>
  <c r="C159"/>
  <c r="B159"/>
  <c r="D158"/>
  <c r="C158"/>
  <c r="B158"/>
  <c r="D157"/>
  <c r="C157"/>
  <c r="B157"/>
  <c r="D156"/>
  <c r="C156"/>
  <c r="B156"/>
  <c r="D155"/>
  <c r="C155"/>
  <c r="B155"/>
  <c r="D154"/>
  <c r="C154"/>
  <c r="B154"/>
  <c r="D153"/>
  <c r="C153"/>
  <c r="B153"/>
  <c r="D152"/>
  <c r="C152"/>
  <c r="B152"/>
  <c r="D151"/>
  <c r="C151"/>
  <c r="B151"/>
  <c r="D150"/>
  <c r="C150"/>
  <c r="B150"/>
  <c r="D149"/>
  <c r="C149"/>
  <c r="B149"/>
  <c r="D148"/>
  <c r="C148"/>
  <c r="B148"/>
  <c r="D147"/>
  <c r="C147"/>
  <c r="B147"/>
  <c r="D146"/>
  <c r="C146"/>
  <c r="B146"/>
  <c r="D145"/>
  <c r="C145"/>
  <c r="B145"/>
  <c r="D144"/>
  <c r="C144"/>
  <c r="B144"/>
  <c r="D143"/>
  <c r="C143"/>
  <c r="B143"/>
  <c r="D142"/>
  <c r="C142"/>
  <c r="B142"/>
  <c r="D141"/>
  <c r="C141"/>
  <c r="B141"/>
  <c r="D140"/>
  <c r="C140"/>
  <c r="B140"/>
  <c r="D139"/>
  <c r="C139"/>
  <c r="B139"/>
  <c r="D138"/>
  <c r="C138"/>
  <c r="B138"/>
  <c r="D137"/>
  <c r="C137"/>
  <c r="B137"/>
  <c r="D136"/>
  <c r="C136"/>
  <c r="B136"/>
  <c r="D135"/>
  <c r="C135"/>
  <c r="B135"/>
  <c r="D134"/>
  <c r="C134"/>
  <c r="B134"/>
  <c r="D133"/>
  <c r="C133"/>
  <c r="B133"/>
  <c r="D132"/>
  <c r="C132"/>
  <c r="B132"/>
  <c r="D131"/>
  <c r="C131"/>
  <c r="B131"/>
  <c r="D130"/>
  <c r="C130"/>
  <c r="B130"/>
  <c r="D129"/>
  <c r="C129"/>
  <c r="B129"/>
  <c r="D128"/>
  <c r="C128"/>
  <c r="B128"/>
  <c r="D127"/>
  <c r="C127"/>
  <c r="B127"/>
  <c r="D126"/>
  <c r="C126"/>
  <c r="B126"/>
  <c r="D125"/>
  <c r="C125"/>
  <c r="B125"/>
  <c r="D124"/>
  <c r="C124"/>
  <c r="B124"/>
  <c r="D123"/>
  <c r="C123"/>
  <c r="B123"/>
  <c r="D122"/>
  <c r="C122"/>
  <c r="B122"/>
  <c r="D121"/>
  <c r="C121"/>
  <c r="B121"/>
  <c r="D120"/>
  <c r="C120"/>
  <c r="B120"/>
  <c r="D119"/>
  <c r="C119"/>
  <c r="B119"/>
  <c r="D118"/>
  <c r="C118"/>
  <c r="B118"/>
  <c r="D117"/>
  <c r="C117"/>
  <c r="B117"/>
  <c r="D116"/>
  <c r="C116"/>
  <c r="B116"/>
  <c r="D115"/>
  <c r="C115"/>
  <c r="B115"/>
  <c r="D114"/>
  <c r="C114"/>
  <c r="B114"/>
  <c r="D113"/>
  <c r="C113"/>
  <c r="B113"/>
  <c r="D112"/>
  <c r="C112"/>
  <c r="B112"/>
  <c r="D111"/>
  <c r="C111"/>
  <c r="B111"/>
  <c r="D110"/>
  <c r="C110"/>
  <c r="B110"/>
  <c r="D109"/>
  <c r="C109"/>
  <c r="B109"/>
  <c r="D108"/>
  <c r="C108"/>
  <c r="B108"/>
  <c r="D107"/>
  <c r="C107"/>
  <c r="B107"/>
  <c r="D106"/>
  <c r="C106"/>
  <c r="B106"/>
  <c r="D105"/>
  <c r="C105"/>
  <c r="B105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C8"/>
  <c r="B8"/>
  <c r="D80" i="47"/>
  <c r="C80"/>
  <c r="M77"/>
  <c r="L77"/>
  <c r="F77"/>
  <c r="E77"/>
  <c r="M76"/>
  <c r="L76"/>
  <c r="F76"/>
  <c r="E76"/>
  <c r="M75"/>
  <c r="L75"/>
  <c r="F75"/>
  <c r="E75"/>
  <c r="M74"/>
  <c r="L74"/>
  <c r="F74"/>
  <c r="E74"/>
  <c r="M73"/>
  <c r="L73"/>
  <c r="F73"/>
  <c r="E73"/>
  <c r="M72"/>
  <c r="L72"/>
  <c r="F72"/>
  <c r="E72"/>
  <c r="M71"/>
  <c r="L71"/>
  <c r="F71"/>
  <c r="E71"/>
  <c r="M70"/>
  <c r="L70"/>
  <c r="F70"/>
  <c r="E70"/>
  <c r="M69"/>
  <c r="L69"/>
  <c r="F69"/>
  <c r="E69"/>
  <c r="M68"/>
  <c r="L68"/>
  <c r="F68"/>
  <c r="E68"/>
  <c r="M67"/>
  <c r="L67"/>
  <c r="F67"/>
  <c r="E67"/>
  <c r="M66"/>
  <c r="L66"/>
  <c r="F66"/>
  <c r="E66"/>
  <c r="M65"/>
  <c r="L65"/>
  <c r="F65"/>
  <c r="E65"/>
  <c r="M64"/>
  <c r="L64"/>
  <c r="M63"/>
  <c r="L63"/>
  <c r="M62"/>
  <c r="L62"/>
  <c r="F62"/>
  <c r="E62"/>
  <c r="M61"/>
  <c r="L61"/>
  <c r="F61"/>
  <c r="E61"/>
  <c r="M60"/>
  <c r="L60"/>
  <c r="F60"/>
  <c r="E60"/>
  <c r="M59"/>
  <c r="L59"/>
  <c r="F59"/>
  <c r="E59"/>
  <c r="M58"/>
  <c r="L58"/>
  <c r="F58"/>
  <c r="E58"/>
  <c r="M57"/>
  <c r="L57"/>
  <c r="F57"/>
  <c r="E57"/>
  <c r="M56"/>
  <c r="L56"/>
  <c r="F56"/>
  <c r="E56"/>
  <c r="M55"/>
  <c r="L55"/>
  <c r="F55"/>
  <c r="E55"/>
  <c r="M54"/>
  <c r="L54"/>
  <c r="F54"/>
  <c r="E54"/>
  <c r="M53"/>
  <c r="L53"/>
  <c r="F53"/>
  <c r="E53"/>
  <c r="M52"/>
  <c r="L52"/>
  <c r="F52"/>
  <c r="E52"/>
  <c r="M51"/>
  <c r="L51"/>
  <c r="F51"/>
  <c r="E51"/>
  <c r="M50"/>
  <c r="L50"/>
  <c r="F50"/>
  <c r="E50"/>
  <c r="M49"/>
  <c r="L49"/>
  <c r="F49"/>
  <c r="E49"/>
  <c r="M48"/>
  <c r="L48"/>
  <c r="F48"/>
  <c r="E48"/>
  <c r="M47"/>
  <c r="L47"/>
  <c r="M46"/>
  <c r="L46"/>
  <c r="M45"/>
  <c r="L45"/>
  <c r="F45"/>
  <c r="E45"/>
  <c r="M44"/>
  <c r="L44"/>
  <c r="F44"/>
  <c r="E44"/>
  <c r="M43"/>
  <c r="L43"/>
  <c r="F43"/>
  <c r="E43"/>
  <c r="M42"/>
  <c r="L42"/>
  <c r="F42"/>
  <c r="E42"/>
  <c r="M41"/>
  <c r="L41"/>
  <c r="F41"/>
  <c r="E41"/>
  <c r="M40"/>
  <c r="L40"/>
  <c r="F40"/>
  <c r="E40"/>
  <c r="M39"/>
  <c r="L39"/>
  <c r="F39"/>
  <c r="E39"/>
  <c r="M38"/>
  <c r="L38"/>
  <c r="F38"/>
  <c r="E38"/>
  <c r="M37"/>
  <c r="L37"/>
  <c r="F37"/>
  <c r="E37"/>
  <c r="M36"/>
  <c r="L36"/>
  <c r="F36"/>
  <c r="E36"/>
  <c r="M35"/>
  <c r="L35"/>
  <c r="F35"/>
  <c r="E35"/>
  <c r="M34"/>
  <c r="L34"/>
  <c r="F34"/>
  <c r="E34"/>
  <c r="M33"/>
  <c r="L33"/>
  <c r="F33"/>
  <c r="E33"/>
  <c r="M32"/>
  <c r="L32"/>
  <c r="F32"/>
  <c r="E32"/>
  <c r="M31"/>
  <c r="L31"/>
  <c r="F31"/>
  <c r="E31"/>
  <c r="M30"/>
  <c r="L30"/>
  <c r="F30"/>
  <c r="E30"/>
  <c r="M29"/>
  <c r="L29"/>
  <c r="F29"/>
  <c r="E29"/>
  <c r="M28"/>
  <c r="L28"/>
  <c r="F28"/>
  <c r="E28"/>
  <c r="M27"/>
  <c r="L27"/>
  <c r="F27"/>
  <c r="E27"/>
  <c r="M26"/>
  <c r="L26"/>
  <c r="F26"/>
  <c r="E26"/>
  <c r="M25"/>
  <c r="L25"/>
  <c r="F25"/>
  <c r="E25"/>
  <c r="M24"/>
  <c r="L24"/>
  <c r="F24"/>
  <c r="E24"/>
  <c r="M23"/>
  <c r="L23"/>
  <c r="K80"/>
  <c r="J80"/>
  <c r="F23"/>
  <c r="E23"/>
  <c r="M22"/>
  <c r="L22"/>
  <c r="F22"/>
  <c r="E22"/>
  <c r="M21"/>
  <c r="L21"/>
  <c r="F21"/>
  <c r="E21"/>
  <c r="M20"/>
  <c r="L20"/>
  <c r="F20"/>
  <c r="E20"/>
  <c r="M19"/>
  <c r="L19"/>
  <c r="F19"/>
  <c r="E19"/>
  <c r="M18"/>
  <c r="L18"/>
  <c r="F18"/>
  <c r="E18"/>
  <c r="M17"/>
  <c r="L17"/>
  <c r="F17"/>
  <c r="E17"/>
  <c r="M16"/>
  <c r="L16"/>
  <c r="F16"/>
  <c r="E16"/>
  <c r="M15"/>
  <c r="L15"/>
  <c r="F15"/>
  <c r="E15"/>
  <c r="M14"/>
  <c r="L14"/>
  <c r="F14"/>
  <c r="E14"/>
  <c r="M13"/>
  <c r="L13"/>
  <c r="F13"/>
  <c r="E13"/>
  <c r="M12"/>
  <c r="L12"/>
  <c r="F12"/>
  <c r="E12"/>
  <c r="M11"/>
  <c r="L11"/>
  <c r="F11"/>
  <c r="E11"/>
  <c r="M10"/>
  <c r="L10"/>
  <c r="F10"/>
  <c r="E10"/>
  <c r="M9"/>
  <c r="L9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F9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E52" i="46"/>
  <c r="K51"/>
  <c r="E51"/>
  <c r="A51"/>
  <c r="A52" s="1"/>
  <c r="K50"/>
  <c r="E50"/>
  <c r="K49"/>
  <c r="E49"/>
  <c r="A49"/>
  <c r="K48"/>
  <c r="E48"/>
  <c r="K47"/>
  <c r="E47"/>
  <c r="K46"/>
  <c r="E46"/>
  <c r="K45"/>
  <c r="E45"/>
  <c r="K44"/>
  <c r="E44"/>
  <c r="K43"/>
  <c r="E43"/>
  <c r="A43"/>
  <c r="K42"/>
  <c r="E42"/>
  <c r="K41"/>
  <c r="E41"/>
  <c r="K40"/>
  <c r="E40"/>
  <c r="K39"/>
  <c r="E39"/>
  <c r="A39"/>
  <c r="K38"/>
  <c r="E38"/>
  <c r="K37"/>
  <c r="E37"/>
  <c r="K36"/>
  <c r="E36"/>
  <c r="K35"/>
  <c r="E35"/>
  <c r="K34"/>
  <c r="E34"/>
  <c r="K33"/>
  <c r="E33"/>
  <c r="K32"/>
  <c r="E32"/>
  <c r="K31"/>
  <c r="E31"/>
  <c r="K30"/>
  <c r="K29"/>
  <c r="E29"/>
  <c r="K28"/>
  <c r="E28"/>
  <c r="K27"/>
  <c r="E27"/>
  <c r="K26"/>
  <c r="E26"/>
  <c r="E25"/>
  <c r="K24"/>
  <c r="E24"/>
  <c r="K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D171" i="45"/>
  <c r="C171"/>
  <c r="B171"/>
  <c r="D170"/>
  <c r="C170"/>
  <c r="B170"/>
  <c r="D169"/>
  <c r="C169"/>
  <c r="B169"/>
  <c r="D168"/>
  <c r="C168"/>
  <c r="B168"/>
  <c r="D167"/>
  <c r="C167"/>
  <c r="B167"/>
  <c r="D166"/>
  <c r="C166"/>
  <c r="B166"/>
  <c r="D165"/>
  <c r="C165"/>
  <c r="B165"/>
  <c r="D164"/>
  <c r="C164"/>
  <c r="B164"/>
  <c r="D163"/>
  <c r="C163"/>
  <c r="B163"/>
  <c r="D162"/>
  <c r="C162"/>
  <c r="B162"/>
  <c r="D161"/>
  <c r="C161"/>
  <c r="B161"/>
  <c r="D160"/>
  <c r="C160"/>
  <c r="B160"/>
  <c r="D159"/>
  <c r="C159"/>
  <c r="B159"/>
  <c r="D158"/>
  <c r="C158"/>
  <c r="B158"/>
  <c r="D157"/>
  <c r="C157"/>
  <c r="B157"/>
  <c r="D156"/>
  <c r="C156"/>
  <c r="B156"/>
  <c r="D155"/>
  <c r="C155"/>
  <c r="B155"/>
  <c r="D154"/>
  <c r="C154"/>
  <c r="B154"/>
  <c r="D153"/>
  <c r="C153"/>
  <c r="B153"/>
  <c r="D152"/>
  <c r="C152"/>
  <c r="B152"/>
  <c r="D151"/>
  <c r="C151"/>
  <c r="B151"/>
  <c r="D150"/>
  <c r="C150"/>
  <c r="B150"/>
  <c r="D149"/>
  <c r="C149"/>
  <c r="B149"/>
  <c r="D148"/>
  <c r="C148"/>
  <c r="B148"/>
  <c r="D147"/>
  <c r="C147"/>
  <c r="B147"/>
  <c r="D146"/>
  <c r="C146"/>
  <c r="B146"/>
  <c r="D145"/>
  <c r="C145"/>
  <c r="B145"/>
  <c r="D144"/>
  <c r="C144"/>
  <c r="B144"/>
  <c r="D143"/>
  <c r="C143"/>
  <c r="B143"/>
  <c r="D142"/>
  <c r="C142"/>
  <c r="B142"/>
  <c r="D141"/>
  <c r="C141"/>
  <c r="B141"/>
  <c r="D140"/>
  <c r="C140"/>
  <c r="B140"/>
  <c r="D139"/>
  <c r="C139"/>
  <c r="B139"/>
  <c r="D138"/>
  <c r="C138"/>
  <c r="B138"/>
  <c r="D137"/>
  <c r="C137"/>
  <c r="B137"/>
  <c r="D136"/>
  <c r="C136"/>
  <c r="B136"/>
  <c r="D135"/>
  <c r="C135"/>
  <c r="B135"/>
  <c r="D134"/>
  <c r="C134"/>
  <c r="B134"/>
  <c r="D133"/>
  <c r="C133"/>
  <c r="B133"/>
  <c r="D132"/>
  <c r="C132"/>
  <c r="B132"/>
  <c r="D131"/>
  <c r="C131"/>
  <c r="B131"/>
  <c r="D130"/>
  <c r="C130"/>
  <c r="B130"/>
  <c r="D129"/>
  <c r="C129"/>
  <c r="B129"/>
  <c r="D128"/>
  <c r="C128"/>
  <c r="B128"/>
  <c r="D127"/>
  <c r="C127"/>
  <c r="B127"/>
  <c r="D126"/>
  <c r="C126"/>
  <c r="B126"/>
  <c r="D125"/>
  <c r="C125"/>
  <c r="B125"/>
  <c r="D124"/>
  <c r="C124"/>
  <c r="B124"/>
  <c r="D123"/>
  <c r="C123"/>
  <c r="B123"/>
  <c r="D122"/>
  <c r="C122"/>
  <c r="B122"/>
  <c r="D121"/>
  <c r="C121"/>
  <c r="B121"/>
  <c r="D120"/>
  <c r="C120"/>
  <c r="B120"/>
  <c r="D119"/>
  <c r="C119"/>
  <c r="B119"/>
  <c r="D118"/>
  <c r="C118"/>
  <c r="B118"/>
  <c r="D117"/>
  <c r="C117"/>
  <c r="B117"/>
  <c r="D116"/>
  <c r="C116"/>
  <c r="B116"/>
  <c r="D115"/>
  <c r="C115"/>
  <c r="B115"/>
  <c r="D114"/>
  <c r="C114"/>
  <c r="B114"/>
  <c r="D113"/>
  <c r="C113"/>
  <c r="B113"/>
  <c r="D112"/>
  <c r="C112"/>
  <c r="B112"/>
  <c r="D111"/>
  <c r="C111"/>
  <c r="B111"/>
  <c r="D110"/>
  <c r="C110"/>
  <c r="B110"/>
  <c r="D109"/>
  <c r="C109"/>
  <c r="B109"/>
  <c r="D108"/>
  <c r="C108"/>
  <c r="B108"/>
  <c r="D107"/>
  <c r="C107"/>
  <c r="B107"/>
  <c r="D106"/>
  <c r="C106"/>
  <c r="B106"/>
  <c r="D105"/>
  <c r="C105"/>
  <c r="B105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C8"/>
  <c r="B8"/>
  <c r="K23" i="44"/>
  <c r="J23"/>
  <c r="J24"/>
  <c r="J8"/>
  <c r="K80"/>
  <c r="J80"/>
  <c r="D80"/>
  <c r="C80"/>
  <c r="M77"/>
  <c r="L77"/>
  <c r="F77"/>
  <c r="E77"/>
  <c r="M76"/>
  <c r="L76"/>
  <c r="F76"/>
  <c r="E76"/>
  <c r="M75"/>
  <c r="L75"/>
  <c r="F75"/>
  <c r="E75"/>
  <c r="M74"/>
  <c r="L74"/>
  <c r="F74"/>
  <c r="E74"/>
  <c r="M73"/>
  <c r="L73"/>
  <c r="F73"/>
  <c r="E73"/>
  <c r="M72"/>
  <c r="L72"/>
  <c r="F72"/>
  <c r="E72"/>
  <c r="M71"/>
  <c r="L71"/>
  <c r="F71"/>
  <c r="E71"/>
  <c r="M70"/>
  <c r="L70"/>
  <c r="F70"/>
  <c r="E70"/>
  <c r="M69"/>
  <c r="L69"/>
  <c r="F69"/>
  <c r="E69"/>
  <c r="M68"/>
  <c r="L68"/>
  <c r="F68"/>
  <c r="E68"/>
  <c r="M67"/>
  <c r="L67"/>
  <c r="F67"/>
  <c r="E67"/>
  <c r="M66"/>
  <c r="L66"/>
  <c r="F66"/>
  <c r="E66"/>
  <c r="M65"/>
  <c r="L65"/>
  <c r="F65"/>
  <c r="E65"/>
  <c r="M64"/>
  <c r="L64"/>
  <c r="M63"/>
  <c r="L63"/>
  <c r="M62"/>
  <c r="L62"/>
  <c r="F62"/>
  <c r="E62"/>
  <c r="M61"/>
  <c r="L61"/>
  <c r="F61"/>
  <c r="E61"/>
  <c r="M60"/>
  <c r="L60"/>
  <c r="F60"/>
  <c r="E60"/>
  <c r="M59"/>
  <c r="L59"/>
  <c r="F59"/>
  <c r="E59"/>
  <c r="M58"/>
  <c r="L58"/>
  <c r="F58"/>
  <c r="E58"/>
  <c r="M57"/>
  <c r="L57"/>
  <c r="F57"/>
  <c r="E57"/>
  <c r="M56"/>
  <c r="L56"/>
  <c r="F56"/>
  <c r="E56"/>
  <c r="M55"/>
  <c r="L55"/>
  <c r="F55"/>
  <c r="E55"/>
  <c r="M54"/>
  <c r="L54"/>
  <c r="F54"/>
  <c r="E54"/>
  <c r="M53"/>
  <c r="L53"/>
  <c r="F53"/>
  <c r="E53"/>
  <c r="M52"/>
  <c r="L52"/>
  <c r="F52"/>
  <c r="E52"/>
  <c r="M51"/>
  <c r="L51"/>
  <c r="F51"/>
  <c r="E51"/>
  <c r="M50"/>
  <c r="L50"/>
  <c r="F50"/>
  <c r="E50"/>
  <c r="M49"/>
  <c r="L49"/>
  <c r="F49"/>
  <c r="E49"/>
  <c r="M48"/>
  <c r="L48"/>
  <c r="F48"/>
  <c r="E48"/>
  <c r="M47"/>
  <c r="L47"/>
  <c r="M46"/>
  <c r="L46"/>
  <c r="M45"/>
  <c r="L45"/>
  <c r="F45"/>
  <c r="E45"/>
  <c r="M44"/>
  <c r="L44"/>
  <c r="F44"/>
  <c r="E44"/>
  <c r="M43"/>
  <c r="L43"/>
  <c r="F43"/>
  <c r="E43"/>
  <c r="M42"/>
  <c r="L42"/>
  <c r="F42"/>
  <c r="E42"/>
  <c r="M41"/>
  <c r="L41"/>
  <c r="F41"/>
  <c r="E41"/>
  <c r="M40"/>
  <c r="L40"/>
  <c r="F40"/>
  <c r="E40"/>
  <c r="M39"/>
  <c r="L39"/>
  <c r="F39"/>
  <c r="E39"/>
  <c r="M38"/>
  <c r="L38"/>
  <c r="F38"/>
  <c r="E38"/>
  <c r="M37"/>
  <c r="L37"/>
  <c r="F37"/>
  <c r="E37"/>
  <c r="M36"/>
  <c r="L36"/>
  <c r="F36"/>
  <c r="E36"/>
  <c r="M35"/>
  <c r="L35"/>
  <c r="F35"/>
  <c r="E35"/>
  <c r="M34"/>
  <c r="L34"/>
  <c r="F34"/>
  <c r="E34"/>
  <c r="M33"/>
  <c r="L33"/>
  <c r="F33"/>
  <c r="E33"/>
  <c r="M32"/>
  <c r="L32"/>
  <c r="F32"/>
  <c r="E32"/>
  <c r="M31"/>
  <c r="L31"/>
  <c r="F31"/>
  <c r="E31"/>
  <c r="M30"/>
  <c r="L30"/>
  <c r="F30"/>
  <c r="E30"/>
  <c r="M29"/>
  <c r="L29"/>
  <c r="F29"/>
  <c r="E29"/>
  <c r="M28"/>
  <c r="L28"/>
  <c r="F28"/>
  <c r="E28"/>
  <c r="M27"/>
  <c r="L27"/>
  <c r="F27"/>
  <c r="E27"/>
  <c r="M26"/>
  <c r="L26"/>
  <c r="F26"/>
  <c r="E26"/>
  <c r="M25"/>
  <c r="L25"/>
  <c r="F25"/>
  <c r="E25"/>
  <c r="M24"/>
  <c r="L24"/>
  <c r="F24"/>
  <c r="E24"/>
  <c r="M23"/>
  <c r="L23"/>
  <c r="F23"/>
  <c r="E23"/>
  <c r="M22"/>
  <c r="L22"/>
  <c r="F22"/>
  <c r="E22"/>
  <c r="M21"/>
  <c r="L21"/>
  <c r="F21"/>
  <c r="E21"/>
  <c r="M20"/>
  <c r="L20"/>
  <c r="F20"/>
  <c r="E20"/>
  <c r="M19"/>
  <c r="L19"/>
  <c r="F19"/>
  <c r="E19"/>
  <c r="M18"/>
  <c r="L18"/>
  <c r="F18"/>
  <c r="E18"/>
  <c r="M17"/>
  <c r="L17"/>
  <c r="F17"/>
  <c r="E17"/>
  <c r="M16"/>
  <c r="L16"/>
  <c r="F16"/>
  <c r="E16"/>
  <c r="M15"/>
  <c r="L15"/>
  <c r="F15"/>
  <c r="E15"/>
  <c r="M14"/>
  <c r="L14"/>
  <c r="F14"/>
  <c r="E14"/>
  <c r="M13"/>
  <c r="L13"/>
  <c r="F13"/>
  <c r="E13"/>
  <c r="M12"/>
  <c r="L12"/>
  <c r="F12"/>
  <c r="E12"/>
  <c r="M11"/>
  <c r="L11"/>
  <c r="F11"/>
  <c r="E11"/>
  <c r="M10"/>
  <c r="L10"/>
  <c r="F10"/>
  <c r="E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M9"/>
  <c r="L9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F9"/>
  <c r="E9"/>
  <c r="A9"/>
  <c r="E52" i="43"/>
  <c r="K51"/>
  <c r="E51"/>
  <c r="A51"/>
  <c r="A52" s="1"/>
  <c r="K50"/>
  <c r="E50"/>
  <c r="K49"/>
  <c r="E49"/>
  <c r="A49"/>
  <c r="K48"/>
  <c r="E48"/>
  <c r="K47"/>
  <c r="E47"/>
  <c r="K46"/>
  <c r="E46"/>
  <c r="K45"/>
  <c r="E45"/>
  <c r="K44"/>
  <c r="E44"/>
  <c r="K43"/>
  <c r="E43"/>
  <c r="A43"/>
  <c r="K42"/>
  <c r="E42"/>
  <c r="K41"/>
  <c r="E41"/>
  <c r="K40"/>
  <c r="E40"/>
  <c r="K39"/>
  <c r="E39"/>
  <c r="A39"/>
  <c r="K38"/>
  <c r="E38"/>
  <c r="K37"/>
  <c r="E37"/>
  <c r="K36"/>
  <c r="E36"/>
  <c r="K35"/>
  <c r="E35"/>
  <c r="K34"/>
  <c r="E34"/>
  <c r="K33"/>
  <c r="E33"/>
  <c r="K32"/>
  <c r="E32"/>
  <c r="K31"/>
  <c r="E31"/>
  <c r="K30"/>
  <c r="K29"/>
  <c r="E29"/>
  <c r="K28"/>
  <c r="E28"/>
  <c r="K27"/>
  <c r="E27"/>
  <c r="K26"/>
  <c r="E26"/>
  <c r="E25"/>
  <c r="K24"/>
  <c r="E24"/>
  <c r="K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D171" i="42"/>
  <c r="C171"/>
  <c r="B171"/>
  <c r="D170"/>
  <c r="C170"/>
  <c r="B170"/>
  <c r="D169"/>
  <c r="C169"/>
  <c r="B169"/>
  <c r="D168"/>
  <c r="C168"/>
  <c r="B168"/>
  <c r="D167"/>
  <c r="C167"/>
  <c r="B167"/>
  <c r="D166"/>
  <c r="C166"/>
  <c r="B166"/>
  <c r="D165"/>
  <c r="C165"/>
  <c r="B165"/>
  <c r="D164"/>
  <c r="C164"/>
  <c r="B164"/>
  <c r="D163"/>
  <c r="C163"/>
  <c r="B163"/>
  <c r="D162"/>
  <c r="C162"/>
  <c r="B162"/>
  <c r="D161"/>
  <c r="C161"/>
  <c r="B161"/>
  <c r="D160"/>
  <c r="C160"/>
  <c r="B160"/>
  <c r="D159"/>
  <c r="C159"/>
  <c r="B159"/>
  <c r="D158"/>
  <c r="C158"/>
  <c r="B158"/>
  <c r="D157"/>
  <c r="C157"/>
  <c r="B157"/>
  <c r="D156"/>
  <c r="C156"/>
  <c r="B156"/>
  <c r="D155"/>
  <c r="C155"/>
  <c r="B155"/>
  <c r="D154"/>
  <c r="C154"/>
  <c r="B154"/>
  <c r="D153"/>
  <c r="C153"/>
  <c r="B153"/>
  <c r="D152"/>
  <c r="C152"/>
  <c r="B152"/>
  <c r="D151"/>
  <c r="C151"/>
  <c r="B151"/>
  <c r="D150"/>
  <c r="C150"/>
  <c r="B150"/>
  <c r="D149"/>
  <c r="C149"/>
  <c r="B149"/>
  <c r="D148"/>
  <c r="C148"/>
  <c r="B148"/>
  <c r="D147"/>
  <c r="C147"/>
  <c r="B147"/>
  <c r="D146"/>
  <c r="C146"/>
  <c r="B146"/>
  <c r="D145"/>
  <c r="C145"/>
  <c r="B145"/>
  <c r="D144"/>
  <c r="C144"/>
  <c r="B144"/>
  <c r="D143"/>
  <c r="C143"/>
  <c r="B143"/>
  <c r="D142"/>
  <c r="C142"/>
  <c r="B142"/>
  <c r="D141"/>
  <c r="C141"/>
  <c r="B141"/>
  <c r="D140"/>
  <c r="C140"/>
  <c r="B140"/>
  <c r="D139"/>
  <c r="C139"/>
  <c r="B139"/>
  <c r="D138"/>
  <c r="C138"/>
  <c r="B138"/>
  <c r="D137"/>
  <c r="C137"/>
  <c r="B137"/>
  <c r="D136"/>
  <c r="C136"/>
  <c r="B136"/>
  <c r="D135"/>
  <c r="C135"/>
  <c r="B135"/>
  <c r="D134"/>
  <c r="C134"/>
  <c r="B134"/>
  <c r="D133"/>
  <c r="C133"/>
  <c r="B133"/>
  <c r="D132"/>
  <c r="C132"/>
  <c r="B132"/>
  <c r="D131"/>
  <c r="C131"/>
  <c r="B131"/>
  <c r="D130"/>
  <c r="C130"/>
  <c r="B130"/>
  <c r="D129"/>
  <c r="C129"/>
  <c r="B129"/>
  <c r="D128"/>
  <c r="C128"/>
  <c r="B128"/>
  <c r="D127"/>
  <c r="C127"/>
  <c r="B127"/>
  <c r="D126"/>
  <c r="C126"/>
  <c r="B126"/>
  <c r="D125"/>
  <c r="C125"/>
  <c r="B125"/>
  <c r="D124"/>
  <c r="C124"/>
  <c r="B124"/>
  <c r="D123"/>
  <c r="C123"/>
  <c r="B123"/>
  <c r="D122"/>
  <c r="C122"/>
  <c r="B122"/>
  <c r="D121"/>
  <c r="C121"/>
  <c r="B121"/>
  <c r="D120"/>
  <c r="C120"/>
  <c r="B120"/>
  <c r="D119"/>
  <c r="C119"/>
  <c r="B119"/>
  <c r="D118"/>
  <c r="C118"/>
  <c r="B118"/>
  <c r="D117"/>
  <c r="C117"/>
  <c r="B117"/>
  <c r="D116"/>
  <c r="C116"/>
  <c r="B116"/>
  <c r="D115"/>
  <c r="C115"/>
  <c r="B115"/>
  <c r="D114"/>
  <c r="C114"/>
  <c r="B114"/>
  <c r="D113"/>
  <c r="C113"/>
  <c r="B113"/>
  <c r="D112"/>
  <c r="C112"/>
  <c r="B112"/>
  <c r="D111"/>
  <c r="C111"/>
  <c r="B111"/>
  <c r="D110"/>
  <c r="C110"/>
  <c r="B110"/>
  <c r="D109"/>
  <c r="C109"/>
  <c r="B109"/>
  <c r="D108"/>
  <c r="C108"/>
  <c r="B108"/>
  <c r="D107"/>
  <c r="C107"/>
  <c r="B107"/>
  <c r="D106"/>
  <c r="C106"/>
  <c r="B106"/>
  <c r="D105"/>
  <c r="C105"/>
  <c r="B105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C8"/>
  <c r="B8"/>
  <c r="K80" i="41"/>
  <c r="J80"/>
  <c r="D80"/>
  <c r="C80"/>
  <c r="M77"/>
  <c r="L77"/>
  <c r="F77"/>
  <c r="E77"/>
  <c r="M76"/>
  <c r="L76"/>
  <c r="F76"/>
  <c r="E76"/>
  <c r="M75"/>
  <c r="L75"/>
  <c r="F75"/>
  <c r="E75"/>
  <c r="M74"/>
  <c r="L74"/>
  <c r="F74"/>
  <c r="E74"/>
  <c r="M73"/>
  <c r="L73"/>
  <c r="F73"/>
  <c r="E73"/>
  <c r="M72"/>
  <c r="L72"/>
  <c r="F72"/>
  <c r="E72"/>
  <c r="M71"/>
  <c r="L71"/>
  <c r="F71"/>
  <c r="E71"/>
  <c r="M70"/>
  <c r="L70"/>
  <c r="F70"/>
  <c r="E70"/>
  <c r="M69"/>
  <c r="L69"/>
  <c r="F69"/>
  <c r="E69"/>
  <c r="M68"/>
  <c r="L68"/>
  <c r="F68"/>
  <c r="E68"/>
  <c r="M67"/>
  <c r="L67"/>
  <c r="F67"/>
  <c r="E67"/>
  <c r="M66"/>
  <c r="L66"/>
  <c r="F66"/>
  <c r="E66"/>
  <c r="M65"/>
  <c r="L65"/>
  <c r="F65"/>
  <c r="E65"/>
  <c r="M64"/>
  <c r="L64"/>
  <c r="M63"/>
  <c r="L63"/>
  <c r="M62"/>
  <c r="L62"/>
  <c r="F62"/>
  <c r="E62"/>
  <c r="M61"/>
  <c r="L61"/>
  <c r="F61"/>
  <c r="E61"/>
  <c r="M60"/>
  <c r="L60"/>
  <c r="F60"/>
  <c r="E60"/>
  <c r="M59"/>
  <c r="L59"/>
  <c r="F59"/>
  <c r="E59"/>
  <c r="M58"/>
  <c r="L58"/>
  <c r="F58"/>
  <c r="E58"/>
  <c r="M57"/>
  <c r="L57"/>
  <c r="F57"/>
  <c r="E57"/>
  <c r="M56"/>
  <c r="L56"/>
  <c r="F56"/>
  <c r="E56"/>
  <c r="M55"/>
  <c r="L55"/>
  <c r="F55"/>
  <c r="E55"/>
  <c r="M54"/>
  <c r="L54"/>
  <c r="F54"/>
  <c r="E54"/>
  <c r="M53"/>
  <c r="L53"/>
  <c r="F53"/>
  <c r="E53"/>
  <c r="M52"/>
  <c r="L52"/>
  <c r="F52"/>
  <c r="E52"/>
  <c r="M51"/>
  <c r="L51"/>
  <c r="F51"/>
  <c r="E51"/>
  <c r="M50"/>
  <c r="L50"/>
  <c r="F50"/>
  <c r="E50"/>
  <c r="M49"/>
  <c r="L49"/>
  <c r="F49"/>
  <c r="E49"/>
  <c r="M48"/>
  <c r="L48"/>
  <c r="F48"/>
  <c r="E48"/>
  <c r="M47"/>
  <c r="L47"/>
  <c r="M46"/>
  <c r="L46"/>
  <c r="M45"/>
  <c r="L45"/>
  <c r="F45"/>
  <c r="E45"/>
  <c r="M44"/>
  <c r="L44"/>
  <c r="F44"/>
  <c r="E44"/>
  <c r="M43"/>
  <c r="L43"/>
  <c r="F43"/>
  <c r="E43"/>
  <c r="M42"/>
  <c r="L42"/>
  <c r="F42"/>
  <c r="E42"/>
  <c r="M41"/>
  <c r="L41"/>
  <c r="F41"/>
  <c r="E41"/>
  <c r="M40"/>
  <c r="L40"/>
  <c r="F40"/>
  <c r="E40"/>
  <c r="M39"/>
  <c r="L39"/>
  <c r="F39"/>
  <c r="E39"/>
  <c r="M38"/>
  <c r="L38"/>
  <c r="F38"/>
  <c r="E38"/>
  <c r="M37"/>
  <c r="L37"/>
  <c r="F37"/>
  <c r="E37"/>
  <c r="M36"/>
  <c r="L36"/>
  <c r="F36"/>
  <c r="E36"/>
  <c r="M35"/>
  <c r="L35"/>
  <c r="F35"/>
  <c r="E35"/>
  <c r="M34"/>
  <c r="L34"/>
  <c r="F34"/>
  <c r="E34"/>
  <c r="M33"/>
  <c r="L33"/>
  <c r="F33"/>
  <c r="E33"/>
  <c r="M32"/>
  <c r="L32"/>
  <c r="F32"/>
  <c r="E32"/>
  <c r="M31"/>
  <c r="L31"/>
  <c r="F31"/>
  <c r="E31"/>
  <c r="M30"/>
  <c r="L30"/>
  <c r="F30"/>
  <c r="E30"/>
  <c r="M29"/>
  <c r="L29"/>
  <c r="F29"/>
  <c r="E29"/>
  <c r="M28"/>
  <c r="L28"/>
  <c r="F28"/>
  <c r="E28"/>
  <c r="M27"/>
  <c r="L27"/>
  <c r="F27"/>
  <c r="E27"/>
  <c r="M26"/>
  <c r="L26"/>
  <c r="F26"/>
  <c r="E26"/>
  <c r="M25"/>
  <c r="L25"/>
  <c r="F25"/>
  <c r="E25"/>
  <c r="M24"/>
  <c r="L24"/>
  <c r="F24"/>
  <c r="E24"/>
  <c r="M23"/>
  <c r="L23"/>
  <c r="F23"/>
  <c r="E23"/>
  <c r="M22"/>
  <c r="L22"/>
  <c r="F22"/>
  <c r="E22"/>
  <c r="M21"/>
  <c r="L21"/>
  <c r="F21"/>
  <c r="E21"/>
  <c r="M20"/>
  <c r="L20"/>
  <c r="F20"/>
  <c r="E20"/>
  <c r="M19"/>
  <c r="L19"/>
  <c r="F19"/>
  <c r="E19"/>
  <c r="M18"/>
  <c r="L18"/>
  <c r="F18"/>
  <c r="E18"/>
  <c r="M17"/>
  <c r="L17"/>
  <c r="F17"/>
  <c r="E17"/>
  <c r="M16"/>
  <c r="L16"/>
  <c r="F16"/>
  <c r="E16"/>
  <c r="M15"/>
  <c r="L15"/>
  <c r="F15"/>
  <c r="E15"/>
  <c r="M14"/>
  <c r="L14"/>
  <c r="F14"/>
  <c r="E14"/>
  <c r="M13"/>
  <c r="L13"/>
  <c r="F13"/>
  <c r="E13"/>
  <c r="M12"/>
  <c r="L12"/>
  <c r="F12"/>
  <c r="E12"/>
  <c r="M11"/>
  <c r="L11"/>
  <c r="F11"/>
  <c r="E11"/>
  <c r="M10"/>
  <c r="L10"/>
  <c r="F10"/>
  <c r="E10"/>
  <c r="M9"/>
  <c r="L9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F9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D171" i="40"/>
  <c r="C171"/>
  <c r="B171"/>
  <c r="D170"/>
  <c r="C170"/>
  <c r="B170"/>
  <c r="D169"/>
  <c r="C169"/>
  <c r="B169"/>
  <c r="D168"/>
  <c r="C168"/>
  <c r="B168"/>
  <c r="D167"/>
  <c r="C167"/>
  <c r="B167"/>
  <c r="D166"/>
  <c r="C166"/>
  <c r="B166"/>
  <c r="D165"/>
  <c r="C165"/>
  <c r="B165"/>
  <c r="D164"/>
  <c r="C164"/>
  <c r="B164"/>
  <c r="D163"/>
  <c r="C163"/>
  <c r="B163"/>
  <c r="D162"/>
  <c r="C162"/>
  <c r="B162"/>
  <c r="D161"/>
  <c r="C161"/>
  <c r="B161"/>
  <c r="D160"/>
  <c r="C160"/>
  <c r="B160"/>
  <c r="D159"/>
  <c r="C159"/>
  <c r="B159"/>
  <c r="D158"/>
  <c r="C158"/>
  <c r="B158"/>
  <c r="D157"/>
  <c r="C157"/>
  <c r="B157"/>
  <c r="D156"/>
  <c r="C156"/>
  <c r="B156"/>
  <c r="D155"/>
  <c r="C155"/>
  <c r="B155"/>
  <c r="D154"/>
  <c r="C154"/>
  <c r="B154"/>
  <c r="D153"/>
  <c r="C153"/>
  <c r="B153"/>
  <c r="D152"/>
  <c r="C152"/>
  <c r="B152"/>
  <c r="D151"/>
  <c r="C151"/>
  <c r="B151"/>
  <c r="D150"/>
  <c r="C150"/>
  <c r="B150"/>
  <c r="D149"/>
  <c r="C149"/>
  <c r="B149"/>
  <c r="D148"/>
  <c r="C148"/>
  <c r="B148"/>
  <c r="D147"/>
  <c r="C147"/>
  <c r="B147"/>
  <c r="D146"/>
  <c r="C146"/>
  <c r="B146"/>
  <c r="D145"/>
  <c r="C145"/>
  <c r="B145"/>
  <c r="D144"/>
  <c r="C144"/>
  <c r="B144"/>
  <c r="D143"/>
  <c r="C143"/>
  <c r="B143"/>
  <c r="D142"/>
  <c r="C142"/>
  <c r="B142"/>
  <c r="D141"/>
  <c r="C141"/>
  <c r="B141"/>
  <c r="D140"/>
  <c r="C140"/>
  <c r="B140"/>
  <c r="D139"/>
  <c r="C139"/>
  <c r="B139"/>
  <c r="D138"/>
  <c r="C138"/>
  <c r="B138"/>
  <c r="D137"/>
  <c r="C137"/>
  <c r="B137"/>
  <c r="D136"/>
  <c r="C136"/>
  <c r="B136"/>
  <c r="D135"/>
  <c r="C135"/>
  <c r="B135"/>
  <c r="D134"/>
  <c r="C134"/>
  <c r="B134"/>
  <c r="D133"/>
  <c r="C133"/>
  <c r="B133"/>
  <c r="D132"/>
  <c r="C132"/>
  <c r="B132"/>
  <c r="D131"/>
  <c r="C131"/>
  <c r="B131"/>
  <c r="D130"/>
  <c r="C130"/>
  <c r="B130"/>
  <c r="D129"/>
  <c r="C129"/>
  <c r="B129"/>
  <c r="D128"/>
  <c r="C128"/>
  <c r="B128"/>
  <c r="D127"/>
  <c r="C127"/>
  <c r="B127"/>
  <c r="D126"/>
  <c r="C126"/>
  <c r="B126"/>
  <c r="D125"/>
  <c r="C125"/>
  <c r="B125"/>
  <c r="D124"/>
  <c r="C124"/>
  <c r="B124"/>
  <c r="D123"/>
  <c r="C123"/>
  <c r="B123"/>
  <c r="D122"/>
  <c r="C122"/>
  <c r="B122"/>
  <c r="D121"/>
  <c r="C121"/>
  <c r="B121"/>
  <c r="D120"/>
  <c r="C120"/>
  <c r="B120"/>
  <c r="D119"/>
  <c r="C119"/>
  <c r="B119"/>
  <c r="D118"/>
  <c r="C118"/>
  <c r="B118"/>
  <c r="D117"/>
  <c r="C117"/>
  <c r="B117"/>
  <c r="D116"/>
  <c r="C116"/>
  <c r="B116"/>
  <c r="D115"/>
  <c r="C115"/>
  <c r="B115"/>
  <c r="D114"/>
  <c r="C114"/>
  <c r="B114"/>
  <c r="D113"/>
  <c r="C113"/>
  <c r="B113"/>
  <c r="D112"/>
  <c r="C112"/>
  <c r="B112"/>
  <c r="D111"/>
  <c r="C111"/>
  <c r="B111"/>
  <c r="D110"/>
  <c r="C110"/>
  <c r="B110"/>
  <c r="D109"/>
  <c r="C109"/>
  <c r="B109"/>
  <c r="D108"/>
  <c r="C108"/>
  <c r="B108"/>
  <c r="D107"/>
  <c r="C107"/>
  <c r="B107"/>
  <c r="D106"/>
  <c r="C106"/>
  <c r="B106"/>
  <c r="D105"/>
  <c r="C105"/>
  <c r="B105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D82"/>
  <c r="C82"/>
  <c r="D81"/>
  <c r="D80"/>
  <c r="D79"/>
  <c r="D78"/>
  <c r="D77"/>
  <c r="D76"/>
  <c r="D75"/>
  <c r="D74"/>
  <c r="D73"/>
  <c r="D31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C8"/>
  <c r="B8"/>
  <c r="E52" i="39"/>
  <c r="K51"/>
  <c r="E51"/>
  <c r="A51"/>
  <c r="A52" s="1"/>
  <c r="K50"/>
  <c r="E50"/>
  <c r="K49"/>
  <c r="E49"/>
  <c r="A49"/>
  <c r="K48"/>
  <c r="E48"/>
  <c r="K47"/>
  <c r="E47"/>
  <c r="K46"/>
  <c r="E46"/>
  <c r="K45"/>
  <c r="E45"/>
  <c r="K44"/>
  <c r="E44"/>
  <c r="K43"/>
  <c r="E43"/>
  <c r="A43"/>
  <c r="K42"/>
  <c r="E42"/>
  <c r="K41"/>
  <c r="E41"/>
  <c r="K40"/>
  <c r="E40"/>
  <c r="K39"/>
  <c r="E39"/>
  <c r="A39"/>
  <c r="K38"/>
  <c r="E38"/>
  <c r="K37"/>
  <c r="E37"/>
  <c r="K36"/>
  <c r="E36"/>
  <c r="K35"/>
  <c r="E35"/>
  <c r="K34"/>
  <c r="E34"/>
  <c r="K33"/>
  <c r="E33"/>
  <c r="K32"/>
  <c r="E32"/>
  <c r="K31"/>
  <c r="E31"/>
  <c r="K30"/>
  <c r="K29"/>
  <c r="E29"/>
  <c r="K28"/>
  <c r="E28"/>
  <c r="K27"/>
  <c r="E27"/>
  <c r="K26"/>
  <c r="E26"/>
  <c r="E25"/>
  <c r="K24"/>
  <c r="E24"/>
  <c r="K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E52" i="32"/>
  <c r="A52"/>
  <c r="K51"/>
  <c r="E51"/>
  <c r="A51"/>
  <c r="K50"/>
  <c r="E50"/>
  <c r="K49"/>
  <c r="E49"/>
  <c r="A49"/>
  <c r="K48"/>
  <c r="E48"/>
  <c r="K47"/>
  <c r="E47"/>
  <c r="K46"/>
  <c r="E46"/>
  <c r="K45"/>
  <c r="E45"/>
  <c r="K44"/>
  <c r="E44"/>
  <c r="K43"/>
  <c r="E43"/>
  <c r="A43"/>
  <c r="K42"/>
  <c r="E42"/>
  <c r="K41"/>
  <c r="E41"/>
  <c r="K40"/>
  <c r="E40"/>
  <c r="K39"/>
  <c r="E39"/>
  <c r="A39"/>
  <c r="K38"/>
  <c r="E38"/>
  <c r="K37"/>
  <c r="E37"/>
  <c r="K36"/>
  <c r="E36"/>
  <c r="A36"/>
  <c r="K35"/>
  <c r="E35"/>
  <c r="K34"/>
  <c r="E34"/>
  <c r="K33"/>
  <c r="E33"/>
  <c r="A33"/>
  <c r="K32"/>
  <c r="E32"/>
  <c r="K31"/>
  <c r="E31"/>
  <c r="K30"/>
  <c r="K29"/>
  <c r="E29"/>
  <c r="K28"/>
  <c r="E28"/>
  <c r="K27"/>
  <c r="E27"/>
  <c r="K26"/>
  <c r="E26"/>
  <c r="E25"/>
  <c r="K24"/>
  <c r="E24"/>
  <c r="K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E52" i="38"/>
  <c r="K51"/>
  <c r="E51"/>
  <c r="A51"/>
  <c r="A52" s="1"/>
  <c r="K50"/>
  <c r="E50"/>
  <c r="K49"/>
  <c r="E49"/>
  <c r="A49"/>
  <c r="K48"/>
  <c r="E48"/>
  <c r="K47"/>
  <c r="E47"/>
  <c r="K46"/>
  <c r="E46"/>
  <c r="K45"/>
  <c r="E45"/>
  <c r="K44"/>
  <c r="E44"/>
  <c r="K43"/>
  <c r="E43"/>
  <c r="A43"/>
  <c r="K42"/>
  <c r="E42"/>
  <c r="K41"/>
  <c r="E41"/>
  <c r="K40"/>
  <c r="E40"/>
  <c r="K39"/>
  <c r="E39"/>
  <c r="A39"/>
  <c r="K38"/>
  <c r="E38"/>
  <c r="K37"/>
  <c r="E37"/>
  <c r="K36"/>
  <c r="E36"/>
  <c r="K35"/>
  <c r="E35"/>
  <c r="K34"/>
  <c r="E34"/>
  <c r="K33"/>
  <c r="E33"/>
  <c r="K32"/>
  <c r="E32"/>
  <c r="K31"/>
  <c r="E31"/>
  <c r="K30"/>
  <c r="K29"/>
  <c r="E29"/>
  <c r="K28"/>
  <c r="E28"/>
  <c r="K27"/>
  <c r="E27"/>
  <c r="K26"/>
  <c r="E26"/>
  <c r="E25"/>
  <c r="K24"/>
  <c r="E24"/>
  <c r="K23"/>
  <c r="K22"/>
  <c r="E22"/>
  <c r="K21"/>
  <c r="E21"/>
  <c r="K20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E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E9" i="3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8"/>
  <c r="E49"/>
  <c r="E50"/>
  <c r="E51"/>
  <c r="E52"/>
  <c r="E53"/>
  <c r="E54"/>
  <c r="E55"/>
  <c r="E56"/>
  <c r="K80"/>
  <c r="J80"/>
  <c r="D80"/>
  <c r="C80"/>
  <c r="M77"/>
  <c r="L77"/>
  <c r="F77"/>
  <c r="E77"/>
  <c r="M76"/>
  <c r="L76"/>
  <c r="F76"/>
  <c r="E76"/>
  <c r="M75"/>
  <c r="L75"/>
  <c r="F75"/>
  <c r="E75"/>
  <c r="M74"/>
  <c r="L74"/>
  <c r="F74"/>
  <c r="E74"/>
  <c r="M73"/>
  <c r="L73"/>
  <c r="F73"/>
  <c r="E73"/>
  <c r="M72"/>
  <c r="L72"/>
  <c r="F72"/>
  <c r="E72"/>
  <c r="M71"/>
  <c r="L71"/>
  <c r="F71"/>
  <c r="E71"/>
  <c r="M70"/>
  <c r="L70"/>
  <c r="F70"/>
  <c r="E70"/>
  <c r="M69"/>
  <c r="L69"/>
  <c r="F69"/>
  <c r="E69"/>
  <c r="M68"/>
  <c r="L68"/>
  <c r="F68"/>
  <c r="E68"/>
  <c r="M67"/>
  <c r="L67"/>
  <c r="F67"/>
  <c r="E67"/>
  <c r="M66"/>
  <c r="L66"/>
  <c r="F66"/>
  <c r="E66"/>
  <c r="M65"/>
  <c r="L65"/>
  <c r="F65"/>
  <c r="E65"/>
  <c r="M64"/>
  <c r="L64"/>
  <c r="M63"/>
  <c r="L63"/>
  <c r="M62"/>
  <c r="L62"/>
  <c r="F62"/>
  <c r="E62"/>
  <c r="M61"/>
  <c r="L61"/>
  <c r="F61"/>
  <c r="E61"/>
  <c r="M60"/>
  <c r="L60"/>
  <c r="F60"/>
  <c r="E60"/>
  <c r="M59"/>
  <c r="L59"/>
  <c r="F59"/>
  <c r="E59"/>
  <c r="M58"/>
  <c r="L58"/>
  <c r="F58"/>
  <c r="E58"/>
  <c r="M57"/>
  <c r="L57"/>
  <c r="F57"/>
  <c r="E57"/>
  <c r="M56"/>
  <c r="L56"/>
  <c r="F56"/>
  <c r="M55"/>
  <c r="L55"/>
  <c r="F55"/>
  <c r="M54"/>
  <c r="L54"/>
  <c r="F54"/>
  <c r="M53"/>
  <c r="L53"/>
  <c r="F53"/>
  <c r="M52"/>
  <c r="L52"/>
  <c r="F52"/>
  <c r="M51"/>
  <c r="L51"/>
  <c r="F51"/>
  <c r="M50"/>
  <c r="L50"/>
  <c r="F50"/>
  <c r="M49"/>
  <c r="L49"/>
  <c r="F49"/>
  <c r="M48"/>
  <c r="L48"/>
  <c r="F48"/>
  <c r="M47"/>
  <c r="L47"/>
  <c r="M46"/>
  <c r="L46"/>
  <c r="M45"/>
  <c r="L45"/>
  <c r="F45"/>
  <c r="M44"/>
  <c r="L44"/>
  <c r="F44"/>
  <c r="M43"/>
  <c r="L43"/>
  <c r="F43"/>
  <c r="M42"/>
  <c r="L42"/>
  <c r="F42"/>
  <c r="M41"/>
  <c r="L41"/>
  <c r="F41"/>
  <c r="M40"/>
  <c r="L40"/>
  <c r="F40"/>
  <c r="M39"/>
  <c r="L39"/>
  <c r="F39"/>
  <c r="M38"/>
  <c r="L38"/>
  <c r="F38"/>
  <c r="M37"/>
  <c r="L37"/>
  <c r="F37"/>
  <c r="M36"/>
  <c r="L36"/>
  <c r="F36"/>
  <c r="M35"/>
  <c r="L35"/>
  <c r="F35"/>
  <c r="M34"/>
  <c r="L34"/>
  <c r="F34"/>
  <c r="M33"/>
  <c r="L33"/>
  <c r="F33"/>
  <c r="M32"/>
  <c r="L32"/>
  <c r="F32"/>
  <c r="M31"/>
  <c r="L31"/>
  <c r="F31"/>
  <c r="M30"/>
  <c r="L30"/>
  <c r="F30"/>
  <c r="M29"/>
  <c r="L29"/>
  <c r="F29"/>
  <c r="M28"/>
  <c r="L28"/>
  <c r="F28"/>
  <c r="M27"/>
  <c r="L27"/>
  <c r="F27"/>
  <c r="M26"/>
  <c r="L26"/>
  <c r="F26"/>
  <c r="M25"/>
  <c r="L25"/>
  <c r="F25"/>
  <c r="M24"/>
  <c r="L24"/>
  <c r="F24"/>
  <c r="M23"/>
  <c r="L23"/>
  <c r="F23"/>
  <c r="M22"/>
  <c r="L22"/>
  <c r="F22"/>
  <c r="M21"/>
  <c r="L21"/>
  <c r="F21"/>
  <c r="M20"/>
  <c r="L20"/>
  <c r="F20"/>
  <c r="M19"/>
  <c r="L19"/>
  <c r="F19"/>
  <c r="M18"/>
  <c r="L18"/>
  <c r="F18"/>
  <c r="M17"/>
  <c r="L17"/>
  <c r="F17"/>
  <c r="M16"/>
  <c r="L16"/>
  <c r="F16"/>
  <c r="M15"/>
  <c r="L15"/>
  <c r="F15"/>
  <c r="M14"/>
  <c r="L14"/>
  <c r="F14"/>
  <c r="M13"/>
  <c r="L13"/>
  <c r="F13"/>
  <c r="M12"/>
  <c r="L12"/>
  <c r="F12"/>
  <c r="M11"/>
  <c r="L11"/>
  <c r="F11"/>
  <c r="M10"/>
  <c r="L10"/>
  <c r="F10"/>
  <c r="M9"/>
  <c r="L9"/>
  <c r="H9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F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D171" i="37"/>
  <c r="C171"/>
  <c r="B171"/>
  <c r="D170"/>
  <c r="C170"/>
  <c r="B170"/>
  <c r="D169"/>
  <c r="C169"/>
  <c r="B169"/>
  <c r="D168"/>
  <c r="C168"/>
  <c r="B168"/>
  <c r="D167"/>
  <c r="C167"/>
  <c r="B167"/>
  <c r="D166"/>
  <c r="C166"/>
  <c r="B166"/>
  <c r="D165"/>
  <c r="C165"/>
  <c r="B165"/>
  <c r="D164"/>
  <c r="C164"/>
  <c r="B164"/>
  <c r="D163"/>
  <c r="C163"/>
  <c r="B163"/>
  <c r="D162"/>
  <c r="C162"/>
  <c r="B162"/>
  <c r="D161"/>
  <c r="C161"/>
  <c r="B161"/>
  <c r="D160"/>
  <c r="C160"/>
  <c r="B160"/>
  <c r="D159"/>
  <c r="C159"/>
  <c r="B159"/>
  <c r="D158"/>
  <c r="C158"/>
  <c r="B158"/>
  <c r="D157"/>
  <c r="C157"/>
  <c r="B157"/>
  <c r="D156"/>
  <c r="C156"/>
  <c r="B156"/>
  <c r="D155"/>
  <c r="C155"/>
  <c r="B155"/>
  <c r="D154"/>
  <c r="C154"/>
  <c r="B154"/>
  <c r="D153"/>
  <c r="C153"/>
  <c r="B153"/>
  <c r="D152"/>
  <c r="C152"/>
  <c r="B152"/>
  <c r="D151"/>
  <c r="C151"/>
  <c r="B151"/>
  <c r="D150"/>
  <c r="C150"/>
  <c r="B150"/>
  <c r="D149"/>
  <c r="C149"/>
  <c r="B149"/>
  <c r="D148"/>
  <c r="C148"/>
  <c r="B148"/>
  <c r="D147"/>
  <c r="C147"/>
  <c r="B147"/>
  <c r="D146"/>
  <c r="C146"/>
  <c r="B146"/>
  <c r="D145"/>
  <c r="C145"/>
  <c r="B145"/>
  <c r="D144"/>
  <c r="C144"/>
  <c r="B144"/>
  <c r="D143"/>
  <c r="C143"/>
  <c r="B143"/>
  <c r="D142"/>
  <c r="C142"/>
  <c r="B142"/>
  <c r="D141"/>
  <c r="C141"/>
  <c r="B141"/>
  <c r="D140"/>
  <c r="C140"/>
  <c r="B140"/>
  <c r="D139"/>
  <c r="C139"/>
  <c r="B139"/>
  <c r="D138"/>
  <c r="C138"/>
  <c r="B138"/>
  <c r="D137"/>
  <c r="C137"/>
  <c r="B137"/>
  <c r="D136"/>
  <c r="C136"/>
  <c r="B136"/>
  <c r="D135"/>
  <c r="C135"/>
  <c r="B135"/>
  <c r="D134"/>
  <c r="C134"/>
  <c r="B134"/>
  <c r="D133"/>
  <c r="C133"/>
  <c r="B133"/>
  <c r="D132"/>
  <c r="C132"/>
  <c r="B132"/>
  <c r="D131"/>
  <c r="C131"/>
  <c r="B131"/>
  <c r="D130"/>
  <c r="C130"/>
  <c r="B130"/>
  <c r="D129"/>
  <c r="C129"/>
  <c r="B129"/>
  <c r="D128"/>
  <c r="C128"/>
  <c r="B128"/>
  <c r="D127"/>
  <c r="C127"/>
  <c r="B127"/>
  <c r="D126"/>
  <c r="C126"/>
  <c r="B126"/>
  <c r="D125"/>
  <c r="C125"/>
  <c r="B125"/>
  <c r="D124"/>
  <c r="C124"/>
  <c r="B124"/>
  <c r="D123"/>
  <c r="C123"/>
  <c r="B123"/>
  <c r="D122"/>
  <c r="C122"/>
  <c r="B122"/>
  <c r="D121"/>
  <c r="C121"/>
  <c r="B121"/>
  <c r="D120"/>
  <c r="C120"/>
  <c r="B120"/>
  <c r="D119"/>
  <c r="C119"/>
  <c r="B119"/>
  <c r="D118"/>
  <c r="C118"/>
  <c r="B118"/>
  <c r="D117"/>
  <c r="C117"/>
  <c r="B117"/>
  <c r="D116"/>
  <c r="C116"/>
  <c r="B116"/>
  <c r="D115"/>
  <c r="C115"/>
  <c r="B115"/>
  <c r="D114"/>
  <c r="C114"/>
  <c r="B114"/>
  <c r="D113"/>
  <c r="C113"/>
  <c r="B113"/>
  <c r="D112"/>
  <c r="C112"/>
  <c r="B112"/>
  <c r="D111"/>
  <c r="C111"/>
  <c r="B111"/>
  <c r="D110"/>
  <c r="C110"/>
  <c r="B110"/>
  <c r="D109"/>
  <c r="C109"/>
  <c r="B109"/>
  <c r="D108"/>
  <c r="C108"/>
  <c r="B108"/>
  <c r="D107"/>
  <c r="C107"/>
  <c r="B107"/>
  <c r="D106"/>
  <c r="C106"/>
  <c r="B106"/>
  <c r="D105"/>
  <c r="C105"/>
  <c r="B105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C8"/>
  <c r="B8"/>
  <c r="D44" i="31"/>
  <c r="D45"/>
  <c r="D46"/>
  <c r="D47"/>
  <c r="D48"/>
  <c r="D49"/>
  <c r="D50"/>
  <c r="D32"/>
  <c r="D33"/>
  <c r="D34"/>
  <c r="D35"/>
  <c r="D36"/>
  <c r="M59" i="33"/>
  <c r="M60"/>
  <c r="M61"/>
  <c r="L59"/>
  <c r="L60"/>
  <c r="L61"/>
  <c r="J81" i="41" l="1"/>
  <c r="C81" i="35"/>
  <c r="C81" i="47"/>
  <c r="J81" i="48"/>
  <c r="C81"/>
  <c r="J81" i="47"/>
  <c r="J81" i="44"/>
  <c r="C81"/>
  <c r="C81" i="41"/>
  <c r="J81" i="35"/>
  <c r="F52" i="33"/>
  <c r="F10"/>
  <c r="F11"/>
  <c r="F12"/>
  <c r="F13"/>
  <c r="F14"/>
  <c r="F15"/>
  <c r="F16"/>
  <c r="F17"/>
  <c r="F18"/>
  <c r="E10"/>
  <c r="E11"/>
  <c r="E12"/>
  <c r="E13"/>
  <c r="E14"/>
  <c r="E15"/>
  <c r="E16"/>
  <c r="E17"/>
  <c r="E18"/>
  <c r="D29" i="31"/>
  <c r="D30"/>
  <c r="D31"/>
  <c r="D80" i="33" l="1"/>
  <c r="C80"/>
  <c r="J80"/>
  <c r="K80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3"/>
  <c r="M53"/>
  <c r="L54"/>
  <c r="M54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8"/>
  <c r="F48"/>
  <c r="E49"/>
  <c r="F49"/>
  <c r="E50"/>
  <c r="F50"/>
  <c r="E51"/>
  <c r="F51"/>
  <c r="E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J81" l="1"/>
  <c r="C81"/>
  <c r="B129" i="31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B151"/>
  <c r="C151"/>
  <c r="D151"/>
  <c r="B152"/>
  <c r="C152"/>
  <c r="D152"/>
  <c r="B153"/>
  <c r="C153"/>
  <c r="D153"/>
  <c r="B154"/>
  <c r="C154"/>
  <c r="D154"/>
  <c r="B155"/>
  <c r="C155"/>
  <c r="D155"/>
  <c r="B156"/>
  <c r="C156"/>
  <c r="D156"/>
  <c r="B157"/>
  <c r="C157"/>
  <c r="D157"/>
  <c r="B158"/>
  <c r="C158"/>
  <c r="D158"/>
  <c r="B159"/>
  <c r="C159"/>
  <c r="D159"/>
  <c r="B160"/>
  <c r="C160"/>
  <c r="D160"/>
  <c r="B161"/>
  <c r="C161"/>
  <c r="D161"/>
  <c r="B162"/>
  <c r="C162"/>
  <c r="D162"/>
  <c r="B163"/>
  <c r="C163"/>
  <c r="D163"/>
  <c r="B164"/>
  <c r="C164"/>
  <c r="D164"/>
  <c r="B165"/>
  <c r="C165"/>
  <c r="D165"/>
  <c r="B166"/>
  <c r="C166"/>
  <c r="D166"/>
  <c r="B167"/>
  <c r="C167"/>
  <c r="D167"/>
  <c r="B168"/>
  <c r="C168"/>
  <c r="D168"/>
  <c r="B169"/>
  <c r="C169"/>
  <c r="D169"/>
  <c r="B170"/>
  <c r="C170"/>
  <c r="D170"/>
  <c r="B171"/>
  <c r="C171"/>
  <c r="D171"/>
  <c r="A9" i="33"/>
  <c r="A10" s="1"/>
  <c r="A11" s="1"/>
  <c r="H9"/>
  <c r="H10" s="1"/>
  <c r="H11" s="1"/>
  <c r="L10"/>
  <c r="M10"/>
  <c r="L11"/>
  <c r="M11"/>
  <c r="L55"/>
  <c r="M55"/>
  <c r="L56"/>
  <c r="M56"/>
  <c r="L57"/>
  <c r="M57"/>
  <c r="L58"/>
  <c r="M58"/>
  <c r="L62"/>
  <c r="M62"/>
  <c r="L63"/>
  <c r="M63"/>
  <c r="L64"/>
  <c r="M64"/>
  <c r="L65"/>
  <c r="M65"/>
  <c r="L66"/>
  <c r="M66"/>
  <c r="L67"/>
  <c r="M67"/>
  <c r="L68"/>
  <c r="M68"/>
  <c r="L69"/>
  <c r="M69"/>
  <c r="L70"/>
  <c r="M70"/>
  <c r="L71"/>
  <c r="M71"/>
  <c r="L72"/>
  <c r="M72"/>
  <c r="L73"/>
  <c r="M73"/>
  <c r="L74"/>
  <c r="M74"/>
  <c r="L75"/>
  <c r="M75"/>
  <c r="L76"/>
  <c r="M76"/>
  <c r="L77"/>
  <c r="M77"/>
  <c r="D128" i="31"/>
  <c r="C128"/>
  <c r="B128"/>
  <c r="D127"/>
  <c r="C127"/>
  <c r="B127"/>
  <c r="D126"/>
  <c r="C126"/>
  <c r="B126"/>
  <c r="D125"/>
  <c r="C125"/>
  <c r="B125"/>
  <c r="D124"/>
  <c r="C124"/>
  <c r="B124"/>
  <c r="D123"/>
  <c r="C123"/>
  <c r="B123"/>
  <c r="D122"/>
  <c r="C122"/>
  <c r="B122"/>
  <c r="D121"/>
  <c r="C121"/>
  <c r="B121"/>
  <c r="D120"/>
  <c r="C120"/>
  <c r="B120"/>
  <c r="D119"/>
  <c r="C119"/>
  <c r="B119"/>
  <c r="D118"/>
  <c r="C118"/>
  <c r="B118"/>
  <c r="D117"/>
  <c r="C117"/>
  <c r="B117"/>
  <c r="D116"/>
  <c r="C116"/>
  <c r="B116"/>
  <c r="D115"/>
  <c r="C115"/>
  <c r="B115"/>
  <c r="D114"/>
  <c r="C114"/>
  <c r="B114"/>
  <c r="D113"/>
  <c r="C113"/>
  <c r="B113"/>
  <c r="D112"/>
  <c r="C112"/>
  <c r="B112"/>
  <c r="D111"/>
  <c r="C111"/>
  <c r="B111"/>
  <c r="D110"/>
  <c r="C110"/>
  <c r="B110"/>
  <c r="D109"/>
  <c r="C109"/>
  <c r="B109"/>
  <c r="D108"/>
  <c r="C108"/>
  <c r="B108"/>
  <c r="D107"/>
  <c r="C107"/>
  <c r="B107"/>
  <c r="D106"/>
  <c r="C106"/>
  <c r="B106"/>
  <c r="D105"/>
  <c r="C105"/>
  <c r="B105"/>
  <c r="D104"/>
  <c r="C104"/>
  <c r="B104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6"/>
  <c r="C86"/>
  <c r="B86"/>
  <c r="D85"/>
  <c r="C85"/>
  <c r="B85"/>
  <c r="D84"/>
  <c r="C84"/>
  <c r="B84"/>
  <c r="D83"/>
  <c r="C83"/>
  <c r="B83"/>
  <c r="D82"/>
  <c r="C82"/>
  <c r="B82"/>
  <c r="D81"/>
  <c r="C81"/>
  <c r="B81"/>
  <c r="D80"/>
  <c r="C80"/>
  <c r="B80"/>
  <c r="D79"/>
  <c r="C79"/>
  <c r="B79"/>
  <c r="D78"/>
  <c r="C78"/>
  <c r="B78"/>
  <c r="D77"/>
  <c r="C77"/>
  <c r="B77"/>
  <c r="D76"/>
  <c r="C76"/>
  <c r="B76"/>
  <c r="D75"/>
  <c r="C75"/>
  <c r="B75"/>
  <c r="D74"/>
  <c r="C74"/>
  <c r="B74"/>
  <c r="D73"/>
  <c r="C73"/>
  <c r="B73"/>
  <c r="D72"/>
  <c r="C72"/>
  <c r="B72"/>
  <c r="D71"/>
  <c r="C71"/>
  <c r="B71"/>
  <c r="D70"/>
  <c r="C70"/>
  <c r="B70"/>
  <c r="D69"/>
  <c r="C69"/>
  <c r="B69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H12" i="33" l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F9"/>
  <c r="E9"/>
  <c r="G18" i="26"/>
  <c r="D33" i="27" l="1"/>
  <c r="D31"/>
  <c r="D23" i="26"/>
  <c r="D21"/>
  <c r="B4" i="27"/>
  <c r="B4" i="26"/>
  <c r="G11"/>
  <c r="A100" i="22" l="1"/>
  <c r="A86" i="21"/>
  <c r="A65" i="20"/>
  <c r="A91" i="19"/>
  <c r="A97" i="22"/>
  <c r="A83" i="21"/>
  <c r="A62" i="20"/>
  <c r="A88" i="19"/>
  <c r="A12" i="22"/>
  <c r="A11" i="21"/>
  <c r="A11" i="20"/>
  <c r="B18" i="19"/>
  <c r="B17"/>
  <c r="B16"/>
  <c r="B15"/>
  <c r="B14"/>
  <c r="B13"/>
  <c r="B12"/>
  <c r="B11"/>
  <c r="A9" i="31" l="1"/>
  <c r="B9"/>
  <c r="C9"/>
  <c r="D9"/>
  <c r="B29"/>
  <c r="C29"/>
  <c r="D58" l="1"/>
  <c r="D57"/>
  <c r="D56"/>
  <c r="D55"/>
  <c r="D54"/>
  <c r="D53"/>
  <c r="D52"/>
  <c r="D51"/>
  <c r="D43"/>
  <c r="D42"/>
  <c r="D41"/>
  <c r="D40"/>
  <c r="D39"/>
  <c r="D38"/>
  <c r="D37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8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8"/>
  <c r="M9" i="33" l="1"/>
  <c r="L9"/>
  <c r="B7" i="27" l="1"/>
  <c r="B7" i="26"/>
  <c r="A14" i="22"/>
  <c r="A13" i="21"/>
  <c r="A13" i="20"/>
  <c r="A20" i="19"/>
  <c r="A10" i="31" l="1"/>
  <c r="A11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l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D28" i="27" l="1"/>
  <c r="D15"/>
  <c r="E23" i="25" l="1"/>
  <c r="E14"/>
  <c r="C9" s="1"/>
  <c r="C14" s="1"/>
  <c r="C5"/>
  <c r="D26" i="24"/>
  <c r="D27" s="1"/>
  <c r="K19"/>
  <c r="I19"/>
  <c r="G19"/>
  <c r="E19"/>
  <c r="C18"/>
  <c r="C20" s="1"/>
  <c r="I17"/>
  <c r="M17" s="1"/>
  <c r="K16"/>
  <c r="I16"/>
  <c r="G16"/>
  <c r="E16"/>
  <c r="K15"/>
  <c r="K18" s="1"/>
  <c r="I15"/>
  <c r="G15"/>
  <c r="E15"/>
  <c r="K11"/>
  <c r="G11"/>
  <c r="I9"/>
  <c r="M9" s="1"/>
  <c r="K8"/>
  <c r="I8"/>
  <c r="G8"/>
  <c r="K7"/>
  <c r="I7"/>
  <c r="G7"/>
  <c r="E7"/>
  <c r="C7"/>
  <c r="C22" s="1"/>
  <c r="G18" l="1"/>
  <c r="G20" s="1"/>
  <c r="E18"/>
  <c r="E20" s="1"/>
  <c r="G22"/>
  <c r="K20"/>
  <c r="I22"/>
  <c r="E22"/>
  <c r="I18"/>
  <c r="I20" s="1"/>
  <c r="K22"/>
  <c r="M8"/>
  <c r="M11"/>
  <c r="M16"/>
  <c r="M19"/>
  <c r="M7"/>
  <c r="E10"/>
  <c r="I10"/>
  <c r="M15"/>
  <c r="M18" s="1"/>
  <c r="C10"/>
  <c r="G10"/>
  <c r="K10"/>
  <c r="M20" l="1"/>
  <c r="K23"/>
  <c r="K13"/>
  <c r="K24" s="1"/>
  <c r="C23"/>
  <c r="C13"/>
  <c r="C24" s="1"/>
  <c r="I13"/>
  <c r="I24" s="1"/>
  <c r="I23"/>
  <c r="M22"/>
  <c r="M10"/>
  <c r="G23"/>
  <c r="G13"/>
  <c r="G24" s="1"/>
  <c r="E13"/>
  <c r="E24" s="1"/>
  <c r="E23"/>
  <c r="M13" l="1"/>
  <c r="M24" s="1"/>
  <c r="M23"/>
  <c r="M26" l="1"/>
  <c r="N26" s="1"/>
  <c r="M27" l="1"/>
  <c r="N27" s="1"/>
  <c r="I94" i="22" l="1"/>
  <c r="I93"/>
  <c r="I92"/>
  <c r="I91"/>
  <c r="I90"/>
  <c r="I89"/>
  <c r="I88"/>
  <c r="I87"/>
  <c r="I86"/>
  <c r="I85"/>
  <c r="I84"/>
  <c r="H82"/>
  <c r="H80" s="1"/>
  <c r="G82"/>
  <c r="G80" s="1"/>
  <c r="F82"/>
  <c r="E82"/>
  <c r="E80" s="1"/>
  <c r="D82"/>
  <c r="D80" s="1"/>
  <c r="C82"/>
  <c r="C80" s="1"/>
  <c r="F80"/>
  <c r="I79"/>
  <c r="I78"/>
  <c r="I77"/>
  <c r="I76"/>
  <c r="I75"/>
  <c r="I74"/>
  <c r="I72"/>
  <c r="I71"/>
  <c r="I65"/>
  <c r="I63"/>
  <c r="I62"/>
  <c r="I61"/>
  <c r="I60"/>
  <c r="I59"/>
  <c r="I58"/>
  <c r="I57"/>
  <c r="I56"/>
  <c r="I55"/>
  <c r="I54"/>
  <c r="I53"/>
  <c r="H51"/>
  <c r="H49" s="1"/>
  <c r="G51"/>
  <c r="F51"/>
  <c r="E51"/>
  <c r="D51"/>
  <c r="D49" s="1"/>
  <c r="C51"/>
  <c r="C49" s="1"/>
  <c r="F49"/>
  <c r="E49" s="1"/>
  <c r="I48"/>
  <c r="I47"/>
  <c r="I46"/>
  <c r="I45"/>
  <c r="I44"/>
  <c r="I43"/>
  <c r="I41"/>
  <c r="I40"/>
  <c r="H38"/>
  <c r="G38"/>
  <c r="E38"/>
  <c r="D38"/>
  <c r="C38"/>
  <c r="I82" l="1"/>
  <c r="I80" s="1"/>
  <c r="I51"/>
  <c r="I49" s="1"/>
  <c r="G49"/>
  <c r="G12" i="26" l="1"/>
  <c r="D29" i="27"/>
  <c r="E29" s="1"/>
  <c r="D16"/>
  <c r="E16" s="1"/>
  <c r="F38" i="22"/>
  <c r="I73"/>
  <c r="I69" s="1"/>
  <c r="G19" i="26" l="1"/>
  <c r="I42" i="22"/>
  <c r="I38" s="1"/>
  <c r="G55" i="19" l="1"/>
  <c r="C82" i="21"/>
  <c r="C95" i="22" l="1"/>
  <c r="E95" l="1"/>
  <c r="D95"/>
  <c r="F95"/>
  <c r="D49" i="20" l="1"/>
  <c r="I64" i="22" l="1"/>
  <c r="I66" s="1"/>
  <c r="H95" l="1"/>
  <c r="C49" i="20"/>
  <c r="I68" i="22" l="1"/>
  <c r="I67" s="1"/>
  <c r="I95" s="1"/>
  <c r="G95"/>
  <c r="F81" i="19" l="1"/>
  <c r="F55" l="1"/>
  <c r="J95" i="22"/>
</calcChain>
</file>

<file path=xl/comments1.xml><?xml version="1.0" encoding="utf-8"?>
<comments xmlns="http://schemas.openxmlformats.org/spreadsheetml/2006/main">
  <authors>
    <author>Бухгалтер</author>
    <author>www.PHILka.RU</author>
  </authors>
  <commentList>
    <comment ref="F55" authorId="0">
      <text>
        <r>
          <rPr>
            <sz val="8"/>
            <color indexed="81"/>
            <rFont val="Tahoma"/>
            <family val="2"/>
            <charset val="204"/>
          </rPr>
          <t>Формула для проверки баланса на конец периода</t>
        </r>
      </text>
    </comment>
    <comment ref="G55" authorId="1">
      <text>
        <r>
          <rPr>
            <sz val="8"/>
            <color indexed="81"/>
            <rFont val="Tahoma"/>
            <family val="2"/>
            <charset val="204"/>
          </rPr>
          <t xml:space="preserve">Формула для проверки баланса на начало периода
</t>
        </r>
      </text>
    </comment>
  </commentList>
</comments>
</file>

<file path=xl/sharedStrings.xml><?xml version="1.0" encoding="utf-8"?>
<sst xmlns="http://schemas.openxmlformats.org/spreadsheetml/2006/main" count="2922" uniqueCount="796">
  <si>
    <t>Язык</t>
  </si>
  <si>
    <t>Rus</t>
  </si>
  <si>
    <t>Eng</t>
  </si>
  <si>
    <t>Сверка входящего сальдо</t>
  </si>
  <si>
    <t>TB</t>
  </si>
  <si>
    <t xml:space="preserve">Денежные средства и их эквиваленты </t>
  </si>
  <si>
    <t>5</t>
  </si>
  <si>
    <t>Торговая и прочая дебиторская задолженность</t>
  </si>
  <si>
    <t>6</t>
  </si>
  <si>
    <t xml:space="preserve">Товарно-материальные запасы </t>
  </si>
  <si>
    <t>7</t>
  </si>
  <si>
    <t>Текущие налоговые активы</t>
  </si>
  <si>
    <t>8</t>
  </si>
  <si>
    <t>Прочие краткосрочные активы</t>
  </si>
  <si>
    <t>9</t>
  </si>
  <si>
    <t>Долгосрочная дебиторская задолженность</t>
  </si>
  <si>
    <t>10</t>
  </si>
  <si>
    <t>Долгосрочные финансовые инвестиции</t>
  </si>
  <si>
    <t>11</t>
  </si>
  <si>
    <t>Инвестиционное имущество</t>
  </si>
  <si>
    <t>12</t>
  </si>
  <si>
    <t>Основные средства</t>
  </si>
  <si>
    <t>13</t>
  </si>
  <si>
    <t>Незавершенное строительство</t>
  </si>
  <si>
    <t>14</t>
  </si>
  <si>
    <t xml:space="preserve">Нематериальные активы </t>
  </si>
  <si>
    <t>15</t>
  </si>
  <si>
    <t>Гудвилл</t>
  </si>
  <si>
    <t>16</t>
  </si>
  <si>
    <t xml:space="preserve">Прочие долгосрочные активы </t>
  </si>
  <si>
    <t>17</t>
  </si>
  <si>
    <t>Краткосрочные обязательствва по облигационным займам</t>
  </si>
  <si>
    <t>18</t>
  </si>
  <si>
    <t>Обязательства по налогам</t>
  </si>
  <si>
    <t>19</t>
  </si>
  <si>
    <t>Обязательства по другим обязательным платежам</t>
  </si>
  <si>
    <t>20</t>
  </si>
  <si>
    <t>Торговая и прочая кредиторская задолженность</t>
  </si>
  <si>
    <t>21</t>
  </si>
  <si>
    <t>Краткосрочные оценочные обязательства</t>
  </si>
  <si>
    <t>22</t>
  </si>
  <si>
    <t>Займы</t>
  </si>
  <si>
    <t>23</t>
  </si>
  <si>
    <t>Долгосрочная кредиторская задолженность</t>
  </si>
  <si>
    <t>24</t>
  </si>
  <si>
    <t>Уставный капитал</t>
  </si>
  <si>
    <t>25</t>
  </si>
  <si>
    <t>Нераспределенный доход</t>
  </si>
  <si>
    <t>26</t>
  </si>
  <si>
    <t>Доля неконтролирующих акционеров</t>
  </si>
  <si>
    <t>27</t>
  </si>
  <si>
    <t>Доход</t>
  </si>
  <si>
    <t>28</t>
  </si>
  <si>
    <t>Себестоимость</t>
  </si>
  <si>
    <t>29</t>
  </si>
  <si>
    <t>Административные расходы</t>
  </si>
  <si>
    <t>30</t>
  </si>
  <si>
    <t>Расходы по реализации</t>
  </si>
  <si>
    <t>31</t>
  </si>
  <si>
    <t>Прочие доходы и расходы</t>
  </si>
  <si>
    <t>32</t>
  </si>
  <si>
    <t>Списание и убытки от обесценения</t>
  </si>
  <si>
    <t>33</t>
  </si>
  <si>
    <t>Доходы по финансированию</t>
  </si>
  <si>
    <t>34</t>
  </si>
  <si>
    <t>Расходы по финансированию</t>
  </si>
  <si>
    <t>35</t>
  </si>
  <si>
    <t>Расход по подоходному налогу</t>
  </si>
  <si>
    <t>36</t>
  </si>
  <si>
    <t>События после даты баланса</t>
  </si>
  <si>
    <t>37</t>
  </si>
  <si>
    <t>Доходы от финансирования</t>
  </si>
  <si>
    <t>Денежные средства</t>
  </si>
  <si>
    <t>Отложенные налоговые обязательства</t>
  </si>
  <si>
    <t>Корпоративный подоходный налог</t>
  </si>
  <si>
    <t>Нематериальные активы</t>
  </si>
  <si>
    <t>Краткосрочная кредиторская задолженность</t>
  </si>
  <si>
    <t>Код</t>
  </si>
  <si>
    <t>Наименование</t>
  </si>
  <si>
    <t>Вспомогательный</t>
  </si>
  <si>
    <t>Денежные средства в кассе</t>
  </si>
  <si>
    <t>Денежные средства в пути</t>
  </si>
  <si>
    <t>Конвертация валюты</t>
  </si>
  <si>
    <t>Денежные средства на текущих банковских счетах</t>
  </si>
  <si>
    <t>Денежные средства на карт-счетах</t>
  </si>
  <si>
    <t>Денежные средства на сберегательных счетах</t>
  </si>
  <si>
    <t>Прочие денежные средства</t>
  </si>
  <si>
    <t>Краткосрочные финансовые инвестиции</t>
  </si>
  <si>
    <t>Краткосрочные предоставленные займы</t>
  </si>
  <si>
    <t>Краткосрочные финансовые активы, предназначенные для торговли</t>
  </si>
  <si>
    <t>Краткосрочные инвестиции, удерживаемые до погашения</t>
  </si>
  <si>
    <t>Краткосрочные финансовые инвестиции, имеющиеся в наличие для продажи</t>
  </si>
  <si>
    <t>Прочие краткосрочные финансовые инвестиции</t>
  </si>
  <si>
    <t>Краткосрочная дебиторская задолженность</t>
  </si>
  <si>
    <t>Краткосрочная дебиторская задолженность покупателей и заказчиков</t>
  </si>
  <si>
    <t>Краткосрочная дебиторская задолженность дочерних организаций</t>
  </si>
  <si>
    <t>Краткосрочная дебиторская задолженность ассоциированных и совместных организаций</t>
  </si>
  <si>
    <t>Краткосрочная дебиторская задолженность филиалов и структурных подразделений</t>
  </si>
  <si>
    <t>Краткосрочная дебиторская задолженность работников</t>
  </si>
  <si>
    <t>Краткосрочная задолженность подотчетных лиц</t>
  </si>
  <si>
    <t>Задолженность по выплаченной заработной плате</t>
  </si>
  <si>
    <t>Краткосрочная задолженность по предоставленным работникам займам</t>
  </si>
  <si>
    <t>Прочая краткосрочная задолженность работников (хищение, порча, материальный ущерб и др.)</t>
  </si>
  <si>
    <t>Краткосрочная дебиторская задолженность по аренде</t>
  </si>
  <si>
    <t>Краткосрочные вознаграждения к получению</t>
  </si>
  <si>
    <t>Прочая краткосрочная дебиторская задолженность</t>
  </si>
  <si>
    <t>Задолженность по возвратам ТМЗ поставщикам</t>
  </si>
  <si>
    <t>Задолженность по претензиям</t>
  </si>
  <si>
    <t>Задолженность по выявленным недостачам ТМЗ</t>
  </si>
  <si>
    <t>Резерв по сомнительным требованиям</t>
  </si>
  <si>
    <t>Запасы</t>
  </si>
  <si>
    <t>Сырье и материалы</t>
  </si>
  <si>
    <t>Готовая продукция</t>
  </si>
  <si>
    <t>Товары</t>
  </si>
  <si>
    <t>Незавершенное производство</t>
  </si>
  <si>
    <t>Основное производство</t>
  </si>
  <si>
    <t>Полуфабрикаты собственного производства</t>
  </si>
  <si>
    <t>Вспомогательные производства</t>
  </si>
  <si>
    <t>Прочие запасы</t>
  </si>
  <si>
    <t>Материалы переданные в переработку</t>
  </si>
  <si>
    <t>Резерв по списанию запасов</t>
  </si>
  <si>
    <t>Резерв по списанию сырья и материалов</t>
  </si>
  <si>
    <t>Резерв по списанию готовой продукции</t>
  </si>
  <si>
    <t>Резерв по списанию товаров</t>
  </si>
  <si>
    <t>Налог на добавленную стоимость</t>
  </si>
  <si>
    <t>Прочие налоги и другие обязательные платежи в бюджет</t>
  </si>
  <si>
    <t>Долгосрочные активы для продажи</t>
  </si>
  <si>
    <t>Группа на выбытие для продажи</t>
  </si>
  <si>
    <t>Краткосрочные авансы выданные</t>
  </si>
  <si>
    <t>Краткосрочные расходы будущих периодов</t>
  </si>
  <si>
    <t>Долгосрочные предоставленные займы</t>
  </si>
  <si>
    <t>Долгосрочные оценочные активы</t>
  </si>
  <si>
    <t>Долгосрочные инвестиции, удерживаемые до погашения</t>
  </si>
  <si>
    <t>Долгосрочные финансовые инвестиции, имеющиеся в наличие для продажи</t>
  </si>
  <si>
    <t>Прочие долгосрочные финансовые инвестиции</t>
  </si>
  <si>
    <t>Долгосрочная задолженность покупателей и заказчиков</t>
  </si>
  <si>
    <t>Долгосрочная дебиторская задолженность дочерних организаций</t>
  </si>
  <si>
    <t>Долгосрочная дебиторская задолженность ассоциированных и совместных организаций</t>
  </si>
  <si>
    <t>Долгосрочная дебиторская задолженность филиалов и структурных подразделений</t>
  </si>
  <si>
    <t>Долгосрочная дебиторская задолженность работников</t>
  </si>
  <si>
    <t>Задолженность подотчетных лиц</t>
  </si>
  <si>
    <t>Долгосрочная задолженность по предоставленным работникам займам</t>
  </si>
  <si>
    <t>Прочая долгосрочная задолженность работников (хищение, порча, материальный учшерб и др.)</t>
  </si>
  <si>
    <t>Долгосрочная дебиторская задолженность по аренде</t>
  </si>
  <si>
    <t>Долгосрочные вознаграждения к получению</t>
  </si>
  <si>
    <t>Прочая долгосрочная дебиторская задолженность</t>
  </si>
  <si>
    <t>Долгосрочная задолженность по претензиям</t>
  </si>
  <si>
    <t>Инвестиции учитываемые методом долевого участия</t>
  </si>
  <si>
    <t>Инвестиции, учитываемые методом долевого участия</t>
  </si>
  <si>
    <t>Инвестиции в недвижимость</t>
  </si>
  <si>
    <t>Амортизация инвестиций в недвижимость</t>
  </si>
  <si>
    <t>Убыток от обесценения инвестиций в недвижимость</t>
  </si>
  <si>
    <t>Амортизация основных средств</t>
  </si>
  <si>
    <t>Убыток от обесценения основных средств</t>
  </si>
  <si>
    <t>Биологические активы</t>
  </si>
  <si>
    <t>Растения</t>
  </si>
  <si>
    <t>Животные</t>
  </si>
  <si>
    <t>Разведочные и оценочные активы</t>
  </si>
  <si>
    <t>Амортизация разведочных и оценочных активов</t>
  </si>
  <si>
    <t>Убыток от обесценения разведочных и оценочных активов</t>
  </si>
  <si>
    <t>Обесценение гудвилла</t>
  </si>
  <si>
    <t>Прочие нематериальные активы</t>
  </si>
  <si>
    <t>Амортизация прочих нематериальных активов</t>
  </si>
  <si>
    <t>Убыток от обесценения прочих нематериальных активов</t>
  </si>
  <si>
    <t>Отложенные налоговые активы</t>
  </si>
  <si>
    <t>Отложенные налоговые активы по корпоративному подоходному налогу</t>
  </si>
  <si>
    <t>Прочие долгосрочные активы</t>
  </si>
  <si>
    <t>Долгосрочные авансы выданные</t>
  </si>
  <si>
    <t>Долгосрочные расходы будущих периодов</t>
  </si>
  <si>
    <t>Монтаж оборудования</t>
  </si>
  <si>
    <t>Модернизация и капитальный ремонт ОС</t>
  </si>
  <si>
    <t>Краткосрочные финансовые обязательства</t>
  </si>
  <si>
    <t>Краткосрочные банковские займы</t>
  </si>
  <si>
    <t>Краткосрочные займы полученные от организаций осуществляющие банковские операции без лицензии уполномоченного органа</t>
  </si>
  <si>
    <t>Краткосрочная кредиторская задолженность по дивидендам и доходам участников</t>
  </si>
  <si>
    <t>Текущая часть долгосрочных финансовых обязательств</t>
  </si>
  <si>
    <t>Прочие краткосрочные финансовые обязательства</t>
  </si>
  <si>
    <t>Корпоративный подоходный налог подлежащий уплате</t>
  </si>
  <si>
    <t>Индивидуальный подоходный налог</t>
  </si>
  <si>
    <t>Акцизы</t>
  </si>
  <si>
    <t>Социальный налог</t>
  </si>
  <si>
    <t>Земельный налог</t>
  </si>
  <si>
    <t>Налог на транспортные средства</t>
  </si>
  <si>
    <t>Налог на имущество</t>
  </si>
  <si>
    <t>Прочие налоги</t>
  </si>
  <si>
    <t>Обязательства по другим обязательным и добровольным платежам</t>
  </si>
  <si>
    <t>Обязательства по социальному страхованию</t>
  </si>
  <si>
    <t>Обязательства по пенсионным отчислениям</t>
  </si>
  <si>
    <t>Прочие обязательства по другим обязательным платежам</t>
  </si>
  <si>
    <t>Прочие обязательства по другим добровольным платежам</t>
  </si>
  <si>
    <t>Краткосрочная задолженность поставщикам и подрядчикам</t>
  </si>
  <si>
    <t>Краткосрочная кредиторская задолженность дочерним организациям</t>
  </si>
  <si>
    <t>Краткосрочная кредиторская задолженность ассоциированным и совместным организациям</t>
  </si>
  <si>
    <t>Краткосрочная кредиторская задолженность филиалам и структурным подразделениям</t>
  </si>
  <si>
    <t>Краткосрочная задолженность по оплате труда</t>
  </si>
  <si>
    <t>Краткосрочная задолженность по аренде</t>
  </si>
  <si>
    <t>Текущая часть долгосрочной кредиторской задолженности</t>
  </si>
  <si>
    <t>Краткосрочные вознаграждения к выплате</t>
  </si>
  <si>
    <t>Прочая краткосрочная кредиторская задолженность</t>
  </si>
  <si>
    <t>Задолженность по возвратам реализованных готовой продукции, товаров, работ, услуг</t>
  </si>
  <si>
    <t>Задолженность по присужденным штрафам пеням неустойкам</t>
  </si>
  <si>
    <t>Задолженность по ошибочно зачисленным суммам на счетах в банках</t>
  </si>
  <si>
    <t>Задолженность по депонированной заработной плате</t>
  </si>
  <si>
    <t>Задолженность по исполнительным листам</t>
  </si>
  <si>
    <t>Задолженность перед подотчетными лицами</t>
  </si>
  <si>
    <t>Краткосрочные гарантийные обязательства</t>
  </si>
  <si>
    <t>Краткосрочные обязательства по юридическим претензиям</t>
  </si>
  <si>
    <t>Краткосрочные оценочные обязательства по вознаграждениям работникам</t>
  </si>
  <si>
    <t>Прочие краткосрочные оценочные обязательства</t>
  </si>
  <si>
    <t>Прочие краткосрочные обязательства</t>
  </si>
  <si>
    <t>Краткосрочные авансы полученные</t>
  </si>
  <si>
    <t>Краткосрочные доходы будущих периодов</t>
  </si>
  <si>
    <t>Обязательства группы на выбытие предназначенной для продажи</t>
  </si>
  <si>
    <t>Долгосрочные финансовые обязательства</t>
  </si>
  <si>
    <t>Долгосрочные банковские займы</t>
  </si>
  <si>
    <t>Долгосрочные займы полученные от организаций осуществляющие банковские операции без лицензии уполномоченного органа</t>
  </si>
  <si>
    <t>Прочие долгосрочные финансовые обязательства</t>
  </si>
  <si>
    <t>Прочие долгосрочные финансовые обязательства в валюте</t>
  </si>
  <si>
    <t>Долгосрочная задолженность поставщикам и подрядчикам</t>
  </si>
  <si>
    <t>Долгосрочная кредиторская задолженность дочерним организациям</t>
  </si>
  <si>
    <t>Долгосрочная кредиторская задолженность ассоциированным и совместным организациям</t>
  </si>
  <si>
    <t>Долгосрочная кредиторская задолженность филиалам и структурным подразделениям</t>
  </si>
  <si>
    <t>Долгосрочная задолженность по аренде</t>
  </si>
  <si>
    <t>Долгосрочные вознаграждения к выплате</t>
  </si>
  <si>
    <t>Прочая долгосрочная кредиторская задолженность</t>
  </si>
  <si>
    <t>Долгосрочная задолженность по присужденным штрафам пеням неустойкам</t>
  </si>
  <si>
    <t>Долгосрочная задолженность по ошибочно зачисленным суммам на счетах в банках</t>
  </si>
  <si>
    <t>Долгосрочная задолженность по депонированной заработной плате</t>
  </si>
  <si>
    <t>Долгосрочная задолженность по исполнительным листам</t>
  </si>
  <si>
    <t>Долгосрочная задолженность перед подотчетными лицами</t>
  </si>
  <si>
    <t>Долгосрочные оценочные обязательства</t>
  </si>
  <si>
    <t>Долгосрочные гарантийные обязательства</t>
  </si>
  <si>
    <t>Долгосрочные оценочные обязательства по юридическим претензиям</t>
  </si>
  <si>
    <t>Долгосрочные оценочные обязательства по вознаграждениям работникам</t>
  </si>
  <si>
    <t>Прочие долгосрочные оценочные обязательства</t>
  </si>
  <si>
    <t>Прочие долгосрочные оценочные обязательства в валюте</t>
  </si>
  <si>
    <t>Отложенные налоговые обязательства по корпоративному подоходному налогу</t>
  </si>
  <si>
    <t>Прочие долгосрочные обязательства</t>
  </si>
  <si>
    <t>Долгосрочные авансы полученные</t>
  </si>
  <si>
    <t>Доходы будущих периодов</t>
  </si>
  <si>
    <t>Привилегированные акции</t>
  </si>
  <si>
    <t>Простые акции</t>
  </si>
  <si>
    <t>Вклады и паи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</si>
  <si>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</si>
  <si>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</si>
  <si>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</si>
  <si>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</si>
  <si>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Резервный капитал установленный учредительными документами</t>
  </si>
  <si>
    <t>Резерв на переоценку основных средств</t>
  </si>
  <si>
    <t>Резерв на переоценку нематериальных активов</t>
  </si>
  <si>
    <t>Резерв на переоценку финансовых активов предназначенных для продажи</t>
  </si>
  <si>
    <t>Резерв на пересчет иностранной валюты по зарубежной деятельности</t>
  </si>
  <si>
    <t>Прочие резервы</t>
  </si>
  <si>
    <t>Нераспределенная прибыль непокрытый убыток</t>
  </si>
  <si>
    <t>Нераспределенная прибыль непокрытый убыток отчетного года</t>
  </si>
  <si>
    <t>Нераспределенная прибыль непокрытый убыток предыдущих лет</t>
  </si>
  <si>
    <t>Итоговая прибыль итоговый убыток</t>
  </si>
  <si>
    <t>Доход от реализации продукции и оказания услуг</t>
  </si>
  <si>
    <t>Возврат проданной продукции</t>
  </si>
  <si>
    <t>Скидки с цены и продаж</t>
  </si>
  <si>
    <t>Доходы по вознаграждениям</t>
  </si>
  <si>
    <t>Доходы по дивидендам</t>
  </si>
  <si>
    <t>Доходы от финансовой аренды</t>
  </si>
  <si>
    <t>Доходы от операций с инвестиционной недвижимостью</t>
  </si>
  <si>
    <t>Доходы от изменения справедливой стоимости финансовых инструментов</t>
  </si>
  <si>
    <t>Прочие доходы от финансирования</t>
  </si>
  <si>
    <t>Прочие доходы</t>
  </si>
  <si>
    <t>Доходы от выбытия активов</t>
  </si>
  <si>
    <t>Доходы от безвозмездно полученных активов</t>
  </si>
  <si>
    <t>Доходы от государственных субсидий</t>
  </si>
  <si>
    <t>Доходы от восстановления убытка от обесценения</t>
  </si>
  <si>
    <t>Доходы от курсовой разницы</t>
  </si>
  <si>
    <t>Доходы от операционной аренды</t>
  </si>
  <si>
    <t>Доходы от изменения справедливой стоимости биологических активов</t>
  </si>
  <si>
    <t>Доходы, связанные с прекращаемой деятельностью</t>
  </si>
  <si>
    <t>Доходы связанные с прекращаемой деятельностью</t>
  </si>
  <si>
    <t>Доля прибыли организаций учитываемых по методу долевого участия</t>
  </si>
  <si>
    <t>Доля прибыли дочерних организаций</t>
  </si>
  <si>
    <t>Доля прибыли ассоциированных организаций</t>
  </si>
  <si>
    <t>Себестоимость реализованной продукции и оказанных услуг</t>
  </si>
  <si>
    <t>Расходы по реализации продукции и оказанию услуг</t>
  </si>
  <si>
    <t>Расходы на финансирование</t>
  </si>
  <si>
    <t>Расходы по вознаграждениям</t>
  </si>
  <si>
    <t>Расходы на выплату процентов по финансовой аренде</t>
  </si>
  <si>
    <t>Расходы от изменения справедливой стоимости финансовых инструментов</t>
  </si>
  <si>
    <t>Прочие расходы на финансирование</t>
  </si>
  <si>
    <t>Прочие расходы</t>
  </si>
  <si>
    <t>Расходы по выбытию активов</t>
  </si>
  <si>
    <t>Расходы от обесценения активов</t>
  </si>
  <si>
    <t>Расходы по курсовой разнице</t>
  </si>
  <si>
    <t>Расходы по созданию резерва и списанию безнадежных требований</t>
  </si>
  <si>
    <t>Расходы по операционной аренде</t>
  </si>
  <si>
    <t>Расходы от изменения справедливой стоимости биологических активов</t>
  </si>
  <si>
    <t>Расходы связанные с прекращаемой деятельностью</t>
  </si>
  <si>
    <t>Доля в убытке организаций учитываемых методом долевого участия</t>
  </si>
  <si>
    <t>Доля в убытке ассоциированных организаций</t>
  </si>
  <si>
    <t>Доля в убытке совместных организаций</t>
  </si>
  <si>
    <t>Расходы по корпоративному подоходному налогу</t>
  </si>
  <si>
    <t>Производство из давальческого сырья</t>
  </si>
  <si>
    <t>Накладные расходы</t>
  </si>
  <si>
    <t>Арендованные основные средства</t>
  </si>
  <si>
    <t>Амортизация арендованных основных средств</t>
  </si>
  <si>
    <t>Материалы принятые в переработку</t>
  </si>
  <si>
    <t>Материалы на складе</t>
  </si>
  <si>
    <t>Материалы, переданные в производство</t>
  </si>
  <si>
    <t/>
  </si>
  <si>
    <t>Форма 1</t>
  </si>
  <si>
    <t>тыс. тенге</t>
  </si>
  <si>
    <t>Наименование статьи</t>
  </si>
  <si>
    <t>На конец отчетного периода</t>
  </si>
  <si>
    <t>010</t>
  </si>
  <si>
    <t>011</t>
  </si>
  <si>
    <t>012</t>
  </si>
  <si>
    <t>013</t>
  </si>
  <si>
    <t>Текущий подоходный налог</t>
  </si>
  <si>
    <t>014</t>
  </si>
  <si>
    <t>015</t>
  </si>
  <si>
    <t>016</t>
  </si>
  <si>
    <t>II. Долгосрочные активы</t>
  </si>
  <si>
    <t>020</t>
  </si>
  <si>
    <t>021</t>
  </si>
  <si>
    <t>022</t>
  </si>
  <si>
    <t>Инвестиционная недвижимость</t>
  </si>
  <si>
    <t>023</t>
  </si>
  <si>
    <t>024</t>
  </si>
  <si>
    <t>025</t>
  </si>
  <si>
    <t>026</t>
  </si>
  <si>
    <t>027</t>
  </si>
  <si>
    <t>III. Краткосрочные обязательства</t>
  </si>
  <si>
    <t>030</t>
  </si>
  <si>
    <t>IV. Долгосрочные обязательства</t>
  </si>
  <si>
    <t>040</t>
  </si>
  <si>
    <t>041</t>
  </si>
  <si>
    <t>042</t>
  </si>
  <si>
    <t>043</t>
  </si>
  <si>
    <t>044</t>
  </si>
  <si>
    <t>V. Капитал</t>
  </si>
  <si>
    <t>050</t>
  </si>
  <si>
    <t>051</t>
  </si>
  <si>
    <t>Итого капитал</t>
  </si>
  <si>
    <t>(подпись)</t>
  </si>
  <si>
    <t>Место печати</t>
  </si>
  <si>
    <t>Форма 2</t>
  </si>
  <si>
    <t>За отчетный период</t>
  </si>
  <si>
    <t>За предыдущий период</t>
  </si>
  <si>
    <t>060</t>
  </si>
  <si>
    <t>070</t>
  </si>
  <si>
    <t>080</t>
  </si>
  <si>
    <t>090</t>
  </si>
  <si>
    <t>Форма 3</t>
  </si>
  <si>
    <t>045</t>
  </si>
  <si>
    <t>046</t>
  </si>
  <si>
    <t>047</t>
  </si>
  <si>
    <t>071</t>
  </si>
  <si>
    <t>Форма 4</t>
  </si>
  <si>
    <t>Капитал материнской организации</t>
  </si>
  <si>
    <t>Нераспределенная прибыль</t>
  </si>
  <si>
    <t>Хеджирование денежных потоков</t>
  </si>
  <si>
    <t>Гудвил</t>
  </si>
  <si>
    <t>Выводимые данные: сумма</t>
  </si>
  <si>
    <t>Счет</t>
  </si>
  <si>
    <t>Сальдо на начало периода</t>
  </si>
  <si>
    <t>Оборот за период</t>
  </si>
  <si>
    <t>Сальдо на конец периода</t>
  </si>
  <si>
    <t>Дебет</t>
  </si>
  <si>
    <t>Кредит</t>
  </si>
  <si>
    <t xml:space="preserve"> </t>
  </si>
  <si>
    <t>Обороты за период</t>
  </si>
  <si>
    <t>Нераспределенная прибыль (непокрытый убыток)</t>
  </si>
  <si>
    <t>Расчеты с фондами по обязательным платежам (1С 7.7)</t>
  </si>
  <si>
    <t>Административные расходы (1С 7.7)</t>
  </si>
  <si>
    <t>Замечания и пожелания принимаются по адресу  http://www.balans.kz/viewtopic.php?t=34669</t>
  </si>
  <si>
    <t xml:space="preserve">Хотите принять участие в таких же проектах Баланса? Напишите нам admin@balans.kz </t>
  </si>
  <si>
    <r>
      <rPr>
        <sz val="10"/>
        <rFont val="Times New Roman"/>
        <family val="1"/>
        <charset val="204"/>
      </rPr>
      <t>Руководитель проекта:</t>
    </r>
    <r>
      <rPr>
        <sz val="10"/>
        <color indexed="12"/>
        <rFont val="Times New Roman"/>
        <family val="1"/>
        <charset val="204"/>
      </rPr>
      <t xml:space="preserve">  Омаров Асаин Муратбаевич (Compas)</t>
    </r>
  </si>
  <si>
    <r>
      <rPr>
        <sz val="10"/>
        <rFont val="Times New Roman"/>
        <family val="1"/>
        <charset val="204"/>
      </rPr>
      <t xml:space="preserve">Руководитель раздела: </t>
    </r>
    <r>
      <rPr>
        <sz val="10"/>
        <color indexed="12"/>
        <rFont val="Times New Roman"/>
        <family val="1"/>
        <charset val="204"/>
      </rPr>
      <t>Байбусинова Лязат Рыспековна (Лязат)</t>
    </r>
  </si>
  <si>
    <t>Голубым цветом выделены ячейки, которые необходимо заполнить вручную</t>
  </si>
  <si>
    <t>Синим цветом выделены ячейки, которые не заполняются</t>
  </si>
  <si>
    <t>Приложение 2</t>
  </si>
  <si>
    <t>к приказу Министра финансов Республики Казахстан</t>
  </si>
  <si>
    <t>от 20 августа 2010 года № 422</t>
  </si>
  <si>
    <t xml:space="preserve">Сведения о реорганизации: </t>
  </si>
  <si>
    <t>Вид деятельности организации: Деятельность по управлению холдинг-компаниями</t>
  </si>
  <si>
    <t>Организационно-правовая форма: Акционерное общество</t>
  </si>
  <si>
    <t>Тип отчета: Не консолидированный</t>
  </si>
  <si>
    <t>Субъект предпринимательства: Крупный</t>
  </si>
  <si>
    <t xml:space="preserve">Юридический адрес (организации): </t>
  </si>
  <si>
    <t>Код строки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</si>
  <si>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</si>
  <si>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</si>
  <si>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</si>
  <si>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</si>
  <si>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</si>
  <si>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</si>
  <si>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</si>
  <si>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</si>
  <si>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</si>
  <si>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</si>
  <si>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</si>
  <si>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</si>
  <si>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</si>
  <si>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</si>
  <si>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</si>
  <si>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</si>
  <si>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</si>
  <si>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</si>
  <si>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</si>
  <si>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</si>
  <si>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</si>
  <si>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</si>
  <si>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</si>
  <si>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</si>
  <si>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</si>
  <si>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</si>
  <si>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</si>
  <si>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</si>
  <si>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</si>
  <si>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Уставный (акционерный) капитал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</si>
  <si>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</si>
  <si>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</si>
  <si>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</si>
  <si>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</si>
  <si>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</si>
  <si>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</si>
  <si>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Приложение 3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</si>
  <si>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</si>
  <si>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</si>
  <si>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</si>
  <si>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</si>
  <si>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Итого операционная прибыль (убыток) (+/- строки с 012 по 016)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</si>
  <si>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</si>
  <si>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</si>
  <si>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</si>
  <si>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</si>
  <si>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</si>
  <si>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</si>
  <si>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</si>
  <si>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</si>
  <si>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</si>
  <si>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</si>
  <si>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</si>
  <si>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</si>
  <si>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</si>
  <si>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</si>
  <si>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</si>
  <si>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</si>
  <si>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</si>
  <si>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</si>
  <si>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</si>
  <si>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</si>
  <si>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</si>
  <si>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</si>
  <si>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</si>
  <si>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</si>
  <si>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</si>
  <si>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</si>
  <si>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</si>
  <si>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</si>
  <si>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</si>
  <si>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</si>
  <si>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Приложение 4</t>
  </si>
  <si>
    <t> 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</si>
  <si>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</si>
  <si>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</si>
  <si>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</si>
  <si>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</si>
  <si>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</si>
  <si>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</si>
  <si>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</si>
  <si>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</si>
  <si>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</si>
  <si>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</si>
  <si>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</si>
  <si>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</si>
  <si>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</si>
  <si>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</si>
  <si>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</si>
  <si>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</si>
  <si>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</si>
  <si>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</si>
  <si>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</si>
  <si>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</si>
  <si>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</si>
  <si>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</si>
  <si>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</si>
  <si>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</si>
  <si>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</si>
  <si>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</si>
  <si>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</si>
  <si>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048</t>
  </si>
  <si>
    <t>полученные дивиденды</t>
  </si>
  <si>
    <t>049</t>
  </si>
  <si>
    <t>2. Выбытие денежных средств, всего (сумма строк с 061 по 071)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</si>
  <si>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</si>
  <si>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</si>
  <si>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</si>
  <si>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</si>
  <si>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</si>
  <si>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</si>
  <si>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</si>
  <si>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</si>
  <si>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</si>
  <si>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</si>
  <si>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</si>
  <si>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</si>
  <si>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</si>
  <si>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</si>
  <si>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</si>
  <si>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</si>
  <si>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</si>
  <si>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</si>
  <si>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</si>
  <si>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</si>
  <si>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</si>
  <si>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</si>
  <si>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</si>
  <si>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</si>
  <si>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</si>
  <si>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</si>
  <si>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</si>
  <si>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</si>
  <si>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</si>
  <si>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</si>
  <si>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</si>
  <si>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</si>
  <si>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</si>
  <si>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</si>
  <si>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</si>
  <si>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</si>
  <si>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Замечания и пожелания принимаются по адресу http://www.balans.kz/viewtopic.php?t=34669</t>
  </si>
  <si>
    <r>
      <t xml:space="preserve">                              </t>
    </r>
    <r>
      <rPr>
        <sz val="10"/>
        <color indexed="12"/>
        <rFont val="Times New Roman"/>
        <family val="1"/>
        <charset val="204"/>
      </rPr>
      <t xml:space="preserve"> Фролов Владимир (VFrol)</t>
    </r>
  </si>
  <si>
    <t>Приложение 6</t>
  </si>
  <si>
    <t>Отчет об изменениях в капитале</t>
  </si>
  <si>
    <t>Наименование компонентов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</si>
  <si>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</si>
  <si>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</si>
  <si>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</si>
  <si>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</si>
  <si>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</si>
  <si>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</si>
  <si>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</si>
  <si>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</si>
  <si>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</si>
  <si>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</si>
  <si>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</si>
  <si>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</si>
  <si>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</si>
  <si>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</si>
  <si>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</si>
  <si>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</si>
  <si>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</si>
  <si>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</si>
  <si>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</si>
  <si>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</si>
  <si>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</si>
  <si>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</si>
  <si>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400+/-строка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</si>
  <si>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</si>
  <si>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</si>
  <si>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</si>
  <si>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</si>
  <si>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</si>
  <si>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</si>
  <si>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Долгосрочные займы</t>
  </si>
  <si>
    <t>Денежные средства на карт-счетах в тенге</t>
  </si>
  <si>
    <t>Топливо</t>
  </si>
  <si>
    <t>Прочие материалы</t>
  </si>
  <si>
    <t>Строительные материалы</t>
  </si>
  <si>
    <t>Товары приобретенные</t>
  </si>
  <si>
    <t>Краткосрочные авансы, выданные под поставку ТМЗ</t>
  </si>
  <si>
    <t>Краткосрочные авансы, выданные под выполнение работ и оказание услуг</t>
  </si>
  <si>
    <t>Подписка на периодическую печать</t>
  </si>
  <si>
    <t>Обязательное страхование работников</t>
  </si>
  <si>
    <t>Обязательное страхование автотранспорта</t>
  </si>
  <si>
    <t>Страхование имущества</t>
  </si>
  <si>
    <t>Подписка на электронный журнал</t>
  </si>
  <si>
    <t>Услуги справочного бюро</t>
  </si>
  <si>
    <t>ИТС 1С Предприятие 8,1 Международная подписка на 12 месяцев</t>
  </si>
  <si>
    <t>Здания и сооружения</t>
  </si>
  <si>
    <t>Машины и оборудование, передаточные устройства</t>
  </si>
  <si>
    <t>Транспортные средства</t>
  </si>
  <si>
    <t>Компьютеры, периферийные устройства и оборудования по обработке данных</t>
  </si>
  <si>
    <t>Офисная мебель</t>
  </si>
  <si>
    <t>Производственный инвентарь и принадлежности</t>
  </si>
  <si>
    <t>Амортизация зданий и сооружений</t>
  </si>
  <si>
    <t>Амортизация машин и оборудований, передаточных устройств</t>
  </si>
  <si>
    <t>Амортизация транспортных средств</t>
  </si>
  <si>
    <t>Амортизация компьютеров, периферийных устройств</t>
  </si>
  <si>
    <t>Амортизация офисной мебели</t>
  </si>
  <si>
    <t>Амортизация производственного инвентаря и принадлежностей</t>
  </si>
  <si>
    <t>Программное обеспечение</t>
  </si>
  <si>
    <t>Амортизация прочих нематериальных активов- программное обеспечение</t>
  </si>
  <si>
    <t>Прочие выданные авансы</t>
  </si>
  <si>
    <t>Авансы, полученные под выполнение работ и оказание услуг</t>
  </si>
  <si>
    <t>Облигации</t>
  </si>
  <si>
    <t>Скидки по облигациям</t>
  </si>
  <si>
    <t>Доход от реализации готовой продукции</t>
  </si>
  <si>
    <t>Доход от реализации товаров</t>
  </si>
  <si>
    <t>Доход от оказания услуг</t>
  </si>
  <si>
    <t>Излишки ТМЦ и ОС, выявленные при инвентаризации</t>
  </si>
  <si>
    <t xml:space="preserve">Себестоимость реализованной готовой продукции </t>
  </si>
  <si>
    <t>Себестоимость реализованных товаров</t>
  </si>
  <si>
    <t>Себестоимость реализованных услуг</t>
  </si>
  <si>
    <t>Расходы по реализации готовой продукции и товаров</t>
  </si>
  <si>
    <t>Проценты по кредиту в тенге</t>
  </si>
  <si>
    <t>Вознаграждения по ценным бумагам</t>
  </si>
  <si>
    <t>Анализ счета 5610</t>
  </si>
  <si>
    <t>Кор.счет</t>
  </si>
  <si>
    <t>Нач.сальдо</t>
  </si>
  <si>
    <t>Оборот</t>
  </si>
  <si>
    <t>Информация об остатках и движении основных средств на 30.09.2010 год:</t>
  </si>
  <si>
    <t>Земля</t>
  </si>
  <si>
    <t>Здания и сооруже-ния</t>
  </si>
  <si>
    <t>Машины и оборудова-ние</t>
  </si>
  <si>
    <t>Транспорт</t>
  </si>
  <si>
    <t>Прочие</t>
  </si>
  <si>
    <t>Итого</t>
  </si>
  <si>
    <t>Первоначальная стоимость</t>
  </si>
  <si>
    <t>На 31 декабря 2008</t>
  </si>
  <si>
    <t>Приобретения</t>
  </si>
  <si>
    <t>Выбытия</t>
  </si>
  <si>
    <t>На 31 декабря 2009 г</t>
  </si>
  <si>
    <t>На 30 сентября 2010</t>
  </si>
  <si>
    <t>Накопленная амортизация</t>
  </si>
  <si>
    <t>Начисленный износ</t>
  </si>
  <si>
    <t>На 31 декабря 2009</t>
  </si>
  <si>
    <t>Балансовая стоимость:</t>
  </si>
  <si>
    <t>На 31.12.2008</t>
  </si>
  <si>
    <t>На 31.12.2009</t>
  </si>
  <si>
    <t>На 30.09.2010</t>
  </si>
  <si>
    <t>Check</t>
  </si>
  <si>
    <t>Кафе "Шляпа" г.Актау</t>
  </si>
  <si>
    <t>Земельный участок г.Алматы</t>
  </si>
  <si>
    <t>Движение по счету Инвестиционной недвижимости</t>
  </si>
  <si>
    <t>Остаток на начало года</t>
  </si>
  <si>
    <t>Приобретено</t>
  </si>
  <si>
    <t>-</t>
  </si>
  <si>
    <t>Переведено из основных средств</t>
  </si>
  <si>
    <t>Увеличение при определении  справедливой стоимости</t>
  </si>
  <si>
    <t>Снижение при определении справедливой стоимость</t>
  </si>
  <si>
    <t>Справедливая стоимость на конец года</t>
  </si>
  <si>
    <t>дата проведения оценки - 18 июня 2010 года</t>
  </si>
  <si>
    <t>рассмотреть необходимость проведения оценки на 30.09.10</t>
  </si>
  <si>
    <t>Кафе "Шляпа", а так же земельный участок, на котором оно расположено служит залоговым обеспечением по кредитной линии ДБ АО "HSBC Банк Казахстана", предоставленной ТОО "Шелковый путь".</t>
  </si>
  <si>
    <t>Для определения справедливой стоимости инвестиционной недвижимости Группа привлекла независимых лицензированных оценщиков, которые определил справедливую стоимость инвестиционной собственности на отчетную дату.</t>
  </si>
  <si>
    <t>Доходы и расходы от инвестиционной недвижимости (Примечание __):</t>
  </si>
  <si>
    <t xml:space="preserve">   Доходы от сдачи в аренду</t>
  </si>
  <si>
    <t xml:space="preserve">   Расходы на содержание зданий</t>
  </si>
  <si>
    <t>Раскрыть в примечаниях</t>
  </si>
  <si>
    <r>
      <t>степень, в которой справедливая стоимость объекта инвестиционной недвижимости (оцененная или раскрытая в финансовой отчетности) основана на оценке независимого оценщика, обладающего признанной и соответствующей профессиональной квалификацией, а также недавним опытом проведения оценки инвестиционной недвижимости той же категории и расположенной на той же территории, что и оцениваемый объект. Факт отсутствия подобной оценки подлежит раскрытию.</t>
    </r>
    <r>
      <rPr>
        <sz val="11"/>
        <rFont val="Calibri"/>
        <family val="2"/>
        <charset val="204"/>
      </rPr>
      <t xml:space="preserve"> </t>
    </r>
  </si>
  <si>
    <t>АО "Caspian Group" (Каспийская Группа)</t>
  </si>
  <si>
    <t>С кред. счетов</t>
  </si>
  <si>
    <t>В дебет счетов</t>
  </si>
  <si>
    <t>Краткосрочные финансовые активы, имеющиеся в наличии для продажи</t>
  </si>
  <si>
    <t>Краткосрочные финансовые активы, удерживаемые до погашения</t>
  </si>
  <si>
    <t>Руководитель</t>
  </si>
  <si>
    <t>(фамилия, имя, отчество)</t>
  </si>
  <si>
    <t xml:space="preserve">Главный бухгалтер </t>
  </si>
  <si>
    <t>Расшифровка дебеторской и кредиторской задолженности</t>
  </si>
  <si>
    <t>Дт</t>
  </si>
  <si>
    <t>Наименование дебетора</t>
  </si>
  <si>
    <t xml:space="preserve">сумма </t>
  </si>
  <si>
    <t>дата возникн.</t>
  </si>
  <si>
    <t>Примечание</t>
  </si>
  <si>
    <t>Кт</t>
  </si>
  <si>
    <t>Наименование кредитора</t>
  </si>
  <si>
    <t>A.V.Standard Limited</t>
  </si>
  <si>
    <t>Агромашхолдинг АО</t>
  </si>
  <si>
    <t>Оборотно-сальдовая ведомость по счету 1240</t>
  </si>
  <si>
    <t>Детализация по субсчетам, субконто: Контрагенты, Договоры</t>
  </si>
  <si>
    <t>Субконто</t>
  </si>
  <si>
    <t>Caspian Group филиал в г.Астана</t>
  </si>
  <si>
    <t>Без договора</t>
  </si>
  <si>
    <t>Передача ОС и материалов</t>
  </si>
  <si>
    <t>финансирование филиала</t>
  </si>
  <si>
    <t>Caspian Group филиал в г.Китай</t>
  </si>
  <si>
    <t>сл. письмо бн от 30/01/08</t>
  </si>
  <si>
    <t>Финансирование представительства</t>
  </si>
  <si>
    <t>Анализ счета 1000</t>
  </si>
  <si>
    <t>Детализация по  кор.субсчетам и субконто</t>
  </si>
  <si>
    <t>Деят-ть</t>
  </si>
  <si>
    <t>Опер</t>
  </si>
  <si>
    <t>прочие выплаты (инвест)</t>
  </si>
  <si>
    <t>прочие поступления (инвест)</t>
  </si>
  <si>
    <t>прочие поступления (финанс)</t>
  </si>
  <si>
    <t>прочие выбытия (финанс)</t>
  </si>
  <si>
    <t>Инвест</t>
  </si>
  <si>
    <t>Финанс</t>
  </si>
  <si>
    <t>полученные вознаграждения (финанс)</t>
  </si>
  <si>
    <t>полученные вознаграждения (инвест)</t>
  </si>
  <si>
    <t>выплата вознаграждения (финанс)</t>
  </si>
  <si>
    <t>Сальдо на начало предыдущего периода</t>
  </si>
  <si>
    <t>Сальдо на начало отчетного периода (строка 100 + строка 200 + строка 300)</t>
  </si>
  <si>
    <t>Сальдо на конец отчетного периода (строка 500 + строка 600 + строка 700)</t>
  </si>
  <si>
    <t>Среднегодовая численность работников: 14 чел.</t>
  </si>
  <si>
    <t>Ак-Транс Компаниясы ТОО</t>
  </si>
  <si>
    <t>Организация / Счет</t>
  </si>
  <si>
    <t>Итого:</t>
  </si>
  <si>
    <t>Период: 1 полугодие 2011 г.</t>
  </si>
  <si>
    <t>Конечное сальдо</t>
  </si>
  <si>
    <t xml:space="preserve">Наименование организации: </t>
  </si>
  <si>
    <t xml:space="preserve">Вид деятельности организации: </t>
  </si>
  <si>
    <t xml:space="preserve">Организационно-правовая форма: </t>
  </si>
  <si>
    <t xml:space="preserve">Тип отчета: </t>
  </si>
  <si>
    <t xml:space="preserve">Среднегодовая численность работников: </t>
  </si>
  <si>
    <t>1 чел.</t>
  </si>
  <si>
    <t xml:space="preserve">Субъект предпринимательства: </t>
  </si>
  <si>
    <t xml:space="preserve">Главный бухгалтер: </t>
  </si>
  <si>
    <t xml:space="preserve">Руководитель: </t>
  </si>
  <si>
    <t>Акции АО "Агромашхолдинг"</t>
  </si>
  <si>
    <t>Стоимость</t>
  </si>
  <si>
    <t>Рахметов Чингис Жолдасбаевич</t>
  </si>
  <si>
    <t>Переплата по налогам</t>
  </si>
  <si>
    <t>Kaspi Bank АО</t>
  </si>
  <si>
    <t>Казкоммерцбанк АО 600400055239</t>
  </si>
  <si>
    <t>Цой Лариса Андреевна</t>
  </si>
  <si>
    <t>Нурахметова М.М. Нотариус</t>
  </si>
  <si>
    <t xml:space="preserve">Займ Ким Вячеслав Семенович </t>
  </si>
  <si>
    <t>Обязательства</t>
  </si>
  <si>
    <t>Финансовые активы и обязательства</t>
  </si>
  <si>
    <t>Плата за эмиссии в окружающую среду</t>
  </si>
  <si>
    <t>Лицензионный сбор</t>
  </si>
  <si>
    <t>Административное взыскание</t>
  </si>
  <si>
    <t>Доход от выбытия основных средств</t>
  </si>
  <si>
    <t>Доход от выбытия инвестиций, финансовых инвестиций</t>
  </si>
  <si>
    <t>Расходы по реализации услуг</t>
  </si>
  <si>
    <t>Расходы по реализации основных средств</t>
  </si>
  <si>
    <t>Расходы по выбытию инвестиций, финансовых инвестиций</t>
  </si>
  <si>
    <t>Кор. Счет</t>
  </si>
  <si>
    <t>Начальное сальдо</t>
  </si>
  <si>
    <t>2012 г.</t>
  </si>
  <si>
    <t>Выводимые данные:</t>
  </si>
  <si>
    <t>БУ (данные бухгалтерского учета)</t>
  </si>
  <si>
    <t>Отбор:</t>
  </si>
  <si>
    <t>Счет.Наименование Равно "Итоговая прибыль итоговый убыток"</t>
  </si>
  <si>
    <t>Период: 2012 г.</t>
  </si>
  <si>
    <t>Период: 1 кв 2013 г.</t>
  </si>
  <si>
    <t xml:space="preserve"> "Hold Own"</t>
  </si>
  <si>
    <t>Оборотно-сальдовая ведомость за Январь 2013 г. - Сентябрь 2013 г.</t>
  </si>
  <si>
    <t>за период с 01.01.2013 г. по 30.09.2013 г.</t>
  </si>
  <si>
    <t>Анализ счета 5610 за Январь 2013 г. - Сентябрь 2013 г.</t>
  </si>
  <si>
    <t>Анализ счета 5610 за 2012 г.</t>
  </si>
  <si>
    <t>"Penson Group"</t>
  </si>
  <si>
    <t>Налог на игорный бизнес</t>
  </si>
  <si>
    <t>ФН</t>
  </si>
  <si>
    <t>Доход от оказания услуг казино</t>
  </si>
  <si>
    <t>Доход от оказания услуг туризм</t>
  </si>
  <si>
    <t>Себестоимость реализованной продукции и оказанных услуг казино</t>
  </si>
  <si>
    <t>Расходы по реализации продукции и оказанию услуг казино</t>
  </si>
  <si>
    <t>Расходы по реализации продукции и оказанию услуг туризм</t>
  </si>
  <si>
    <t>Административные расходы туризм</t>
  </si>
  <si>
    <t>Анализ счета 1000 за Январь 2013 г. - Сентябрь 2013 г.</t>
  </si>
  <si>
    <t>"ВестГлобал"</t>
  </si>
  <si>
    <t xml:space="preserve"> "АлАс"</t>
  </si>
  <si>
    <t>Продукты и полуфабрикаты</t>
  </si>
  <si>
    <t xml:space="preserve"> "РЕСТ Ко"</t>
  </si>
  <si>
    <t xml:space="preserve"> "Тема Ко"</t>
  </si>
  <si>
    <t>Расчеты с фондами по обязательным платежам</t>
  </si>
  <si>
    <t>ТОО "Hold own"</t>
  </si>
  <si>
    <t>Анализ счета 5030 за 2012 г.</t>
  </si>
  <si>
    <t>Анализ счета 5030 за Январь 2013 г. - Сентябрь 2013 г.</t>
  </si>
  <si>
    <t>Товарищество с ограниченной ответственностью "АлАс"</t>
  </si>
  <si>
    <t>Оборотно-сальдовая ведомость по счету: 5031</t>
  </si>
  <si>
    <t>Контрагенты</t>
  </si>
  <si>
    <t>за 2012 г.</t>
  </si>
  <si>
    <t>АО "Тема Ко"</t>
  </si>
  <si>
    <t>Оспанов Аскар Турсынканович</t>
  </si>
  <si>
    <t>Итого развернутое</t>
  </si>
  <si>
    <t>ТОО "АлАс"</t>
  </si>
  <si>
    <t>Задолженность работников по подотчетным суммам</t>
  </si>
  <si>
    <t>Корпоративный подоходный налог, подлежащий уплате</t>
  </si>
  <si>
    <t>Товарищество с Ограниченной Ответственностью "Вест</t>
  </si>
  <si>
    <t>РЕСТ Ко</t>
  </si>
  <si>
    <t>Анализ счета 5000 за Январь 2013 г. - Сентябрь 2013 г.</t>
  </si>
  <si>
    <t>Анализ счета 5000 за 2012 г.</t>
  </si>
  <si>
    <t>Товарищество с Ограниченной Ответственностью "Penson Group"</t>
  </si>
  <si>
    <t>АО  "Тема Ко"</t>
  </si>
  <si>
    <t>Счет.Наименование Равно "Уставный капитал"</t>
  </si>
  <si>
    <t>Анализ счета 5100 за Январь 2013 г. - Сентябрь 2013 г.</t>
  </si>
  <si>
    <t>Анализ счета 5100 за 2012 г.</t>
  </si>
  <si>
    <t>по состоянию на  30.09.2013 года</t>
  </si>
  <si>
    <t>Гостиничный бизнес</t>
  </si>
  <si>
    <t>Акционерное общество</t>
  </si>
  <si>
    <t>Консолидированный</t>
  </si>
  <si>
    <t>Налог на транспорт</t>
  </si>
  <si>
    <t>Налог  на игорный бизнес</t>
  </si>
  <si>
    <t>ФСН</t>
  </si>
  <si>
    <t>Социальное страхование</t>
  </si>
  <si>
    <t>Обязательные  пенсионные взносы</t>
  </si>
  <si>
    <t>*</t>
  </si>
  <si>
    <t>Консолидированный отчет о финансовом положении</t>
  </si>
  <si>
    <t>Консолидированный отчет о совокупном доходе</t>
  </si>
  <si>
    <t>Консолидированный отчет о движении денежных средств (прямой метод)</t>
  </si>
  <si>
    <t>Ембергенов Руслан Адилович</t>
  </si>
  <si>
    <t>Муканова Наталья Анатольевна</t>
  </si>
  <si>
    <t>Балансовая стоимость простой акции за единицу составляет</t>
  </si>
  <si>
    <t>тенге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</si>
</sst>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0;[Red]\-#,##0.00"/>
    <numFmt numFmtId="166" formatCode="0.00;[Red]\-0.00"/>
    <numFmt numFmtId="167" formatCode="_(* #,##0_);_(* \(#,##0\);_(* &quot;-&quot;_);_(@_)"/>
    <numFmt numFmtId="168" formatCode="#,##0.00_ ;[Red]\-#,##0.00\ 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Times New Roman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8"/>
      <color indexed="59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  <charset val="204"/>
    </font>
    <font>
      <sz val="11"/>
      <color rgb="FF000000"/>
      <name val="Garamond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4ECC5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8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/>
      <top/>
      <bottom style="thin">
        <color rgb="FF00000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2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7" fillId="0" borderId="0"/>
    <xf numFmtId="0" fontId="6" fillId="0" borderId="0"/>
    <xf numFmtId="0" fontId="8" fillId="0" borderId="0"/>
    <xf numFmtId="0" fontId="5" fillId="0" borderId="0">
      <alignment horizontal="left"/>
    </xf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9" fillId="0" borderId="0"/>
    <xf numFmtId="0" fontId="1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1" fillId="0" borderId="0"/>
    <xf numFmtId="9" fontId="12" fillId="0" borderId="0" applyFont="0" applyFill="0" applyBorder="0" applyAlignment="0" applyProtection="0"/>
    <xf numFmtId="0" fontId="13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4" fillId="0" borderId="0"/>
    <xf numFmtId="0" fontId="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41" fontId="6" fillId="0" borderId="0" applyFont="0" applyFill="0" applyBorder="0" applyAlignment="0" applyProtection="0"/>
    <xf numFmtId="0" fontId="7" fillId="0" borderId="0"/>
    <xf numFmtId="0" fontId="6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93">
    <xf numFmtId="0" fontId="0" fillId="0" borderId="0" xfId="0"/>
    <xf numFmtId="0" fontId="2" fillId="0" borderId="0" xfId="0" applyFont="1" applyFill="1"/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14" fillId="2" borderId="5" xfId="33" applyNumberFormat="1" applyFont="1" applyFill="1" applyBorder="1" applyAlignment="1">
      <alignment horizontal="left" vertical="top"/>
    </xf>
    <xf numFmtId="0" fontId="15" fillId="2" borderId="5" xfId="33" applyNumberFormat="1" applyFont="1" applyFill="1" applyBorder="1" applyAlignment="1">
      <alignment horizontal="left" vertical="top"/>
    </xf>
    <xf numFmtId="164" fontId="15" fillId="2" borderId="5" xfId="33" applyNumberFormat="1" applyFont="1" applyFill="1" applyBorder="1" applyAlignment="1">
      <alignment horizontal="left" vertical="top"/>
    </xf>
    <xf numFmtId="0" fontId="15" fillId="3" borderId="5" xfId="33" applyNumberFormat="1" applyFont="1" applyFill="1" applyBorder="1" applyAlignment="1">
      <alignment horizontal="left" vertical="top"/>
    </xf>
    <xf numFmtId="1" fontId="15" fillId="3" borderId="5" xfId="33" applyNumberFormat="1" applyFont="1" applyFill="1" applyBorder="1" applyAlignment="1">
      <alignment horizontal="left" vertical="top"/>
    </xf>
    <xf numFmtId="1" fontId="15" fillId="2" borderId="5" xfId="33" applyNumberFormat="1" applyFont="1" applyFill="1" applyBorder="1" applyAlignment="1">
      <alignment horizontal="left" vertical="top"/>
    </xf>
    <xf numFmtId="0" fontId="21" fillId="0" borderId="0" xfId="0" applyFont="1"/>
    <xf numFmtId="49" fontId="23" fillId="0" borderId="0" xfId="34" applyNumberFormat="1" applyFont="1" applyFill="1" applyAlignment="1" applyProtection="1">
      <protection hidden="1"/>
    </xf>
    <xf numFmtId="49" fontId="23" fillId="0" borderId="0" xfId="35" applyNumberFormat="1" applyFont="1" applyFill="1" applyAlignment="1" applyProtection="1">
      <protection hidden="1"/>
    </xf>
    <xf numFmtId="49" fontId="26" fillId="0" borderId="0" xfId="35" applyNumberFormat="1" applyFont="1" applyFill="1" applyAlignment="1" applyProtection="1">
      <protection hidden="1"/>
    </xf>
    <xf numFmtId="0" fontId="26" fillId="0" borderId="0" xfId="34" applyFont="1" applyAlignment="1" applyProtection="1">
      <protection hidden="1"/>
    </xf>
    <xf numFmtId="3" fontId="27" fillId="0" borderId="4" xfId="36" applyNumberFormat="1" applyFont="1" applyFill="1" applyBorder="1" applyAlignment="1" applyProtection="1">
      <alignment horizontal="right"/>
      <protection locked="0" hidden="1"/>
    </xf>
    <xf numFmtId="49" fontId="16" fillId="0" borderId="0" xfId="37" applyNumberFormat="1" applyFont="1" applyFill="1" applyAlignment="1" applyProtection="1">
      <alignment horizontal="center"/>
      <protection hidden="1"/>
    </xf>
    <xf numFmtId="49" fontId="16" fillId="0" borderId="0" xfId="37" applyNumberFormat="1" applyFont="1" applyAlignment="1" applyProtection="1"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Fill="1" applyAlignment="1" applyProtection="1">
      <protection hidden="1"/>
    </xf>
    <xf numFmtId="0" fontId="7" fillId="0" borderId="0" xfId="1" applyFont="1" applyFill="1" applyAlignment="1" applyProtection="1">
      <protection hidden="1"/>
    </xf>
    <xf numFmtId="0" fontId="7" fillId="6" borderId="0" xfId="1" applyFont="1" applyFill="1" applyProtection="1">
      <protection hidden="1"/>
    </xf>
    <xf numFmtId="0" fontId="7" fillId="7" borderId="0" xfId="1" applyFont="1" applyFill="1" applyProtection="1">
      <protection hidden="1"/>
    </xf>
    <xf numFmtId="0" fontId="28" fillId="0" borderId="0" xfId="1" applyFont="1" applyFill="1" applyAlignment="1" applyProtection="1">
      <alignment horizontal="left" wrapText="1"/>
      <protection locked="0" hidden="1"/>
    </xf>
    <xf numFmtId="0" fontId="17" fillId="0" borderId="0" xfId="1" applyFont="1" applyFill="1" applyAlignment="1" applyProtection="1">
      <alignment horizontal="left" vertical="center" wrapText="1"/>
      <protection locked="0" hidden="1"/>
    </xf>
    <xf numFmtId="0" fontId="17" fillId="0" borderId="0" xfId="1" applyFont="1" applyFill="1" applyAlignment="1" applyProtection="1">
      <alignment horizontal="right" wrapText="1"/>
      <protection locked="0" hidden="1"/>
    </xf>
    <xf numFmtId="0" fontId="19" fillId="0" borderId="27" xfId="1" applyFont="1" applyFill="1" applyBorder="1" applyAlignment="1" applyProtection="1">
      <alignment horizontal="center" vertical="center" wrapText="1"/>
      <protection locked="0" hidden="1"/>
    </xf>
    <xf numFmtId="0" fontId="17" fillId="0" borderId="27" xfId="1" applyFont="1" applyFill="1" applyBorder="1" applyAlignment="1" applyProtection="1">
      <alignment horizontal="center" vertical="center" wrapText="1"/>
      <protection locked="0" hidden="1"/>
    </xf>
    <xf numFmtId="2" fontId="7" fillId="7" borderId="4" xfId="37" applyNumberFormat="1" applyFont="1" applyFill="1" applyBorder="1" applyAlignment="1" applyProtection="1">
      <alignment horizontal="right"/>
      <protection locked="0" hidden="1"/>
    </xf>
    <xf numFmtId="49" fontId="17" fillId="0" borderId="27" xfId="1" applyNumberFormat="1" applyFont="1" applyFill="1" applyBorder="1" applyAlignment="1" applyProtection="1">
      <alignment horizontal="center" vertical="center" wrapText="1"/>
      <protection locked="0" hidden="1"/>
    </xf>
    <xf numFmtId="3" fontId="16" fillId="6" borderId="4" xfId="38" applyNumberFormat="1" applyFont="1" applyFill="1" applyBorder="1" applyAlignment="1" applyProtection="1">
      <protection locked="0" hidden="1"/>
    </xf>
    <xf numFmtId="3" fontId="7" fillId="6" borderId="4" xfId="37" applyNumberFormat="1" applyFont="1" applyFill="1" applyBorder="1" applyAlignment="1" applyProtection="1">
      <alignment horizontal="right"/>
      <protection locked="0" hidden="1"/>
    </xf>
    <xf numFmtId="3" fontId="28" fillId="0" borderId="0" xfId="1" applyNumberFormat="1" applyFont="1" applyFill="1" applyAlignment="1" applyProtection="1">
      <alignment horizontal="left" wrapText="1"/>
      <protection locked="0" hidden="1"/>
    </xf>
    <xf numFmtId="4" fontId="29" fillId="0" borderId="0" xfId="37" applyNumberFormat="1" applyFont="1" applyProtection="1">
      <protection locked="0" hidden="1"/>
    </xf>
    <xf numFmtId="0" fontId="17" fillId="0" borderId="0" xfId="1" applyFont="1" applyFill="1" applyAlignment="1" applyProtection="1">
      <alignment horizontal="left" wrapText="1"/>
      <protection locked="0" hidden="1"/>
    </xf>
    <xf numFmtId="0" fontId="17" fillId="0" borderId="29" xfId="1" applyFont="1" applyFill="1" applyBorder="1" applyAlignment="1" applyProtection="1">
      <alignment horizontal="left" wrapText="1"/>
      <protection locked="0" hidden="1"/>
    </xf>
    <xf numFmtId="0" fontId="17" fillId="0" borderId="0" xfId="1" applyFont="1" applyFill="1" applyAlignment="1" applyProtection="1">
      <alignment horizontal="center" vertical="center" wrapText="1"/>
      <protection locked="0" hidden="1"/>
    </xf>
    <xf numFmtId="0" fontId="17" fillId="0" borderId="0" xfId="1" applyFont="1" applyFill="1" applyBorder="1" applyAlignment="1" applyProtection="1">
      <alignment horizontal="left" wrapText="1"/>
      <protection locked="0" hidden="1"/>
    </xf>
    <xf numFmtId="0" fontId="9" fillId="0" borderId="0" xfId="1" applyFont="1" applyFill="1" applyAlignment="1" applyProtection="1">
      <alignment horizontal="left" wrapText="1"/>
      <protection locked="0" hidden="1"/>
    </xf>
    <xf numFmtId="0" fontId="17" fillId="0" borderId="27" xfId="1" applyFont="1" applyFill="1" applyBorder="1" applyAlignment="1" applyProtection="1">
      <alignment horizontal="left" vertical="center" wrapText="1"/>
      <protection locked="0" hidden="1"/>
    </xf>
    <xf numFmtId="3" fontId="16" fillId="6" borderId="4" xfId="38" applyNumberFormat="1" applyFont="1" applyFill="1" applyBorder="1" applyAlignment="1" applyProtection="1">
      <alignment horizontal="right"/>
      <protection locked="0" hidden="1"/>
    </xf>
    <xf numFmtId="0" fontId="19" fillId="0" borderId="27" xfId="1" applyFont="1" applyFill="1" applyBorder="1" applyAlignment="1" applyProtection="1">
      <alignment horizontal="left" vertical="center" wrapText="1"/>
      <protection locked="0" hidden="1"/>
    </xf>
    <xf numFmtId="49" fontId="19" fillId="0" borderId="27" xfId="1" applyNumberFormat="1" applyFont="1" applyFill="1" applyBorder="1" applyAlignment="1" applyProtection="1">
      <alignment horizontal="center" vertical="center" wrapText="1"/>
      <protection locked="0" hidden="1"/>
    </xf>
    <xf numFmtId="3" fontId="27" fillId="0" borderId="4" xfId="36" applyNumberFormat="1" applyFont="1" applyFill="1" applyBorder="1" applyAlignment="1" applyProtection="1">
      <alignment horizontal="left"/>
      <protection locked="0" hidden="1"/>
    </xf>
    <xf numFmtId="0" fontId="7" fillId="7" borderId="0" xfId="1" applyFont="1" applyFill="1" applyProtection="1">
      <protection locked="0" hidden="1"/>
    </xf>
    <xf numFmtId="49" fontId="16" fillId="0" borderId="0" xfId="37" applyNumberFormat="1" applyFont="1" applyFill="1" applyAlignment="1" applyProtection="1">
      <protection hidden="1"/>
    </xf>
    <xf numFmtId="0" fontId="16" fillId="0" borderId="0" xfId="1" applyFont="1" applyFill="1" applyAlignment="1" applyProtection="1">
      <alignment horizontal="left" vertical="center" wrapText="1"/>
      <protection locked="0" hidden="1"/>
    </xf>
    <xf numFmtId="0" fontId="16" fillId="0" borderId="0" xfId="1" applyFont="1" applyFill="1" applyAlignment="1" applyProtection="1">
      <alignment horizontal="left" wrapText="1"/>
      <protection locked="0" hidden="1"/>
    </xf>
    <xf numFmtId="0" fontId="30" fillId="0" borderId="0" xfId="1" applyFont="1" applyFill="1" applyAlignment="1" applyProtection="1">
      <alignment horizontal="left" wrapText="1"/>
      <protection locked="0" hidden="1"/>
    </xf>
    <xf numFmtId="0" fontId="16" fillId="0" borderId="27" xfId="1" applyFont="1" applyFill="1" applyBorder="1" applyAlignment="1" applyProtection="1">
      <alignment horizontal="center" vertical="center" wrapText="1"/>
      <protection locked="0" hidden="1"/>
    </xf>
    <xf numFmtId="0" fontId="30" fillId="0" borderId="27" xfId="1" applyFont="1" applyFill="1" applyBorder="1" applyAlignment="1" applyProtection="1">
      <alignment horizontal="left" vertical="center" wrapText="1"/>
      <protection locked="0" hidden="1"/>
    </xf>
    <xf numFmtId="49" fontId="30" fillId="0" borderId="27" xfId="1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25" xfId="1" applyFont="1" applyFill="1" applyBorder="1" applyAlignment="1" applyProtection="1">
      <alignment vertical="center" wrapText="1"/>
      <protection locked="0" hidden="1"/>
    </xf>
    <xf numFmtId="49" fontId="16" fillId="0" borderId="27" xfId="1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1" applyFont="1" applyBorder="1" applyAlignment="1" applyProtection="1">
      <alignment horizontal="left" wrapText="1" indent="3"/>
      <protection locked="0" hidden="1"/>
    </xf>
    <xf numFmtId="0" fontId="30" fillId="0" borderId="27" xfId="1" applyFont="1" applyFill="1" applyBorder="1" applyAlignment="1" applyProtection="1">
      <alignment horizontal="center" vertical="center" wrapText="1"/>
      <protection locked="0" hidden="1"/>
    </xf>
    <xf numFmtId="0" fontId="16" fillId="0" borderId="29" xfId="1" applyFont="1" applyFill="1" applyBorder="1" applyAlignment="1" applyProtection="1">
      <alignment horizontal="left" wrapText="1"/>
      <protection locked="0" hidden="1"/>
    </xf>
    <xf numFmtId="0" fontId="16" fillId="0" borderId="0" xfId="1" applyFont="1" applyFill="1" applyAlignment="1" applyProtection="1">
      <alignment horizontal="center" vertical="center" wrapText="1"/>
      <protection locked="0" hidden="1"/>
    </xf>
    <xf numFmtId="0" fontId="31" fillId="0" borderId="0" xfId="34" applyFont="1" applyFill="1" applyAlignment="1" applyProtection="1">
      <alignment horizontal="left"/>
      <protection hidden="1"/>
    </xf>
    <xf numFmtId="0" fontId="7" fillId="6" borderId="4" xfId="1" applyFont="1" applyFill="1" applyBorder="1" applyProtection="1">
      <protection hidden="1"/>
    </xf>
    <xf numFmtId="0" fontId="7" fillId="0" borderId="0" xfId="1" applyFont="1" applyFill="1" applyAlignment="1" applyProtection="1">
      <alignment horizontal="left"/>
      <protection hidden="1"/>
    </xf>
    <xf numFmtId="0" fontId="19" fillId="0" borderId="0" xfId="1" applyFont="1" applyFill="1" applyAlignment="1" applyProtection="1">
      <alignment horizontal="right" wrapText="1"/>
      <protection locked="0" hidden="1"/>
    </xf>
    <xf numFmtId="3" fontId="7" fillId="6" borderId="4" xfId="1" applyNumberFormat="1" applyFont="1" applyFill="1" applyBorder="1" applyProtection="1">
      <protection locked="0" hidden="1"/>
    </xf>
    <xf numFmtId="0" fontId="7" fillId="6" borderId="4" xfId="1" applyFont="1" applyFill="1" applyBorder="1" applyProtection="1">
      <protection locked="0" hidden="1"/>
    </xf>
    <xf numFmtId="4" fontId="17" fillId="0" borderId="27" xfId="1" applyNumberFormat="1" applyFont="1" applyFill="1" applyBorder="1" applyAlignment="1" applyProtection="1">
      <alignment horizontal="right" vertical="center" wrapText="1"/>
      <protection locked="0" hidden="1"/>
    </xf>
    <xf numFmtId="0" fontId="0" fillId="0" borderId="0" xfId="0" applyAlignment="1">
      <alignment horizontal="left"/>
    </xf>
    <xf numFmtId="1" fontId="3" fillId="0" borderId="13" xfId="0" applyNumberFormat="1" applyFont="1" applyBorder="1" applyAlignment="1">
      <alignment horizontal="left" vertical="top" wrapText="1"/>
    </xf>
    <xf numFmtId="0" fontId="3" fillId="0" borderId="6" xfId="0" applyNumberFormat="1" applyFont="1" applyBorder="1" applyAlignment="1">
      <alignment horizontal="left" vertical="top" wrapText="1"/>
    </xf>
    <xf numFmtId="1" fontId="15" fillId="5" borderId="5" xfId="33" applyNumberFormat="1" applyFont="1" applyFill="1" applyBorder="1" applyAlignment="1">
      <alignment horizontal="left" vertical="top"/>
    </xf>
    <xf numFmtId="0" fontId="15" fillId="5" borderId="5" xfId="33" applyNumberFormat="1" applyFont="1" applyFill="1" applyBorder="1" applyAlignment="1">
      <alignment horizontal="left" vertical="top"/>
    </xf>
    <xf numFmtId="0" fontId="17" fillId="0" borderId="0" xfId="1" applyFont="1" applyFill="1" applyAlignment="1" applyProtection="1">
      <alignment horizontal="left" vertical="top" wrapText="1"/>
      <protection locked="0" hidden="1"/>
    </xf>
    <xf numFmtId="0" fontId="17" fillId="0" borderId="0" xfId="1" applyFont="1" applyFill="1" applyAlignment="1" applyProtection="1">
      <alignment horizontal="left" vertical="center" wrapText="1"/>
      <protection locked="0" hidden="1"/>
    </xf>
    <xf numFmtId="1" fontId="3" fillId="0" borderId="39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1" fontId="3" fillId="0" borderId="24" xfId="0" applyNumberFormat="1" applyFont="1" applyBorder="1" applyAlignment="1">
      <alignment horizontal="left" vertical="top"/>
    </xf>
    <xf numFmtId="0" fontId="26" fillId="0" borderId="0" xfId="34" applyFont="1" applyFill="1" applyAlignment="1" applyProtection="1">
      <protection hidden="1"/>
    </xf>
    <xf numFmtId="0" fontId="30" fillId="0" borderId="29" xfId="1" applyFont="1" applyFill="1" applyBorder="1" applyAlignment="1" applyProtection="1">
      <alignment wrapText="1"/>
      <protection locked="0" hidden="1"/>
    </xf>
    <xf numFmtId="0" fontId="16" fillId="0" borderId="0" xfId="1" applyFont="1" applyFill="1" applyAlignment="1" applyProtection="1">
      <alignment horizontal="right"/>
      <protection locked="0" hidden="1"/>
    </xf>
    <xf numFmtId="0" fontId="4" fillId="0" borderId="0" xfId="43" applyFont="1" applyFill="1"/>
    <xf numFmtId="0" fontId="3" fillId="0" borderId="0" xfId="43" applyFont="1" applyFill="1"/>
    <xf numFmtId="0" fontId="3" fillId="0" borderId="0" xfId="43" applyFont="1" applyFill="1" applyBorder="1"/>
    <xf numFmtId="0" fontId="4" fillId="0" borderId="0" xfId="43" applyFont="1" applyFill="1" applyAlignment="1">
      <alignment horizontal="center" wrapText="1"/>
    </xf>
    <xf numFmtId="0" fontId="4" fillId="0" borderId="41" xfId="43" applyFont="1" applyFill="1" applyBorder="1" applyAlignment="1">
      <alignment horizontal="center" wrapText="1"/>
    </xf>
    <xf numFmtId="0" fontId="4" fillId="0" borderId="0" xfId="43" applyFont="1" applyFill="1" applyBorder="1" applyAlignment="1">
      <alignment horizontal="center" wrapText="1"/>
    </xf>
    <xf numFmtId="0" fontId="3" fillId="0" borderId="0" xfId="43" applyFont="1" applyFill="1" applyAlignment="1">
      <alignment wrapText="1"/>
    </xf>
    <xf numFmtId="0" fontId="36" fillId="0" borderId="0" xfId="0" applyFont="1" applyFill="1" applyBorder="1" applyAlignment="1">
      <alignment wrapText="1"/>
    </xf>
    <xf numFmtId="0" fontId="3" fillId="0" borderId="0" xfId="43" applyFont="1" applyFill="1" applyBorder="1" applyAlignment="1">
      <alignment wrapText="1"/>
    </xf>
    <xf numFmtId="3" fontId="3" fillId="0" borderId="0" xfId="43" applyNumberFormat="1" applyFont="1" applyFill="1"/>
    <xf numFmtId="3" fontId="3" fillId="0" borderId="0" xfId="43" applyNumberFormat="1" applyFont="1" applyFill="1" applyBorder="1"/>
    <xf numFmtId="0" fontId="37" fillId="0" borderId="0" xfId="0" applyFont="1" applyFill="1" applyBorder="1" applyAlignment="1">
      <alignment wrapText="1"/>
    </xf>
    <xf numFmtId="3" fontId="3" fillId="0" borderId="0" xfId="43" applyNumberFormat="1" applyFont="1" applyFill="1" applyAlignment="1">
      <alignment wrapText="1"/>
    </xf>
    <xf numFmtId="3" fontId="3" fillId="0" borderId="0" xfId="43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167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43" applyFont="1" applyFill="1" applyAlignment="1">
      <alignment wrapText="1"/>
    </xf>
    <xf numFmtId="3" fontId="4" fillId="0" borderId="42" xfId="43" applyNumberFormat="1" applyFont="1" applyFill="1" applyBorder="1" applyAlignment="1">
      <alignment wrapText="1"/>
    </xf>
    <xf numFmtId="0" fontId="4" fillId="0" borderId="0" xfId="43" applyFont="1" applyFill="1" applyBorder="1" applyAlignment="1">
      <alignment wrapText="1"/>
    </xf>
    <xf numFmtId="0" fontId="37" fillId="0" borderId="0" xfId="0" applyFont="1" applyFill="1" applyBorder="1" applyAlignment="1">
      <alignment vertical="top" wrapText="1"/>
    </xf>
    <xf numFmtId="3" fontId="4" fillId="0" borderId="42" xfId="43" applyNumberFormat="1" applyFont="1" applyFill="1" applyBorder="1"/>
    <xf numFmtId="3" fontId="4" fillId="0" borderId="0" xfId="43" applyNumberFormat="1" applyFont="1" applyFill="1" applyBorder="1"/>
    <xf numFmtId="3" fontId="4" fillId="0" borderId="41" xfId="43" applyNumberFormat="1" applyFont="1" applyFill="1" applyBorder="1"/>
    <xf numFmtId="3" fontId="4" fillId="0" borderId="43" xfId="43" applyNumberFormat="1" applyFont="1" applyFill="1" applyBorder="1"/>
    <xf numFmtId="0" fontId="39" fillId="0" borderId="0" xfId="0" applyFont="1"/>
    <xf numFmtId="167" fontId="39" fillId="0" borderId="0" xfId="0" applyNumberFormat="1" applyFont="1"/>
    <xf numFmtId="167" fontId="3" fillId="0" borderId="0" xfId="0" applyNumberFormat="1" applyFont="1"/>
    <xf numFmtId="0" fontId="3" fillId="0" borderId="0" xfId="0" applyFont="1"/>
    <xf numFmtId="0" fontId="40" fillId="0" borderId="0" xfId="18" applyFont="1" applyFill="1"/>
    <xf numFmtId="0" fontId="7" fillId="0" borderId="0" xfId="18" applyFill="1"/>
    <xf numFmtId="0" fontId="41" fillId="0" borderId="0" xfId="18" applyFont="1" applyFill="1" applyAlignment="1">
      <alignment horizontal="center" wrapText="1"/>
    </xf>
    <xf numFmtId="14" fontId="41" fillId="0" borderId="41" xfId="18" applyNumberFormat="1" applyFont="1" applyFill="1" applyBorder="1" applyAlignment="1">
      <alignment horizontal="center" wrapText="1"/>
    </xf>
    <xf numFmtId="0" fontId="41" fillId="0" borderId="41" xfId="18" applyNumberFormat="1" applyFont="1" applyFill="1" applyBorder="1" applyAlignment="1">
      <alignment horizontal="center" wrapText="1"/>
    </xf>
    <xf numFmtId="0" fontId="42" fillId="0" borderId="0" xfId="18" applyFont="1" applyFill="1" applyAlignment="1">
      <alignment vertical="top" wrapText="1"/>
    </xf>
    <xf numFmtId="3" fontId="42" fillId="0" borderId="0" xfId="18" applyNumberFormat="1" applyFont="1" applyFill="1" applyBorder="1" applyAlignment="1">
      <alignment horizontal="right" wrapText="1"/>
    </xf>
    <xf numFmtId="0" fontId="42" fillId="0" borderId="0" xfId="18" applyFont="1" applyFill="1" applyBorder="1" applyAlignment="1">
      <alignment horizontal="right" wrapText="1"/>
    </xf>
    <xf numFmtId="3" fontId="42" fillId="0" borderId="41" xfId="18" applyNumberFormat="1" applyFont="1" applyFill="1" applyBorder="1" applyAlignment="1">
      <alignment horizontal="right"/>
    </xf>
    <xf numFmtId="0" fontId="41" fillId="0" borderId="0" xfId="18" applyFont="1" applyFill="1" applyAlignment="1">
      <alignment vertical="top" wrapText="1"/>
    </xf>
    <xf numFmtId="3" fontId="41" fillId="0" borderId="43" xfId="18" applyNumberFormat="1" applyFont="1" applyFill="1" applyBorder="1" applyAlignment="1">
      <alignment horizontal="right" wrapText="1"/>
    </xf>
    <xf numFmtId="0" fontId="41" fillId="0" borderId="0" xfId="18" applyFont="1" applyFill="1" applyAlignment="1">
      <alignment horizontal="right" wrapText="1"/>
    </xf>
    <xf numFmtId="14" fontId="41" fillId="0" borderId="41" xfId="18" applyNumberFormat="1" applyFont="1" applyFill="1" applyBorder="1" applyAlignment="1">
      <alignment horizontal="center"/>
    </xf>
    <xf numFmtId="0" fontId="41" fillId="0" borderId="0" xfId="18" applyFont="1" applyFill="1" applyAlignment="1">
      <alignment horizontal="center"/>
    </xf>
    <xf numFmtId="0" fontId="41" fillId="0" borderId="41" xfId="18" applyFont="1" applyFill="1" applyBorder="1" applyAlignment="1">
      <alignment horizontal="center"/>
    </xf>
    <xf numFmtId="0" fontId="42" fillId="0" borderId="0" xfId="18" applyFont="1" applyFill="1"/>
    <xf numFmtId="3" fontId="42" fillId="0" borderId="0" xfId="18" applyNumberFormat="1" applyFont="1" applyFill="1"/>
    <xf numFmtId="3" fontId="42" fillId="0" borderId="0" xfId="18" applyNumberFormat="1" applyFont="1" applyFill="1" applyAlignment="1">
      <alignment horizontal="right"/>
    </xf>
    <xf numFmtId="0" fontId="27" fillId="0" borderId="0" xfId="18" applyFont="1" applyFill="1"/>
    <xf numFmtId="0" fontId="41" fillId="0" borderId="0" xfId="18" applyFont="1" applyFill="1"/>
    <xf numFmtId="3" fontId="41" fillId="0" borderId="43" xfId="18" applyNumberFormat="1" applyFont="1" applyFill="1" applyBorder="1"/>
    <xf numFmtId="3" fontId="41" fillId="0" borderId="42" xfId="18" applyNumberFormat="1" applyFont="1" applyFill="1" applyBorder="1"/>
    <xf numFmtId="0" fontId="7" fillId="0" borderId="0" xfId="18" applyFont="1" applyFill="1"/>
    <xf numFmtId="0" fontId="42" fillId="8" borderId="0" xfId="18" applyFont="1" applyFill="1"/>
    <xf numFmtId="0" fontId="41" fillId="0" borderId="0" xfId="18" applyNumberFormat="1" applyFont="1" applyFill="1" applyAlignment="1">
      <alignment horizontal="center" wrapText="1"/>
    </xf>
    <xf numFmtId="3" fontId="42" fillId="0" borderId="0" xfId="18" applyNumberFormat="1" applyFont="1" applyFill="1" applyAlignment="1">
      <alignment wrapText="1"/>
    </xf>
    <xf numFmtId="3" fontId="42" fillId="0" borderId="43" xfId="18" applyNumberFormat="1" applyFont="1" applyFill="1" applyBorder="1" applyAlignment="1">
      <alignment wrapText="1"/>
    </xf>
    <xf numFmtId="3" fontId="7" fillId="0" borderId="0" xfId="18" applyNumberFormat="1" applyFill="1" applyAlignment="1">
      <alignment wrapText="1"/>
    </xf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/>
    <xf numFmtId="4" fontId="0" fillId="0" borderId="0" xfId="0" applyNumberFormat="1" applyAlignment="1"/>
    <xf numFmtId="0" fontId="17" fillId="0" borderId="0" xfId="1" applyFont="1" applyFill="1" applyAlignment="1" applyProtection="1">
      <alignment horizontal="right" wrapText="1"/>
      <protection locked="0" hidden="1"/>
    </xf>
    <xf numFmtId="0" fontId="17" fillId="9" borderId="0" xfId="0" applyFont="1" applyFill="1" applyAlignment="1">
      <alignment horizontal="left" vertical="center"/>
    </xf>
    <xf numFmtId="0" fontId="46" fillId="9" borderId="0" xfId="0" applyFont="1" applyFill="1" applyAlignment="1"/>
    <xf numFmtId="0" fontId="17" fillId="9" borderId="0" xfId="0" applyFont="1" applyFill="1" applyAlignment="1">
      <alignment horizontal="right" vertical="top"/>
    </xf>
    <xf numFmtId="0" fontId="17" fillId="9" borderId="0" xfId="0" applyFont="1" applyFill="1" applyAlignment="1">
      <alignment horizontal="left" vertical="top"/>
    </xf>
    <xf numFmtId="0" fontId="17" fillId="9" borderId="0" xfId="0" applyFont="1" applyFill="1" applyAlignment="1">
      <alignment wrapText="1"/>
    </xf>
    <xf numFmtId="0" fontId="17" fillId="9" borderId="0" xfId="0" applyFont="1" applyFill="1" applyAlignment="1">
      <alignment horizontal="left"/>
    </xf>
    <xf numFmtId="0" fontId="46" fillId="9" borderId="0" xfId="0" applyFont="1" applyFill="1" applyAlignment="1">
      <alignment wrapText="1"/>
    </xf>
    <xf numFmtId="0" fontId="47" fillId="9" borderId="0" xfId="0" applyFont="1" applyFill="1" applyAlignment="1">
      <alignment vertical="center"/>
    </xf>
    <xf numFmtId="0" fontId="48" fillId="9" borderId="0" xfId="0" applyFont="1" applyFill="1" applyAlignment="1">
      <alignment horizontal="center" vertical="center"/>
    </xf>
    <xf numFmtId="0" fontId="47" fillId="9" borderId="0" xfId="0" applyFont="1" applyFill="1" applyAlignment="1"/>
    <xf numFmtId="0" fontId="49" fillId="9" borderId="0" xfId="0" applyFont="1" applyFill="1"/>
    <xf numFmtId="0" fontId="47" fillId="9" borderId="47" xfId="0" applyFont="1" applyFill="1" applyBorder="1"/>
    <xf numFmtId="4" fontId="46" fillId="9" borderId="47" xfId="0" applyNumberFormat="1" applyFont="1" applyFill="1" applyBorder="1" applyAlignment="1">
      <alignment horizontal="right"/>
    </xf>
    <xf numFmtId="0" fontId="49" fillId="9" borderId="0" xfId="0" applyFont="1" applyFill="1" applyAlignment="1">
      <alignment horizontal="left"/>
    </xf>
    <xf numFmtId="0" fontId="49" fillId="9" borderId="0" xfId="0" applyFont="1" applyFill="1" applyBorder="1"/>
    <xf numFmtId="3" fontId="49" fillId="9" borderId="0" xfId="0" applyNumberFormat="1" applyFont="1" applyFill="1"/>
    <xf numFmtId="0" fontId="46" fillId="9" borderId="0" xfId="0" applyFont="1" applyFill="1" applyAlignment="1">
      <alignment vertical="center"/>
    </xf>
    <xf numFmtId="0" fontId="19" fillId="9" borderId="0" xfId="0" applyFont="1" applyFill="1" applyAlignment="1">
      <alignment vertical="center" wrapText="1"/>
    </xf>
    <xf numFmtId="1" fontId="17" fillId="9" borderId="41" xfId="0" applyNumberFormat="1" applyFont="1" applyFill="1" applyBorder="1" applyAlignment="1">
      <alignment horizontal="left" wrapText="1"/>
    </xf>
    <xf numFmtId="0" fontId="46" fillId="9" borderId="0" xfId="0" applyFont="1" applyFill="1" applyBorder="1" applyAlignment="1">
      <alignment vertical="center"/>
    </xf>
    <xf numFmtId="0" fontId="17" fillId="9" borderId="0" xfId="0" applyFont="1" applyFill="1" applyAlignment="1">
      <alignment horizontal="left" wrapText="1"/>
    </xf>
    <xf numFmtId="1" fontId="17" fillId="9" borderId="0" xfId="0" applyNumberFormat="1" applyFont="1" applyFill="1" applyAlignment="1">
      <alignment horizontal="center" wrapText="1"/>
    </xf>
    <xf numFmtId="0" fontId="19" fillId="9" borderId="0" xfId="0" applyFont="1" applyFill="1" applyAlignment="1">
      <alignment wrapText="1"/>
    </xf>
    <xf numFmtId="0" fontId="46" fillId="9" borderId="0" xfId="0" applyFont="1" applyFill="1" applyBorder="1" applyAlignment="1"/>
    <xf numFmtId="0" fontId="19" fillId="9" borderId="0" xfId="0" applyFont="1" applyFill="1" applyAlignment="1">
      <alignment horizontal="left" wrapText="1"/>
    </xf>
    <xf numFmtId="0" fontId="38" fillId="9" borderId="0" xfId="0" applyFont="1" applyFill="1" applyAlignment="1">
      <alignment horizontal="left" wrapText="1"/>
    </xf>
    <xf numFmtId="0" fontId="49" fillId="0" borderId="0" xfId="0" applyFont="1"/>
    <xf numFmtId="0" fontId="17" fillId="0" borderId="0" xfId="0" applyFont="1" applyFill="1" applyAlignment="1">
      <alignment horizontal="left" vertical="center"/>
    </xf>
    <xf numFmtId="0" fontId="46" fillId="0" borderId="0" xfId="0" applyFont="1" applyFill="1" applyAlignment="1"/>
    <xf numFmtId="0" fontId="17" fillId="0" borderId="0" xfId="0" applyFont="1" applyFill="1" applyAlignment="1">
      <alignment horizontal="right" vertical="top"/>
    </xf>
    <xf numFmtId="0" fontId="49" fillId="0" borderId="0" xfId="0" applyFont="1" applyFill="1"/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wrapText="1"/>
    </xf>
    <xf numFmtId="0" fontId="46" fillId="0" borderId="0" xfId="47" applyFont="1" applyFill="1"/>
    <xf numFmtId="0" fontId="48" fillId="0" borderId="0" xfId="47" applyFont="1" applyFill="1" applyBorder="1"/>
    <xf numFmtId="4" fontId="46" fillId="0" borderId="0" xfId="47" applyNumberFormat="1" applyFont="1" applyFill="1"/>
    <xf numFmtId="0" fontId="47" fillId="0" borderId="47" xfId="47" applyFont="1" applyFill="1" applyBorder="1" applyAlignment="1">
      <alignment horizontal="center"/>
    </xf>
    <xf numFmtId="4" fontId="47" fillId="0" borderId="47" xfId="47" applyNumberFormat="1" applyFont="1" applyFill="1" applyBorder="1" applyAlignment="1">
      <alignment horizontal="center"/>
    </xf>
    <xf numFmtId="0" fontId="46" fillId="0" borderId="47" xfId="47" applyFont="1" applyFill="1" applyBorder="1"/>
    <xf numFmtId="0" fontId="46" fillId="0" borderId="47" xfId="46" applyNumberFormat="1" applyFont="1" applyBorder="1" applyAlignment="1">
      <alignment horizontal="left" vertical="top" wrapText="1"/>
    </xf>
    <xf numFmtId="14" fontId="46" fillId="0" borderId="47" xfId="47" applyNumberFormat="1" applyFont="1" applyFill="1" applyBorder="1"/>
    <xf numFmtId="0" fontId="48" fillId="0" borderId="47" xfId="47" applyFont="1" applyFill="1" applyBorder="1"/>
    <xf numFmtId="4" fontId="50" fillId="0" borderId="0" xfId="47" applyNumberFormat="1" applyFont="1" applyFill="1" applyBorder="1"/>
    <xf numFmtId="4" fontId="48" fillId="0" borderId="0" xfId="47" applyNumberFormat="1" applyFont="1" applyFill="1" applyBorder="1"/>
    <xf numFmtId="3" fontId="46" fillId="0" borderId="47" xfId="46" applyNumberFormat="1" applyFont="1" applyBorder="1" applyAlignment="1">
      <alignment horizontal="right" vertical="top"/>
    </xf>
    <xf numFmtId="14" fontId="46" fillId="0" borderId="4" xfId="47" applyNumberFormat="1" applyFont="1" applyFill="1" applyBorder="1"/>
    <xf numFmtId="0" fontId="46" fillId="0" borderId="4" xfId="47" applyFont="1" applyFill="1" applyBorder="1"/>
    <xf numFmtId="0" fontId="46" fillId="0" borderId="4" xfId="46" applyNumberFormat="1" applyFont="1" applyBorder="1" applyAlignment="1">
      <alignment horizontal="left" vertical="top" wrapText="1"/>
    </xf>
    <xf numFmtId="3" fontId="46" fillId="0" borderId="4" xfId="46" applyNumberFormat="1" applyFont="1" applyBorder="1" applyAlignment="1">
      <alignment horizontal="right" vertical="top"/>
    </xf>
    <xf numFmtId="0" fontId="48" fillId="0" borderId="4" xfId="47" applyFont="1" applyFill="1" applyBorder="1"/>
    <xf numFmtId="0" fontId="51" fillId="0" borderId="0" xfId="0" applyFont="1" applyFill="1"/>
    <xf numFmtId="4" fontId="51" fillId="0" borderId="0" xfId="0" applyNumberFormat="1" applyFont="1" applyFill="1"/>
    <xf numFmtId="0" fontId="17" fillId="4" borderId="41" xfId="0" applyFont="1" applyFill="1" applyBorder="1" applyAlignment="1">
      <alignment vertical="center" wrapText="1"/>
    </xf>
    <xf numFmtId="0" fontId="17" fillId="9" borderId="48" xfId="0" applyFont="1" applyFill="1" applyBorder="1" applyAlignment="1">
      <alignment horizontal="center" vertical="top" wrapText="1"/>
    </xf>
    <xf numFmtId="0" fontId="17" fillId="9" borderId="48" xfId="0" applyFont="1" applyFill="1" applyBorder="1" applyAlignment="1">
      <alignment vertical="top" wrapText="1"/>
    </xf>
    <xf numFmtId="0" fontId="17" fillId="9" borderId="41" xfId="0" applyFont="1" applyFill="1" applyBorder="1" applyAlignment="1">
      <alignment vertical="center" wrapText="1"/>
    </xf>
    <xf numFmtId="0" fontId="38" fillId="9" borderId="0" xfId="0" applyFont="1" applyFill="1" applyAlignment="1">
      <alignment horizontal="center" wrapText="1"/>
    </xf>
    <xf numFmtId="0" fontId="3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45"/>
    <xf numFmtId="0" fontId="3" fillId="0" borderId="0" xfId="0" applyNumberFormat="1" applyFont="1" applyAlignment="1">
      <alignment horizontal="center" wrapText="1"/>
    </xf>
    <xf numFmtId="0" fontId="3" fillId="0" borderId="14" xfId="45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center"/>
    </xf>
    <xf numFmtId="0" fontId="3" fillId="0" borderId="11" xfId="45" applyNumberFormat="1" applyFont="1" applyBorder="1" applyAlignment="1">
      <alignment horizontal="center"/>
    </xf>
    <xf numFmtId="0" fontId="3" fillId="0" borderId="3" xfId="45" applyNumberFormat="1" applyFont="1" applyBorder="1" applyAlignment="1">
      <alignment horizontal="center"/>
    </xf>
    <xf numFmtId="0" fontId="3" fillId="0" borderId="12" xfId="45" applyNumberFormat="1" applyFont="1" applyBorder="1" applyAlignment="1">
      <alignment horizontal="center"/>
    </xf>
    <xf numFmtId="0" fontId="3" fillId="0" borderId="49" xfId="45" applyNumberFormat="1" applyFont="1" applyBorder="1" applyAlignment="1">
      <alignment horizontal="center"/>
    </xf>
    <xf numFmtId="0" fontId="3" fillId="10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4" fillId="0" borderId="51" xfId="45" applyNumberFormat="1" applyFont="1" applyBorder="1" applyAlignment="1">
      <alignment horizontal="left" vertical="top"/>
    </xf>
    <xf numFmtId="165" fontId="4" fillId="0" borderId="15" xfId="45" applyNumberFormat="1" applyFont="1" applyBorder="1" applyAlignment="1">
      <alignment horizontal="right" vertical="top" wrapText="1"/>
    </xf>
    <xf numFmtId="0" fontId="4" fillId="0" borderId="15" xfId="45" applyNumberFormat="1" applyFont="1" applyBorder="1" applyAlignment="1">
      <alignment horizontal="right" vertical="top" wrapText="1"/>
    </xf>
    <xf numFmtId="0" fontId="4" fillId="0" borderId="16" xfId="45" applyNumberFormat="1" applyFont="1" applyBorder="1" applyAlignment="1">
      <alignment horizontal="right" vertical="top" wrapText="1"/>
    </xf>
    <xf numFmtId="0" fontId="0" fillId="0" borderId="23" xfId="0" applyFont="1" applyBorder="1" applyAlignment="1">
      <alignment horizontal="left"/>
    </xf>
    <xf numFmtId="0" fontId="3" fillId="0" borderId="37" xfId="48" applyFont="1" applyBorder="1" applyAlignment="1">
      <alignment horizontal="left"/>
    </xf>
    <xf numFmtId="0" fontId="3" fillId="0" borderId="52" xfId="48" applyFont="1" applyBorder="1" applyAlignment="1">
      <alignment horizontal="left"/>
    </xf>
    <xf numFmtId="0" fontId="21" fillId="5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0" fontId="0" fillId="0" borderId="0" xfId="0" applyFill="1"/>
    <xf numFmtId="0" fontId="18" fillId="0" borderId="0" xfId="1" applyFont="1" applyFill="1" applyAlignment="1" applyProtection="1">
      <alignment horizontal="centerContinuous"/>
      <protection locked="0" hidden="1"/>
    </xf>
    <xf numFmtId="0" fontId="30" fillId="0" borderId="0" xfId="1" applyFont="1" applyFill="1" applyAlignment="1" applyProtection="1">
      <alignment horizontal="centerContinuous"/>
      <protection locked="0" hidden="1"/>
    </xf>
    <xf numFmtId="0" fontId="19" fillId="0" borderId="0" xfId="1" applyFont="1" applyFill="1" applyAlignment="1" applyProtection="1">
      <alignment horizontal="centerContinuous"/>
      <protection locked="0" hidden="1"/>
    </xf>
    <xf numFmtId="0" fontId="17" fillId="0" borderId="29" xfId="1" applyFont="1" applyFill="1" applyBorder="1" applyAlignment="1" applyProtection="1">
      <alignment horizontal="left" wrapText="1"/>
      <protection locked="0" hidden="1"/>
    </xf>
    <xf numFmtId="3" fontId="19" fillId="0" borderId="27" xfId="1" applyNumberFormat="1" applyFont="1" applyFill="1" applyBorder="1" applyAlignment="1" applyProtection="1">
      <alignment horizontal="right" vertical="center" wrapText="1"/>
      <protection locked="0" hidden="1"/>
    </xf>
    <xf numFmtId="3" fontId="17" fillId="0" borderId="27" xfId="1" applyNumberFormat="1" applyFont="1" applyFill="1" applyBorder="1" applyAlignment="1" applyProtection="1">
      <alignment horizontal="left" vertical="center" wrapText="1"/>
      <protection locked="0" hidden="1"/>
    </xf>
    <xf numFmtId="3" fontId="17" fillId="0" borderId="27" xfId="1" applyNumberFormat="1" applyFont="1" applyFill="1" applyBorder="1" applyAlignment="1" applyProtection="1">
      <alignment horizontal="center" vertical="center" wrapText="1"/>
      <protection locked="0" hidden="1"/>
    </xf>
    <xf numFmtId="3" fontId="17" fillId="0" borderId="27" xfId="1" applyNumberFormat="1" applyFont="1" applyFill="1" applyBorder="1" applyAlignment="1" applyProtection="1">
      <alignment horizontal="right" vertical="center" wrapText="1"/>
      <protection locked="0" hidden="1"/>
    </xf>
    <xf numFmtId="3" fontId="19" fillId="0" borderId="27" xfId="1" applyNumberFormat="1" applyFont="1" applyFill="1" applyBorder="1" applyAlignment="1" applyProtection="1">
      <alignment horizontal="left" vertical="center" wrapText="1"/>
      <protection locked="0" hidden="1"/>
    </xf>
    <xf numFmtId="3" fontId="19" fillId="0" borderId="27" xfId="1" applyNumberFormat="1" applyFont="1" applyFill="1" applyBorder="1" applyAlignment="1" applyProtection="1">
      <alignment horizontal="center" vertical="center" wrapText="1"/>
      <protection locked="0" hidden="1"/>
    </xf>
    <xf numFmtId="3" fontId="9" fillId="0" borderId="0" xfId="1" applyNumberFormat="1" applyFont="1" applyFill="1" applyAlignment="1" applyProtection="1">
      <alignment horizontal="left" wrapText="1"/>
      <protection locked="0" hidden="1"/>
    </xf>
    <xf numFmtId="3" fontId="16" fillId="0" borderId="0" xfId="1" applyNumberFormat="1" applyFont="1" applyFill="1" applyAlignment="1" applyProtection="1">
      <alignment horizontal="right" vertical="center" wrapText="1"/>
      <protection locked="0" hidden="1"/>
    </xf>
    <xf numFmtId="0" fontId="16" fillId="0" borderId="0" xfId="1" applyFont="1" applyFill="1" applyAlignment="1" applyProtection="1">
      <alignment horizontal="centerContinuous" vertical="center"/>
      <protection locked="0" hidden="1"/>
    </xf>
    <xf numFmtId="0" fontId="16" fillId="0" borderId="0" xfId="1" applyFont="1" applyFill="1" applyAlignment="1" applyProtection="1">
      <alignment horizontal="left" vertical="center"/>
      <protection locked="0" hidden="1"/>
    </xf>
    <xf numFmtId="165" fontId="3" fillId="0" borderId="24" xfId="49" applyNumberFormat="1" applyFont="1" applyBorder="1" applyAlignment="1">
      <alignment horizontal="right" vertical="top"/>
    </xf>
    <xf numFmtId="165" fontId="3" fillId="0" borderId="18" xfId="49" applyNumberFormat="1" applyFont="1" applyBorder="1" applyAlignment="1">
      <alignment horizontal="right" vertical="top"/>
    </xf>
    <xf numFmtId="0" fontId="4" fillId="0" borderId="0" xfId="45" applyNumberFormat="1" applyFont="1" applyAlignment="1">
      <alignment horizontal="left"/>
    </xf>
    <xf numFmtId="0" fontId="4" fillId="3" borderId="53" xfId="45" applyNumberFormat="1" applyFont="1" applyFill="1" applyBorder="1" applyAlignment="1">
      <alignment horizontal="left" vertical="top" wrapText="1"/>
    </xf>
    <xf numFmtId="165" fontId="4" fillId="3" borderId="54" xfId="45" applyNumberFormat="1" applyFont="1" applyFill="1" applyBorder="1" applyAlignment="1">
      <alignment horizontal="right" vertical="top" wrapText="1"/>
    </xf>
    <xf numFmtId="0" fontId="4" fillId="3" borderId="54" xfId="45" applyNumberFormat="1" applyFont="1" applyFill="1" applyBorder="1" applyAlignment="1">
      <alignment horizontal="right" vertical="top" wrapText="1"/>
    </xf>
    <xf numFmtId="0" fontId="4" fillId="3" borderId="55" xfId="45" applyNumberFormat="1" applyFont="1" applyFill="1" applyBorder="1" applyAlignment="1">
      <alignment horizontal="right" vertical="top" wrapText="1"/>
    </xf>
    <xf numFmtId="0" fontId="3" fillId="3" borderId="53" xfId="45" applyNumberFormat="1" applyFont="1" applyFill="1" applyBorder="1" applyAlignment="1">
      <alignment horizontal="left" vertical="top" wrapText="1" indent="2"/>
    </xf>
    <xf numFmtId="165" fontId="3" fillId="3" borderId="54" xfId="45" applyNumberFormat="1" applyFont="1" applyFill="1" applyBorder="1" applyAlignment="1">
      <alignment horizontal="right" vertical="top" wrapText="1"/>
    </xf>
    <xf numFmtId="0" fontId="3" fillId="3" borderId="54" xfId="45" applyNumberFormat="1" applyFont="1" applyFill="1" applyBorder="1" applyAlignment="1">
      <alignment horizontal="right" vertical="top" wrapText="1"/>
    </xf>
    <xf numFmtId="0" fontId="3" fillId="3" borderId="55" xfId="45" applyNumberFormat="1" applyFont="1" applyFill="1" applyBorder="1" applyAlignment="1">
      <alignment horizontal="right" vertical="top" wrapText="1"/>
    </xf>
    <xf numFmtId="0" fontId="3" fillId="2" borderId="53" xfId="45" applyNumberFormat="1" applyFont="1" applyFill="1" applyBorder="1" applyAlignment="1">
      <alignment horizontal="left" vertical="top" wrapText="1" indent="3"/>
    </xf>
    <xf numFmtId="165" fontId="3" fillId="2" borderId="54" xfId="45" applyNumberFormat="1" applyFont="1" applyFill="1" applyBorder="1" applyAlignment="1">
      <alignment horizontal="right" vertical="top" wrapText="1"/>
    </xf>
    <xf numFmtId="0" fontId="3" fillId="2" borderId="54" xfId="45" applyNumberFormat="1" applyFont="1" applyFill="1" applyBorder="1" applyAlignment="1">
      <alignment horizontal="right" vertical="top" wrapText="1"/>
    </xf>
    <xf numFmtId="0" fontId="3" fillId="2" borderId="55" xfId="45" applyNumberFormat="1" applyFont="1" applyFill="1" applyBorder="1" applyAlignment="1">
      <alignment horizontal="right" vertical="top" wrapText="1"/>
    </xf>
    <xf numFmtId="3" fontId="46" fillId="9" borderId="0" xfId="0" applyNumberFormat="1" applyFont="1" applyFill="1" applyBorder="1"/>
    <xf numFmtId="0" fontId="17" fillId="9" borderId="41" xfId="0" applyFont="1" applyFill="1" applyBorder="1" applyAlignment="1">
      <alignment horizontal="left" vertical="center"/>
    </xf>
    <xf numFmtId="0" fontId="17" fillId="4" borderId="41" xfId="0" applyFont="1" applyFill="1" applyBorder="1" applyAlignment="1">
      <alignment horizontal="left" vertical="center"/>
    </xf>
    <xf numFmtId="0" fontId="0" fillId="0" borderId="0" xfId="0"/>
    <xf numFmtId="4" fontId="10" fillId="0" borderId="0" xfId="50" applyNumberFormat="1" applyAlignment="1"/>
    <xf numFmtId="4" fontId="3" fillId="0" borderId="3" xfId="50" applyNumberFormat="1" applyFont="1" applyBorder="1" applyAlignment="1"/>
    <xf numFmtId="4" fontId="3" fillId="0" borderId="12" xfId="50" applyNumberFormat="1" applyFont="1" applyBorder="1" applyAlignment="1"/>
    <xf numFmtId="4" fontId="3" fillId="0" borderId="54" xfId="50" applyNumberFormat="1" applyFont="1" applyBorder="1" applyAlignment="1">
      <alignment vertical="top" wrapText="1"/>
    </xf>
    <xf numFmtId="0" fontId="0" fillId="0" borderId="0" xfId="0"/>
    <xf numFmtId="0" fontId="30" fillId="0" borderId="57" xfId="1" applyFont="1" applyFill="1" applyBorder="1" applyAlignment="1" applyProtection="1">
      <alignment vertical="center" wrapText="1"/>
      <protection locked="0" hidden="1"/>
    </xf>
    <xf numFmtId="0" fontId="30" fillId="0" borderId="58" xfId="1" applyFont="1" applyFill="1" applyBorder="1" applyAlignment="1" applyProtection="1">
      <alignment vertical="center" wrapText="1"/>
      <protection locked="0" hidden="1"/>
    </xf>
    <xf numFmtId="0" fontId="30" fillId="0" borderId="59" xfId="1" applyFont="1" applyFill="1" applyBorder="1" applyAlignment="1" applyProtection="1">
      <alignment vertical="center" wrapText="1"/>
      <protection locked="0" hidden="1"/>
    </xf>
    <xf numFmtId="0" fontId="16" fillId="0" borderId="33" xfId="1" applyFont="1" applyFill="1" applyBorder="1" applyAlignment="1" applyProtection="1">
      <alignment vertical="center" wrapText="1"/>
      <protection locked="0" hidden="1"/>
    </xf>
    <xf numFmtId="0" fontId="16" fillId="0" borderId="0" xfId="1" applyFont="1" applyFill="1" applyBorder="1" applyAlignment="1" applyProtection="1">
      <alignment vertical="center" wrapText="1"/>
      <protection locked="0" hidden="1"/>
    </xf>
    <xf numFmtId="0" fontId="16" fillId="0" borderId="34" xfId="1" applyFont="1" applyFill="1" applyBorder="1" applyAlignment="1" applyProtection="1">
      <alignment vertical="center" wrapText="1"/>
      <protection locked="0" hidden="1"/>
    </xf>
    <xf numFmtId="0" fontId="35" fillId="0" borderId="0" xfId="49" applyNumberFormat="1" applyFont="1" applyAlignment="1">
      <alignment horizontal="centerContinuous" wrapText="1"/>
    </xf>
    <xf numFmtId="0" fontId="10" fillId="0" borderId="0" xfId="49"/>
    <xf numFmtId="0" fontId="4" fillId="0" borderId="0" xfId="49" applyNumberFormat="1" applyFont="1" applyAlignment="1">
      <alignment horizontal="centerContinuous" wrapText="1"/>
    </xf>
    <xf numFmtId="0" fontId="3" fillId="0" borderId="14" xfId="49" applyFont="1" applyBorder="1" applyAlignment="1">
      <alignment horizontal="left"/>
    </xf>
    <xf numFmtId="0" fontId="3" fillId="0" borderId="37" xfId="49" applyFont="1" applyBorder="1" applyAlignment="1">
      <alignment horizontal="left"/>
    </xf>
    <xf numFmtId="0" fontId="3" fillId="0" borderId="52" xfId="49" applyFont="1" applyBorder="1" applyAlignment="1">
      <alignment horizontal="left"/>
    </xf>
    <xf numFmtId="0" fontId="3" fillId="0" borderId="38" xfId="49" applyFont="1" applyBorder="1" applyAlignment="1">
      <alignment horizontal="left"/>
    </xf>
    <xf numFmtId="0" fontId="3" fillId="0" borderId="21" xfId="49" applyFont="1" applyBorder="1" applyAlignment="1">
      <alignment horizontal="left"/>
    </xf>
    <xf numFmtId="0" fontId="3" fillId="0" borderId="22" xfId="49" applyFont="1" applyBorder="1" applyAlignment="1">
      <alignment horizontal="left"/>
    </xf>
    <xf numFmtId="0" fontId="4" fillId="0" borderId="7" xfId="49" applyNumberFormat="1" applyFont="1" applyBorder="1" applyAlignment="1">
      <alignment horizontal="left" vertical="top" wrapText="1"/>
    </xf>
    <xf numFmtId="0" fontId="3" fillId="0" borderId="39" xfId="49" applyNumberFormat="1" applyFont="1" applyBorder="1" applyAlignment="1">
      <alignment horizontal="left" vertical="top" wrapText="1"/>
    </xf>
    <xf numFmtId="1" fontId="3" fillId="0" borderId="40" xfId="49" applyNumberFormat="1" applyFont="1" applyBorder="1" applyAlignment="1">
      <alignment horizontal="left" vertical="top" wrapText="1"/>
    </xf>
    <xf numFmtId="0" fontId="3" fillId="0" borderId="24" xfId="49" applyNumberFormat="1" applyFont="1" applyBorder="1" applyAlignment="1">
      <alignment horizontal="right" vertical="top"/>
    </xf>
    <xf numFmtId="0" fontId="3" fillId="0" borderId="18" xfId="49" applyNumberFormat="1" applyFont="1" applyBorder="1" applyAlignment="1">
      <alignment horizontal="right" vertical="top"/>
    </xf>
    <xf numFmtId="0" fontId="4" fillId="0" borderId="14" xfId="49" applyNumberFormat="1" applyFont="1" applyBorder="1" applyAlignment="1">
      <alignment horizontal="left" vertical="top"/>
    </xf>
    <xf numFmtId="0" fontId="4" fillId="0" borderId="15" xfId="49" applyNumberFormat="1" applyFont="1" applyBorder="1" applyAlignment="1">
      <alignment horizontal="left" vertical="top" wrapText="1"/>
    </xf>
    <xf numFmtId="0" fontId="4" fillId="0" borderId="38" xfId="49" applyNumberFormat="1" applyFont="1" applyBorder="1" applyAlignment="1">
      <alignment horizontal="left" vertical="top"/>
    </xf>
    <xf numFmtId="0" fontId="4" fillId="0" borderId="12" xfId="49" applyNumberFormat="1" applyFont="1" applyBorder="1" applyAlignment="1">
      <alignment horizontal="left" vertical="top" wrapText="1"/>
    </xf>
    <xf numFmtId="0" fontId="35" fillId="0" borderId="0" xfId="51" applyNumberFormat="1" applyFont="1" applyAlignment="1">
      <alignment horizontal="centerContinuous" wrapText="1"/>
    </xf>
    <xf numFmtId="0" fontId="10" fillId="0" borderId="0" xfId="51"/>
    <xf numFmtId="0" fontId="3" fillId="0" borderId="14" xfId="51" applyFont="1" applyBorder="1" applyAlignment="1">
      <alignment horizontal="left"/>
    </xf>
    <xf numFmtId="0" fontId="3" fillId="0" borderId="37" xfId="51" applyFont="1" applyBorder="1" applyAlignment="1">
      <alignment horizontal="left"/>
    </xf>
    <xf numFmtId="0" fontId="3" fillId="0" borderId="52" xfId="51" applyFont="1" applyBorder="1" applyAlignment="1">
      <alignment horizontal="left"/>
    </xf>
    <xf numFmtId="0" fontId="3" fillId="0" borderId="38" xfId="51" applyFont="1" applyBorder="1" applyAlignment="1">
      <alignment horizontal="left"/>
    </xf>
    <xf numFmtId="0" fontId="3" fillId="0" borderId="21" xfId="51" applyFont="1" applyBorder="1" applyAlignment="1">
      <alignment horizontal="left"/>
    </xf>
    <xf numFmtId="0" fontId="3" fillId="0" borderId="22" xfId="51" applyFont="1" applyBorder="1" applyAlignment="1">
      <alignment horizontal="left"/>
    </xf>
    <xf numFmtId="0" fontId="4" fillId="0" borderId="19" xfId="51" applyNumberFormat="1" applyFont="1" applyBorder="1" applyAlignment="1">
      <alignment horizontal="left" vertical="top"/>
    </xf>
    <xf numFmtId="0" fontId="4" fillId="0" borderId="7" xfId="51" applyNumberFormat="1" applyFont="1" applyBorder="1" applyAlignment="1">
      <alignment horizontal="left" vertical="top" wrapText="1"/>
    </xf>
    <xf numFmtId="0" fontId="3" fillId="0" borderId="56" xfId="51" applyNumberFormat="1" applyFont="1" applyBorder="1" applyAlignment="1">
      <alignment horizontal="right" vertical="top"/>
    </xf>
    <xf numFmtId="0" fontId="3" fillId="0" borderId="39" xfId="51" applyNumberFormat="1" applyFont="1" applyBorder="1" applyAlignment="1">
      <alignment horizontal="left" vertical="top" wrapText="1"/>
    </xf>
    <xf numFmtId="1" fontId="3" fillId="0" borderId="40" xfId="51" applyNumberFormat="1" applyFont="1" applyBorder="1" applyAlignment="1">
      <alignment horizontal="left" vertical="top" wrapText="1"/>
    </xf>
    <xf numFmtId="165" fontId="3" fillId="0" borderId="24" xfId="51" applyNumberFormat="1" applyFont="1" applyBorder="1" applyAlignment="1">
      <alignment horizontal="right" vertical="top"/>
    </xf>
    <xf numFmtId="0" fontId="3" fillId="0" borderId="18" xfId="51" applyNumberFormat="1" applyFont="1" applyBorder="1" applyAlignment="1">
      <alignment horizontal="right" vertical="top"/>
    </xf>
    <xf numFmtId="0" fontId="4" fillId="0" borderId="53" xfId="51" applyNumberFormat="1" applyFont="1" applyBorder="1" applyAlignment="1">
      <alignment horizontal="left" vertical="top"/>
    </xf>
    <xf numFmtId="0" fontId="4" fillId="0" borderId="54" xfId="51" applyNumberFormat="1" applyFont="1" applyBorder="1" applyAlignment="1">
      <alignment horizontal="left" vertical="top" wrapText="1"/>
    </xf>
    <xf numFmtId="165" fontId="3" fillId="0" borderId="54" xfId="51" applyNumberFormat="1" applyFont="1" applyBorder="1" applyAlignment="1">
      <alignment horizontal="right" vertical="top"/>
    </xf>
    <xf numFmtId="0" fontId="3" fillId="0" borderId="7" xfId="51" applyNumberFormat="1" applyFont="1" applyBorder="1" applyAlignment="1">
      <alignment horizontal="right" vertical="top"/>
    </xf>
    <xf numFmtId="0" fontId="4" fillId="0" borderId="14" xfId="51" applyNumberFormat="1" applyFont="1" applyBorder="1" applyAlignment="1">
      <alignment horizontal="left" vertical="top"/>
    </xf>
    <xf numFmtId="0" fontId="4" fillId="0" borderId="15" xfId="51" applyNumberFormat="1" applyFont="1" applyBorder="1" applyAlignment="1">
      <alignment horizontal="left" vertical="top" wrapText="1"/>
    </xf>
    <xf numFmtId="165" fontId="3" fillId="0" borderId="15" xfId="51" applyNumberFormat="1" applyFont="1" applyBorder="1" applyAlignment="1">
      <alignment horizontal="right" vertical="top"/>
    </xf>
    <xf numFmtId="165" fontId="3" fillId="0" borderId="16" xfId="51" applyNumberFormat="1" applyFont="1" applyBorder="1" applyAlignment="1">
      <alignment horizontal="right" vertical="top"/>
    </xf>
    <xf numFmtId="0" fontId="4" fillId="0" borderId="38" xfId="51" applyNumberFormat="1" applyFont="1" applyBorder="1" applyAlignment="1">
      <alignment horizontal="left" vertical="top"/>
    </xf>
    <xf numFmtId="0" fontId="4" fillId="0" borderId="12" xfId="51" applyNumberFormat="1" applyFont="1" applyBorder="1" applyAlignment="1">
      <alignment horizontal="left" vertical="top" wrapText="1"/>
    </xf>
    <xf numFmtId="0" fontId="3" fillId="0" borderId="12" xfId="51" applyNumberFormat="1" applyFont="1" applyBorder="1" applyAlignment="1">
      <alignment horizontal="right" vertical="top"/>
    </xf>
    <xf numFmtId="0" fontId="0" fillId="0" borderId="0" xfId="0"/>
    <xf numFmtId="4" fontId="3" fillId="0" borderId="9" xfId="50" applyNumberFormat="1" applyFont="1" applyBorder="1" applyAlignment="1"/>
    <xf numFmtId="4" fontId="3" fillId="0" borderId="10" xfId="50" applyNumberFormat="1" applyFont="1" applyBorder="1" applyAlignment="1"/>
    <xf numFmtId="0" fontId="0" fillId="0" borderId="0" xfId="0"/>
    <xf numFmtId="0" fontId="45" fillId="0" borderId="0" xfId="0" applyFont="1"/>
    <xf numFmtId="0" fontId="0" fillId="0" borderId="0" xfId="0"/>
    <xf numFmtId="0" fontId="17" fillId="0" borderId="0" xfId="1" applyFont="1" applyFill="1" applyAlignment="1" applyProtection="1">
      <alignment horizontal="right" wrapText="1"/>
      <protection locked="0" hidden="1"/>
    </xf>
    <xf numFmtId="0" fontId="17" fillId="0" borderId="0" xfId="1" applyFont="1" applyFill="1" applyAlignment="1" applyProtection="1">
      <alignment horizontal="right"/>
      <protection locked="0" hidden="1"/>
    </xf>
    <xf numFmtId="0" fontId="19" fillId="0" borderId="0" xfId="1" applyFont="1" applyFill="1" applyAlignment="1" applyProtection="1">
      <alignment horizontal="right"/>
      <protection locked="0" hidden="1"/>
    </xf>
    <xf numFmtId="0" fontId="17" fillId="0" borderId="0" xfId="1" applyFont="1" applyFill="1" applyAlignment="1" applyProtection="1">
      <alignment horizontal="left" vertical="center"/>
      <protection locked="0" hidden="1"/>
    </xf>
    <xf numFmtId="0" fontId="17" fillId="0" borderId="0" xfId="1" applyFont="1" applyFill="1" applyAlignment="1" applyProtection="1">
      <protection locked="0" hidden="1"/>
    </xf>
    <xf numFmtId="0" fontId="19" fillId="0" borderId="0" xfId="1" applyFont="1" applyFill="1" applyAlignment="1" applyProtection="1">
      <protection locked="0" hidden="1"/>
    </xf>
    <xf numFmtId="0" fontId="16" fillId="0" borderId="0" xfId="1" applyFont="1" applyFill="1" applyAlignment="1" applyProtection="1">
      <alignment horizontal="left"/>
      <protection locked="0" hidden="1"/>
    </xf>
    <xf numFmtId="0" fontId="30" fillId="0" borderId="0" xfId="1" applyFont="1" applyFill="1" applyAlignment="1" applyProtection="1">
      <alignment horizontal="right"/>
      <protection locked="0" hidden="1"/>
    </xf>
    <xf numFmtId="0" fontId="0" fillId="0" borderId="0" xfId="0"/>
    <xf numFmtId="0" fontId="46" fillId="9" borderId="44" xfId="0" applyFont="1" applyFill="1" applyBorder="1" applyAlignment="1">
      <alignment horizontal="left"/>
    </xf>
    <xf numFmtId="0" fontId="46" fillId="9" borderId="45" xfId="0" applyFont="1" applyFill="1" applyBorder="1" applyAlignment="1">
      <alignment horizontal="left"/>
    </xf>
    <xf numFmtId="0" fontId="46" fillId="9" borderId="46" xfId="0" applyFont="1" applyFill="1" applyBorder="1" applyAlignment="1">
      <alignment horizontal="left"/>
    </xf>
    <xf numFmtId="0" fontId="3" fillId="0" borderId="49" xfId="51" applyNumberFormat="1" applyFont="1" applyBorder="1" applyAlignment="1">
      <alignment horizontal="right" vertical="top"/>
    </xf>
    <xf numFmtId="0" fontId="17" fillId="0" borderId="0" xfId="1" applyFont="1" applyFill="1" applyAlignment="1" applyProtection="1">
      <alignment vertical="center" wrapText="1"/>
      <protection locked="0" hidden="1"/>
    </xf>
    <xf numFmtId="0" fontId="17" fillId="0" borderId="0" xfId="1" applyFont="1" applyFill="1" applyAlignment="1" applyProtection="1">
      <alignment vertical="center"/>
      <protection locked="0" hidden="1"/>
    </xf>
    <xf numFmtId="0" fontId="17" fillId="9" borderId="0" xfId="0" applyFont="1" applyFill="1" applyAlignment="1"/>
    <xf numFmtId="0" fontId="4" fillId="0" borderId="13" xfId="51" applyNumberFormat="1" applyFont="1" applyBorder="1" applyAlignment="1">
      <alignment horizontal="left" vertical="top"/>
    </xf>
    <xf numFmtId="0" fontId="49" fillId="9" borderId="0" xfId="0" applyFont="1" applyFill="1" applyAlignment="1">
      <alignment horizontal="right"/>
    </xf>
    <xf numFmtId="0" fontId="46" fillId="9" borderId="0" xfId="0" applyFont="1" applyFill="1" applyBorder="1" applyAlignment="1">
      <alignment horizontal="left"/>
    </xf>
    <xf numFmtId="0" fontId="52" fillId="9" borderId="0" xfId="0" applyFont="1" applyFill="1"/>
    <xf numFmtId="0" fontId="46" fillId="0" borderId="0" xfId="47" applyFont="1" applyFill="1" applyAlignment="1">
      <alignment horizontal="right"/>
    </xf>
    <xf numFmtId="3" fontId="48" fillId="0" borderId="4" xfId="47" applyNumberFormat="1" applyFont="1" applyFill="1" applyBorder="1"/>
    <xf numFmtId="3" fontId="48" fillId="0" borderId="47" xfId="47" applyNumberFormat="1" applyFont="1" applyFill="1" applyBorder="1"/>
    <xf numFmtId="3" fontId="46" fillId="9" borderId="47" xfId="0" applyNumberFormat="1" applyFont="1" applyFill="1" applyBorder="1" applyAlignment="1">
      <alignment horizontal="right"/>
    </xf>
    <xf numFmtId="0" fontId="0" fillId="0" borderId="0" xfId="0"/>
    <xf numFmtId="0" fontId="10" fillId="0" borderId="0" xfId="52" applyAlignment="1">
      <alignment horizontal="left"/>
    </xf>
    <xf numFmtId="0" fontId="0" fillId="0" borderId="0" xfId="0"/>
    <xf numFmtId="165" fontId="3" fillId="0" borderId="55" xfId="51" applyNumberFormat="1" applyFont="1" applyBorder="1" applyAlignment="1">
      <alignment horizontal="right" vertical="top"/>
    </xf>
    <xf numFmtId="0" fontId="0" fillId="0" borderId="0" xfId="0"/>
    <xf numFmtId="0" fontId="35" fillId="0" borderId="0" xfId="52" applyNumberFormat="1" applyFont="1" applyAlignment="1">
      <alignment horizontal="center"/>
    </xf>
    <xf numFmtId="0" fontId="4" fillId="0" borderId="0" xfId="52" applyNumberFormat="1" applyFont="1" applyAlignment="1">
      <alignment horizontal="center"/>
    </xf>
    <xf numFmtId="0" fontId="3" fillId="0" borderId="0" xfId="52" applyFont="1" applyAlignment="1">
      <alignment horizontal="left"/>
    </xf>
    <xf numFmtId="0" fontId="0" fillId="0" borderId="0" xfId="0"/>
    <xf numFmtId="0" fontId="5" fillId="0" borderId="0" xfId="54"/>
    <xf numFmtId="0" fontId="5" fillId="0" borderId="0" xfId="54" applyAlignment="1">
      <alignment horizontal="left"/>
    </xf>
    <xf numFmtId="0" fontId="54" fillId="11" borderId="61" xfId="54" applyFont="1" applyFill="1" applyBorder="1" applyAlignment="1">
      <alignment horizontal="left" vertical="top"/>
    </xf>
    <xf numFmtId="0" fontId="10" fillId="0" borderId="0" xfId="54" applyFont="1" applyAlignment="1">
      <alignment horizontal="left"/>
    </xf>
    <xf numFmtId="0" fontId="5" fillId="0" borderId="63" xfId="54" applyBorder="1" applyAlignment="1">
      <alignment horizontal="left"/>
    </xf>
    <xf numFmtId="0" fontId="5" fillId="0" borderId="0" xfId="54" applyAlignment="1">
      <alignment horizontal="center" vertical="top"/>
    </xf>
    <xf numFmtId="0" fontId="55" fillId="0" borderId="61" xfId="54" applyFont="1" applyBorder="1" applyAlignment="1">
      <alignment horizontal="left" vertical="top"/>
    </xf>
    <xf numFmtId="0" fontId="55" fillId="0" borderId="61" xfId="54" applyFont="1" applyBorder="1" applyAlignment="1">
      <alignment horizontal="right" vertical="top"/>
    </xf>
    <xf numFmtId="0" fontId="55" fillId="0" borderId="62" xfId="54" applyFont="1" applyBorder="1" applyAlignment="1">
      <alignment horizontal="right" vertical="top"/>
    </xf>
    <xf numFmtId="4" fontId="55" fillId="0" borderId="61" xfId="54" applyNumberFormat="1" applyFont="1" applyBorder="1" applyAlignment="1">
      <alignment horizontal="right" vertical="top"/>
    </xf>
    <xf numFmtId="1" fontId="55" fillId="0" borderId="61" xfId="54" applyNumberFormat="1" applyFont="1" applyBorder="1" applyAlignment="1">
      <alignment horizontal="left" vertical="top"/>
    </xf>
    <xf numFmtId="1" fontId="5" fillId="0" borderId="61" xfId="54" applyNumberFormat="1" applyBorder="1" applyAlignment="1">
      <alignment horizontal="left" vertical="top"/>
    </xf>
    <xf numFmtId="0" fontId="5" fillId="0" borderId="61" xfId="54" applyBorder="1" applyAlignment="1">
      <alignment horizontal="left" vertical="top"/>
    </xf>
    <xf numFmtId="4" fontId="5" fillId="0" borderId="61" xfId="54" applyNumberFormat="1" applyBorder="1" applyAlignment="1">
      <alignment horizontal="right" vertical="top"/>
    </xf>
    <xf numFmtId="0" fontId="5" fillId="0" borderId="62" xfId="54" applyBorder="1" applyAlignment="1">
      <alignment horizontal="right" vertical="top"/>
    </xf>
    <xf numFmtId="0" fontId="5" fillId="0" borderId="61" xfId="54" applyBorder="1" applyAlignment="1">
      <alignment horizontal="right" vertical="top"/>
    </xf>
    <xf numFmtId="2" fontId="5" fillId="0" borderId="61" xfId="54" applyNumberFormat="1" applyBorder="1" applyAlignment="1">
      <alignment horizontal="right" vertical="top"/>
    </xf>
    <xf numFmtId="4" fontId="56" fillId="0" borderId="61" xfId="54" applyNumberFormat="1" applyFont="1" applyBorder="1" applyAlignment="1">
      <alignment horizontal="right" vertical="top"/>
    </xf>
    <xf numFmtId="2" fontId="55" fillId="0" borderId="61" xfId="54" applyNumberFormat="1" applyFont="1" applyBorder="1" applyAlignment="1">
      <alignment horizontal="right" vertical="top"/>
    </xf>
    <xf numFmtId="165" fontId="57" fillId="11" borderId="61" xfId="54" applyNumberFormat="1" applyFont="1" applyFill="1" applyBorder="1" applyAlignment="1">
      <alignment horizontal="right" vertical="top"/>
    </xf>
    <xf numFmtId="0" fontId="53" fillId="0" borderId="0" xfId="52" applyNumberFormat="1" applyFont="1" applyAlignment="1">
      <alignment horizontal="left"/>
    </xf>
    <xf numFmtId="1" fontId="5" fillId="5" borderId="61" xfId="54" applyNumberFormat="1" applyFill="1" applyBorder="1" applyAlignment="1">
      <alignment horizontal="left" vertical="top"/>
    </xf>
    <xf numFmtId="0" fontId="5" fillId="5" borderId="61" xfId="54" applyFill="1" applyBorder="1" applyAlignment="1">
      <alignment horizontal="left" vertical="top"/>
    </xf>
    <xf numFmtId="0" fontId="5" fillId="5" borderId="61" xfId="54" applyFill="1" applyBorder="1" applyAlignment="1">
      <alignment horizontal="right" vertical="top"/>
    </xf>
    <xf numFmtId="0" fontId="5" fillId="5" borderId="62" xfId="54" applyFill="1" applyBorder="1" applyAlignment="1">
      <alignment horizontal="right" vertical="top"/>
    </xf>
    <xf numFmtId="4" fontId="5" fillId="5" borderId="61" xfId="54" applyNumberFormat="1" applyFill="1" applyBorder="1" applyAlignment="1">
      <alignment horizontal="right" vertical="top"/>
    </xf>
    <xf numFmtId="1" fontId="10" fillId="0" borderId="5" xfId="51" applyNumberFormat="1" applyFont="1" applyBorder="1" applyAlignment="1">
      <alignment horizontal="left" vertical="top"/>
    </xf>
    <xf numFmtId="4" fontId="10" fillId="0" borderId="5" xfId="51" applyNumberFormat="1" applyFont="1" applyBorder="1" applyAlignment="1">
      <alignment horizontal="right" vertical="top" wrapText="1"/>
    </xf>
    <xf numFmtId="0" fontId="10" fillId="0" borderId="5" xfId="51" applyNumberFormat="1" applyFont="1" applyBorder="1" applyAlignment="1">
      <alignment horizontal="right" vertical="top" wrapText="1"/>
    </xf>
    <xf numFmtId="4" fontId="58" fillId="0" borderId="5" xfId="51" applyNumberFormat="1" applyFont="1" applyBorder="1" applyAlignment="1">
      <alignment horizontal="right" vertical="top" wrapText="1"/>
    </xf>
    <xf numFmtId="1" fontId="10" fillId="0" borderId="5" xfId="49" applyNumberFormat="1" applyFont="1" applyBorder="1" applyAlignment="1">
      <alignment horizontal="left" vertical="top"/>
    </xf>
    <xf numFmtId="4" fontId="10" fillId="0" borderId="5" xfId="49" applyNumberFormat="1" applyFont="1" applyBorder="1" applyAlignment="1">
      <alignment horizontal="right" vertical="top" wrapText="1"/>
    </xf>
    <xf numFmtId="0" fontId="10" fillId="0" borderId="5" xfId="49" applyNumberFormat="1" applyFont="1" applyBorder="1" applyAlignment="1">
      <alignment horizontal="right" vertical="top" wrapText="1"/>
    </xf>
    <xf numFmtId="2" fontId="10" fillId="0" borderId="5" xfId="49" applyNumberFormat="1" applyFont="1" applyBorder="1" applyAlignment="1">
      <alignment horizontal="right" vertical="top" wrapText="1"/>
    </xf>
    <xf numFmtId="4" fontId="10" fillId="12" borderId="5" xfId="49" applyNumberFormat="1" applyFont="1" applyFill="1" applyBorder="1" applyAlignment="1">
      <alignment horizontal="right" vertical="top" wrapText="1"/>
    </xf>
    <xf numFmtId="0" fontId="10" fillId="12" borderId="5" xfId="49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0" fillId="0" borderId="0" xfId="0" applyFill="1" applyAlignment="1"/>
    <xf numFmtId="0" fontId="7" fillId="0" borderId="4" xfId="1" applyFont="1" applyBorder="1" applyAlignment="1" applyProtection="1">
      <alignment horizontal="left"/>
      <protection locked="0" hidden="1"/>
    </xf>
    <xf numFmtId="0" fontId="7" fillId="0" borderId="4" xfId="1" applyFont="1" applyFill="1" applyBorder="1" applyAlignment="1" applyProtection="1">
      <alignment horizontal="left"/>
      <protection locked="0" hidden="1"/>
    </xf>
    <xf numFmtId="168" fontId="3" fillId="0" borderId="49" xfId="51" applyNumberFormat="1" applyFont="1" applyBorder="1" applyAlignment="1">
      <alignment horizontal="right" vertical="top"/>
    </xf>
    <xf numFmtId="0" fontId="0" fillId="0" borderId="0" xfId="0"/>
    <xf numFmtId="0" fontId="59" fillId="3" borderId="60" xfId="0" applyNumberFormat="1" applyFont="1" applyFill="1" applyBorder="1" applyAlignment="1">
      <alignment horizontal="center" vertical="center" wrapText="1"/>
    </xf>
    <xf numFmtId="0" fontId="59" fillId="14" borderId="60" xfId="0" applyNumberFormat="1" applyFont="1" applyFill="1" applyBorder="1" applyAlignment="1">
      <alignment horizontal="left" vertical="top" wrapText="1"/>
    </xf>
    <xf numFmtId="0" fontId="59" fillId="14" borderId="60" xfId="0" applyNumberFormat="1" applyFont="1" applyFill="1" applyBorder="1" applyAlignment="1">
      <alignment horizontal="right" vertical="top" wrapText="1"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1" fontId="59" fillId="14" borderId="60" xfId="0" applyNumberFormat="1" applyFont="1" applyFill="1" applyBorder="1" applyAlignment="1">
      <alignment horizontal="left" vertical="top"/>
    </xf>
    <xf numFmtId="1" fontId="3" fillId="0" borderId="53" xfId="0" applyNumberFormat="1" applyFont="1" applyBorder="1" applyAlignment="1">
      <alignment horizontal="left" vertical="top" wrapText="1"/>
    </xf>
    <xf numFmtId="0" fontId="3" fillId="0" borderId="54" xfId="0" applyNumberFormat="1" applyFont="1" applyBorder="1" applyAlignment="1">
      <alignment horizontal="left" vertical="top" wrapText="1"/>
    </xf>
    <xf numFmtId="1" fontId="15" fillId="2" borderId="64" xfId="33" applyNumberFormat="1" applyFont="1" applyFill="1" applyBorder="1" applyAlignment="1">
      <alignment horizontal="left" vertical="top"/>
    </xf>
    <xf numFmtId="0" fontId="15" fillId="2" borderId="64" xfId="33" applyNumberFormat="1" applyFont="1" applyFill="1" applyBorder="1" applyAlignment="1">
      <alignment horizontal="left" vertical="top"/>
    </xf>
    <xf numFmtId="0" fontId="66" fillId="12" borderId="5" xfId="49" applyNumberFormat="1" applyFont="1" applyFill="1" applyBorder="1" applyAlignment="1">
      <alignment horizontal="left" vertical="top" wrapText="1"/>
    </xf>
    <xf numFmtId="4" fontId="66" fillId="12" borderId="5" xfId="49" applyNumberFormat="1" applyFont="1" applyFill="1" applyBorder="1" applyAlignment="1">
      <alignment horizontal="right" vertical="top" wrapText="1"/>
    </xf>
    <xf numFmtId="0" fontId="66" fillId="12" borderId="5" xfId="49" applyNumberFormat="1" applyFont="1" applyFill="1" applyBorder="1" applyAlignment="1">
      <alignment horizontal="right" vertical="top" wrapText="1"/>
    </xf>
    <xf numFmtId="1" fontId="60" fillId="0" borderId="5" xfId="49" applyNumberFormat="1" applyFont="1" applyBorder="1" applyAlignment="1">
      <alignment horizontal="left" vertical="top"/>
    </xf>
    <xf numFmtId="4" fontId="60" fillId="0" borderId="5" xfId="49" applyNumberFormat="1" applyFont="1" applyBorder="1" applyAlignment="1">
      <alignment horizontal="right" vertical="top" wrapText="1"/>
    </xf>
    <xf numFmtId="0" fontId="60" fillId="0" borderId="5" xfId="49" applyNumberFormat="1" applyFont="1" applyBorder="1" applyAlignment="1">
      <alignment horizontal="right" vertical="top" wrapText="1"/>
    </xf>
    <xf numFmtId="2" fontId="60" fillId="0" borderId="5" xfId="49" applyNumberFormat="1" applyFont="1" applyBorder="1" applyAlignment="1">
      <alignment horizontal="right" vertical="top" wrapText="1"/>
    </xf>
    <xf numFmtId="0" fontId="59" fillId="13" borderId="5" xfId="55" applyNumberFormat="1" applyFont="1" applyFill="1" applyBorder="1" applyAlignment="1">
      <alignment horizontal="left" vertical="center" wrapText="1"/>
    </xf>
    <xf numFmtId="0" fontId="59" fillId="13" borderId="5" xfId="55" applyNumberFormat="1" applyFont="1" applyFill="1" applyBorder="1" applyAlignment="1">
      <alignment horizontal="center" vertical="center" wrapText="1"/>
    </xf>
    <xf numFmtId="1" fontId="66" fillId="12" borderId="5" xfId="55" applyNumberFormat="1" applyFont="1" applyFill="1" applyBorder="1" applyAlignment="1">
      <alignment horizontal="left" vertical="top"/>
    </xf>
    <xf numFmtId="0" fontId="66" fillId="12" borderId="5" xfId="55" applyNumberFormat="1" applyFont="1" applyFill="1" applyBorder="1" applyAlignment="1">
      <alignment horizontal="left" vertical="top" wrapText="1"/>
    </xf>
    <xf numFmtId="0" fontId="66" fillId="12" borderId="5" xfId="55" applyNumberFormat="1" applyFont="1" applyFill="1" applyBorder="1" applyAlignment="1">
      <alignment horizontal="right" vertical="top" wrapText="1"/>
    </xf>
    <xf numFmtId="4" fontId="66" fillId="12" borderId="5" xfId="55" applyNumberFormat="1" applyFont="1" applyFill="1" applyBorder="1" applyAlignment="1">
      <alignment horizontal="right" vertical="top" wrapText="1"/>
    </xf>
    <xf numFmtId="0" fontId="60" fillId="0" borderId="5" xfId="55" applyNumberFormat="1" applyFont="1" applyBorder="1" applyAlignment="1">
      <alignment horizontal="left" vertical="top" indent="2"/>
    </xf>
    <xf numFmtId="1" fontId="60" fillId="0" borderId="5" xfId="55" applyNumberFormat="1" applyFont="1" applyBorder="1" applyAlignment="1">
      <alignment horizontal="left" vertical="top"/>
    </xf>
    <xf numFmtId="0" fontId="60" fillId="0" borderId="5" xfId="55" applyNumberFormat="1" applyFont="1" applyBorder="1" applyAlignment="1">
      <alignment horizontal="right" vertical="top" wrapText="1"/>
    </xf>
    <xf numFmtId="4" fontId="60" fillId="0" borderId="5" xfId="55" applyNumberFormat="1" applyFont="1" applyBorder="1" applyAlignment="1">
      <alignment horizontal="right" vertical="top" wrapText="1"/>
    </xf>
    <xf numFmtId="0" fontId="59" fillId="12" borderId="5" xfId="55" applyNumberFormat="1" applyFont="1" applyFill="1" applyBorder="1" applyAlignment="1">
      <alignment horizontal="left" vertical="top"/>
    </xf>
    <xf numFmtId="0" fontId="59" fillId="0" borderId="5" xfId="52" applyNumberFormat="1" applyFont="1" applyBorder="1" applyAlignment="1">
      <alignment horizontal="left" vertical="top" wrapText="1"/>
    </xf>
    <xf numFmtId="0" fontId="59" fillId="0" borderId="5" xfId="52" applyNumberFormat="1" applyFont="1" applyBorder="1" applyAlignment="1">
      <alignment horizontal="right" vertical="top" wrapText="1"/>
    </xf>
    <xf numFmtId="4" fontId="59" fillId="0" borderId="5" xfId="52" applyNumberFormat="1" applyFont="1" applyBorder="1" applyAlignment="1">
      <alignment horizontal="right" vertical="top" wrapText="1"/>
    </xf>
    <xf numFmtId="1" fontId="59" fillId="0" borderId="5" xfId="52" applyNumberFormat="1" applyFont="1" applyBorder="1" applyAlignment="1">
      <alignment horizontal="left" vertical="top" wrapText="1"/>
    </xf>
    <xf numFmtId="1" fontId="60" fillId="0" borderId="5" xfId="52" applyNumberFormat="1" applyFont="1" applyBorder="1" applyAlignment="1">
      <alignment horizontal="left" vertical="top" wrapText="1" indent="2"/>
    </xf>
    <xf numFmtId="0" fontId="60" fillId="0" borderId="5" xfId="52" applyNumberFormat="1" applyFont="1" applyBorder="1" applyAlignment="1">
      <alignment horizontal="left" vertical="top" wrapText="1"/>
    </xf>
    <xf numFmtId="4" fontId="60" fillId="0" borderId="5" xfId="52" applyNumberFormat="1" applyFont="1" applyBorder="1" applyAlignment="1">
      <alignment horizontal="right" vertical="top" wrapText="1"/>
    </xf>
    <xf numFmtId="0" fontId="60" fillId="0" borderId="5" xfId="52" applyNumberFormat="1" applyFont="1" applyBorder="1" applyAlignment="1">
      <alignment horizontal="right" vertical="top" wrapText="1"/>
    </xf>
    <xf numFmtId="165" fontId="67" fillId="13" borderId="5" xfId="52" applyNumberFormat="1" applyFont="1" applyFill="1" applyBorder="1" applyAlignment="1">
      <alignment horizontal="right" vertical="top" wrapText="1"/>
    </xf>
    <xf numFmtId="1" fontId="60" fillId="0" borderId="5" xfId="51" applyNumberFormat="1" applyFont="1" applyBorder="1" applyAlignment="1">
      <alignment horizontal="left" vertical="top"/>
    </xf>
    <xf numFmtId="4" fontId="60" fillId="0" borderId="5" xfId="51" applyNumberFormat="1" applyFont="1" applyBorder="1" applyAlignment="1">
      <alignment horizontal="right" vertical="top" wrapText="1"/>
    </xf>
    <xf numFmtId="0" fontId="60" fillId="0" borderId="5" xfId="51" applyNumberFormat="1" applyFont="1" applyBorder="1" applyAlignment="1">
      <alignment horizontal="right" vertical="top" wrapText="1"/>
    </xf>
    <xf numFmtId="0" fontId="59" fillId="12" borderId="5" xfId="51" applyNumberFormat="1" applyFont="1" applyFill="1" applyBorder="1" applyAlignment="1">
      <alignment horizontal="left" vertical="top" wrapText="1" indent="2"/>
    </xf>
    <xf numFmtId="4" fontId="59" fillId="12" borderId="5" xfId="51" applyNumberFormat="1" applyFont="1" applyFill="1" applyBorder="1" applyAlignment="1">
      <alignment horizontal="right" vertical="top" wrapText="1"/>
    </xf>
    <xf numFmtId="4" fontId="62" fillId="0" borderId="5" xfId="51" applyNumberFormat="1" applyFont="1" applyBorder="1" applyAlignment="1">
      <alignment horizontal="right" vertical="top" wrapText="1"/>
    </xf>
    <xf numFmtId="0" fontId="0" fillId="0" borderId="0" xfId="0"/>
    <xf numFmtId="0" fontId="59" fillId="0" borderId="60" xfId="0" applyNumberFormat="1" applyFont="1" applyBorder="1" applyAlignment="1">
      <alignment horizontal="left" vertical="top" wrapText="1"/>
    </xf>
    <xf numFmtId="0" fontId="59" fillId="0" borderId="60" xfId="0" applyNumberFormat="1" applyFont="1" applyBorder="1" applyAlignment="1">
      <alignment horizontal="right" vertical="top" wrapText="1"/>
    </xf>
    <xf numFmtId="4" fontId="59" fillId="0" borderId="60" xfId="0" applyNumberFormat="1" applyFont="1" applyBorder="1" applyAlignment="1">
      <alignment horizontal="right" vertical="top" wrapText="1"/>
    </xf>
    <xf numFmtId="1" fontId="59" fillId="0" borderId="60" xfId="0" applyNumberFormat="1" applyFont="1" applyBorder="1" applyAlignment="1">
      <alignment horizontal="left" vertical="top" wrapText="1"/>
    </xf>
    <xf numFmtId="1" fontId="60" fillId="0" borderId="60" xfId="0" applyNumberFormat="1" applyFont="1" applyBorder="1" applyAlignment="1">
      <alignment horizontal="left" vertical="top" wrapText="1" indent="2"/>
    </xf>
    <xf numFmtId="0" fontId="60" fillId="0" borderId="60" xfId="0" applyNumberFormat="1" applyFont="1" applyBorder="1" applyAlignment="1">
      <alignment horizontal="left" vertical="top" wrapText="1"/>
    </xf>
    <xf numFmtId="4" fontId="60" fillId="0" borderId="60" xfId="0" applyNumberFormat="1" applyFont="1" applyBorder="1" applyAlignment="1">
      <alignment horizontal="right" vertical="top" wrapText="1"/>
    </xf>
    <xf numFmtId="0" fontId="60" fillId="0" borderId="60" xfId="0" applyNumberFormat="1" applyFont="1" applyBorder="1" applyAlignment="1">
      <alignment horizontal="right" vertical="top" wrapText="1"/>
    </xf>
    <xf numFmtId="1" fontId="61" fillId="0" borderId="60" xfId="0" applyNumberFormat="1" applyFont="1" applyBorder="1" applyAlignment="1">
      <alignment horizontal="left" vertical="top" wrapText="1" indent="2"/>
    </xf>
    <xf numFmtId="0" fontId="61" fillId="0" borderId="60" xfId="0" applyNumberFormat="1" applyFont="1" applyBorder="1" applyAlignment="1">
      <alignment horizontal="left" vertical="top" wrapText="1"/>
    </xf>
    <xf numFmtId="0" fontId="61" fillId="0" borderId="60" xfId="0" applyNumberFormat="1" applyFont="1" applyBorder="1" applyAlignment="1">
      <alignment horizontal="right" vertical="top" wrapText="1"/>
    </xf>
    <xf numFmtId="4" fontId="61" fillId="0" borderId="60" xfId="0" applyNumberFormat="1" applyFont="1" applyBorder="1" applyAlignment="1">
      <alignment horizontal="right" vertical="top" wrapText="1"/>
    </xf>
    <xf numFmtId="1" fontId="60" fillId="0" borderId="60" xfId="0" applyNumberFormat="1" applyFont="1" applyBorder="1" applyAlignment="1">
      <alignment horizontal="left" vertical="top" wrapText="1" indent="4"/>
    </xf>
    <xf numFmtId="4" fontId="68" fillId="0" borderId="60" xfId="0" applyNumberFormat="1" applyFont="1" applyBorder="1" applyAlignment="1">
      <alignment horizontal="right" vertical="top" wrapText="1"/>
    </xf>
    <xf numFmtId="4" fontId="62" fillId="0" borderId="60" xfId="0" applyNumberFormat="1" applyFont="1" applyBorder="1" applyAlignment="1">
      <alignment horizontal="right" vertical="top" wrapText="1"/>
    </xf>
    <xf numFmtId="4" fontId="63" fillId="0" borderId="60" xfId="0" applyNumberFormat="1" applyFont="1" applyBorder="1" applyAlignment="1">
      <alignment horizontal="right" vertical="top" wrapText="1"/>
    </xf>
    <xf numFmtId="165" fontId="67" fillId="3" borderId="60" xfId="0" applyNumberFormat="1" applyFont="1" applyFill="1" applyBorder="1" applyAlignment="1">
      <alignment horizontal="right" vertical="top" wrapText="1"/>
    </xf>
    <xf numFmtId="0" fontId="59" fillId="12" borderId="5" xfId="51" applyNumberFormat="1" applyFont="1" applyFill="1" applyBorder="1" applyAlignment="1">
      <alignment horizontal="left" vertical="top" wrapText="1"/>
    </xf>
    <xf numFmtId="4" fontId="7" fillId="6" borderId="4" xfId="1" applyNumberFormat="1" applyFont="1" applyFill="1" applyBorder="1" applyProtection="1">
      <protection locked="0" hidden="1"/>
    </xf>
    <xf numFmtId="2" fontId="60" fillId="0" borderId="60" xfId="0" applyNumberFormat="1" applyFont="1" applyBorder="1" applyAlignment="1">
      <alignment horizontal="right" vertical="top" wrapText="1"/>
    </xf>
    <xf numFmtId="0" fontId="60" fillId="12" borderId="5" xfId="51" applyNumberFormat="1" applyFont="1" applyFill="1" applyBorder="1" applyAlignment="1">
      <alignment horizontal="left" vertical="top" wrapText="1"/>
    </xf>
    <xf numFmtId="4" fontId="60" fillId="12" borderId="5" xfId="51" applyNumberFormat="1" applyFont="1" applyFill="1" applyBorder="1" applyAlignment="1">
      <alignment horizontal="right" vertical="top" wrapText="1"/>
    </xf>
    <xf numFmtId="0" fontId="61" fillId="12" borderId="5" xfId="49" applyNumberFormat="1" applyFont="1" applyFill="1" applyBorder="1" applyAlignment="1">
      <alignment horizontal="left" vertical="top" wrapText="1"/>
    </xf>
    <xf numFmtId="4" fontId="61" fillId="12" borderId="5" xfId="49" applyNumberFormat="1" applyFont="1" applyFill="1" applyBorder="1" applyAlignment="1">
      <alignment horizontal="right" vertical="top" wrapText="1"/>
    </xf>
    <xf numFmtId="0" fontId="61" fillId="12" borderId="5" xfId="49" applyNumberFormat="1" applyFont="1" applyFill="1" applyBorder="1" applyAlignment="1">
      <alignment horizontal="right" vertical="top" wrapText="1"/>
    </xf>
    <xf numFmtId="1" fontId="61" fillId="12" borderId="5" xfId="55" applyNumberFormat="1" applyFont="1" applyFill="1" applyBorder="1" applyAlignment="1">
      <alignment horizontal="left" vertical="top"/>
    </xf>
    <xf numFmtId="0" fontId="61" fillId="12" borderId="5" xfId="55" applyNumberFormat="1" applyFont="1" applyFill="1" applyBorder="1" applyAlignment="1">
      <alignment horizontal="left" vertical="top" wrapText="1"/>
    </xf>
    <xf numFmtId="0" fontId="61" fillId="12" borderId="5" xfId="55" applyNumberFormat="1" applyFont="1" applyFill="1" applyBorder="1" applyAlignment="1">
      <alignment horizontal="right" vertical="top" wrapText="1"/>
    </xf>
    <xf numFmtId="4" fontId="61" fillId="12" borderId="5" xfId="55" applyNumberFormat="1" applyFont="1" applyFill="1" applyBorder="1" applyAlignment="1">
      <alignment horizontal="right" vertical="top" wrapText="1"/>
    </xf>
    <xf numFmtId="0" fontId="60" fillId="12" borderId="5" xfId="55" applyNumberFormat="1" applyFont="1" applyFill="1" applyBorder="1" applyAlignment="1">
      <alignment horizontal="left" vertical="top"/>
    </xf>
    <xf numFmtId="0" fontId="0" fillId="0" borderId="0" xfId="0"/>
    <xf numFmtId="0" fontId="59" fillId="3" borderId="60" xfId="0" applyNumberFormat="1" applyFont="1" applyFill="1" applyBorder="1" applyAlignment="1">
      <alignment horizontal="center" vertical="center" wrapText="1"/>
    </xf>
    <xf numFmtId="0" fontId="59" fillId="3" borderId="60" xfId="0" applyNumberFormat="1" applyFont="1" applyFill="1" applyBorder="1" applyAlignment="1">
      <alignment horizontal="left" vertical="center" wrapText="1"/>
    </xf>
    <xf numFmtId="0" fontId="0" fillId="0" borderId="0" xfId="0"/>
    <xf numFmtId="0" fontId="59" fillId="3" borderId="60" xfId="0" applyNumberFormat="1" applyFont="1" applyFill="1" applyBorder="1" applyAlignment="1">
      <alignment horizontal="center" vertical="center" wrapText="1"/>
    </xf>
    <xf numFmtId="0" fontId="59" fillId="3" borderId="60" xfId="0" applyNumberFormat="1" applyFont="1" applyFill="1" applyBorder="1" applyAlignment="1">
      <alignment horizontal="left" vertical="center" wrapText="1"/>
    </xf>
    <xf numFmtId="1" fontId="61" fillId="0" borderId="5" xfId="52" applyNumberFormat="1" applyFont="1" applyBorder="1" applyAlignment="1">
      <alignment horizontal="left" vertical="top" wrapText="1" indent="2"/>
    </xf>
    <xf numFmtId="0" fontId="61" fillId="0" borderId="5" xfId="52" applyNumberFormat="1" applyFont="1" applyBorder="1" applyAlignment="1">
      <alignment horizontal="left" vertical="top" wrapText="1"/>
    </xf>
    <xf numFmtId="0" fontId="61" fillId="0" borderId="5" xfId="52" applyNumberFormat="1" applyFont="1" applyBorder="1" applyAlignment="1">
      <alignment horizontal="right" vertical="top" wrapText="1"/>
    </xf>
    <xf numFmtId="4" fontId="61" fillId="0" borderId="5" xfId="52" applyNumberFormat="1" applyFont="1" applyBorder="1" applyAlignment="1">
      <alignment horizontal="right" vertical="top" wrapText="1"/>
    </xf>
    <xf numFmtId="1" fontId="60" fillId="0" borderId="5" xfId="52" applyNumberFormat="1" applyFont="1" applyBorder="1" applyAlignment="1">
      <alignment horizontal="left" vertical="top" wrapText="1" indent="4"/>
    </xf>
    <xf numFmtId="2" fontId="60" fillId="0" borderId="5" xfId="52" applyNumberFormat="1" applyFont="1" applyBorder="1" applyAlignment="1">
      <alignment horizontal="right" vertical="top" wrapText="1"/>
    </xf>
    <xf numFmtId="4" fontId="62" fillId="0" borderId="5" xfId="52" applyNumberFormat="1" applyFont="1" applyBorder="1" applyAlignment="1">
      <alignment horizontal="right" vertical="top" wrapText="1"/>
    </xf>
    <xf numFmtId="4" fontId="68" fillId="0" borderId="5" xfId="52" applyNumberFormat="1" applyFont="1" applyBorder="1" applyAlignment="1">
      <alignment horizontal="right" vertical="top" wrapText="1"/>
    </xf>
    <xf numFmtId="0" fontId="65" fillId="0" borderId="0" xfId="52" applyFont="1" applyAlignment="1">
      <alignment horizontal="left"/>
    </xf>
    <xf numFmtId="0" fontId="10" fillId="0" borderId="0" xfId="52"/>
    <xf numFmtId="0" fontId="60" fillId="12" borderId="5" xfId="51" applyNumberFormat="1" applyFont="1" applyFill="1" applyBorder="1" applyAlignment="1">
      <alignment horizontal="left" vertical="top" wrapText="1" indent="2"/>
    </xf>
    <xf numFmtId="0" fontId="60" fillId="12" borderId="5" xfId="51" applyNumberFormat="1" applyFont="1" applyFill="1" applyBorder="1" applyAlignment="1">
      <alignment horizontal="right" vertical="top" wrapText="1"/>
    </xf>
    <xf numFmtId="0" fontId="61" fillId="12" borderId="5" xfId="51" applyNumberFormat="1" applyFont="1" applyFill="1" applyBorder="1" applyAlignment="1">
      <alignment horizontal="left" vertical="top" wrapText="1"/>
    </xf>
    <xf numFmtId="4" fontId="61" fillId="12" borderId="5" xfId="51" applyNumberFormat="1" applyFont="1" applyFill="1" applyBorder="1" applyAlignment="1">
      <alignment horizontal="right" vertical="top" wrapText="1"/>
    </xf>
    <xf numFmtId="0" fontId="65" fillId="0" borderId="0" xfId="51" applyFont="1" applyAlignment="1">
      <alignment horizontal="left"/>
    </xf>
    <xf numFmtId="1" fontId="60" fillId="0" borderId="60" xfId="0" applyNumberFormat="1" applyFont="1" applyBorder="1" applyAlignment="1">
      <alignment horizontal="left" vertical="top"/>
    </xf>
    <xf numFmtId="0" fontId="60" fillId="14" borderId="60" xfId="0" applyNumberFormat="1" applyFont="1" applyFill="1" applyBorder="1" applyAlignment="1">
      <alignment horizontal="left" vertical="top" wrapText="1"/>
    </xf>
    <xf numFmtId="4" fontId="60" fillId="14" borderId="60" xfId="0" applyNumberFormat="1" applyFont="1" applyFill="1" applyBorder="1" applyAlignment="1">
      <alignment horizontal="right" vertical="top" wrapText="1"/>
    </xf>
    <xf numFmtId="0" fontId="60" fillId="14" borderId="60" xfId="0" applyNumberFormat="1" applyFont="1" applyFill="1" applyBorder="1" applyAlignment="1">
      <alignment horizontal="right" vertical="top" wrapText="1"/>
    </xf>
    <xf numFmtId="2" fontId="68" fillId="0" borderId="60" xfId="0" applyNumberFormat="1" applyFont="1" applyBorder="1" applyAlignment="1">
      <alignment horizontal="right" vertical="top" wrapText="1"/>
    </xf>
    <xf numFmtId="2" fontId="62" fillId="0" borderId="60" xfId="0" applyNumberFormat="1" applyFont="1" applyBorder="1" applyAlignment="1">
      <alignment horizontal="right" vertical="top" wrapText="1"/>
    </xf>
    <xf numFmtId="0" fontId="61" fillId="14" borderId="60" xfId="0" applyNumberFormat="1" applyFont="1" applyFill="1" applyBorder="1" applyAlignment="1">
      <alignment horizontal="left" vertical="top" wrapText="1"/>
    </xf>
    <xf numFmtId="4" fontId="61" fillId="14" borderId="60" xfId="0" applyNumberFormat="1" applyFont="1" applyFill="1" applyBorder="1" applyAlignment="1">
      <alignment horizontal="right" vertical="top" wrapText="1"/>
    </xf>
    <xf numFmtId="0" fontId="61" fillId="14" borderId="60" xfId="0" applyNumberFormat="1" applyFont="1" applyFill="1" applyBorder="1" applyAlignment="1">
      <alignment horizontal="right" vertical="top" wrapText="1"/>
    </xf>
    <xf numFmtId="4" fontId="63" fillId="14" borderId="60" xfId="0" applyNumberFormat="1" applyFont="1" applyFill="1" applyBorder="1" applyAlignment="1">
      <alignment horizontal="right" vertical="top" wrapText="1"/>
    </xf>
    <xf numFmtId="0" fontId="0" fillId="0" borderId="17" xfId="0" applyBorder="1" applyAlignment="1">
      <alignment horizontal="left"/>
    </xf>
    <xf numFmtId="165" fontId="0" fillId="0" borderId="4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65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6" fontId="0" fillId="0" borderId="66" xfId="0" applyNumberFormat="1" applyBorder="1" applyAlignment="1">
      <alignment horizontal="right"/>
    </xf>
    <xf numFmtId="1" fontId="59" fillId="0" borderId="5" xfId="56" applyNumberFormat="1" applyFont="1" applyBorder="1" applyAlignment="1">
      <alignment horizontal="left" vertical="top" wrapText="1"/>
    </xf>
    <xf numFmtId="0" fontId="59" fillId="0" borderId="5" xfId="56" applyNumberFormat="1" applyFont="1" applyBorder="1" applyAlignment="1">
      <alignment horizontal="left" vertical="top" wrapText="1"/>
    </xf>
    <xf numFmtId="4" fontId="59" fillId="0" borderId="5" xfId="56" applyNumberFormat="1" applyFont="1" applyBorder="1" applyAlignment="1">
      <alignment horizontal="right" vertical="top" wrapText="1"/>
    </xf>
    <xf numFmtId="0" fontId="59" fillId="0" borderId="5" xfId="56" applyNumberFormat="1" applyFont="1" applyBorder="1" applyAlignment="1">
      <alignment horizontal="right" vertical="top" wrapText="1"/>
    </xf>
    <xf numFmtId="1" fontId="60" fillId="0" borderId="5" xfId="56" applyNumberFormat="1" applyFont="1" applyBorder="1" applyAlignment="1">
      <alignment horizontal="left" vertical="top" wrapText="1" indent="2"/>
    </xf>
    <xf numFmtId="0" fontId="60" fillId="0" borderId="5" xfId="56" applyNumberFormat="1" applyFont="1" applyBorder="1" applyAlignment="1">
      <alignment horizontal="left" vertical="top" wrapText="1"/>
    </xf>
    <xf numFmtId="4" fontId="60" fillId="0" borderId="5" xfId="56" applyNumberFormat="1" applyFont="1" applyBorder="1" applyAlignment="1">
      <alignment horizontal="right" vertical="top" wrapText="1"/>
    </xf>
    <xf numFmtId="0" fontId="60" fillId="0" borderId="5" xfId="56" applyNumberFormat="1" applyFont="1" applyBorder="1" applyAlignment="1">
      <alignment horizontal="right" vertical="top" wrapText="1"/>
    </xf>
    <xf numFmtId="1" fontId="61" fillId="0" borderId="5" xfId="56" applyNumberFormat="1" applyFont="1" applyBorder="1" applyAlignment="1">
      <alignment horizontal="left" vertical="top" wrapText="1" indent="2"/>
    </xf>
    <xf numFmtId="0" fontId="61" fillId="0" borderId="5" xfId="56" applyNumberFormat="1" applyFont="1" applyBorder="1" applyAlignment="1">
      <alignment horizontal="left" vertical="top" wrapText="1"/>
    </xf>
    <xf numFmtId="0" fontId="61" fillId="0" borderId="5" xfId="56" applyNumberFormat="1" applyFont="1" applyBorder="1" applyAlignment="1">
      <alignment horizontal="right" vertical="top" wrapText="1"/>
    </xf>
    <xf numFmtId="4" fontId="61" fillId="0" borderId="5" xfId="56" applyNumberFormat="1" applyFont="1" applyBorder="1" applyAlignment="1">
      <alignment horizontal="right" vertical="top" wrapText="1"/>
    </xf>
    <xf numFmtId="1" fontId="60" fillId="0" borderId="5" xfId="56" applyNumberFormat="1" applyFont="1" applyBorder="1" applyAlignment="1">
      <alignment horizontal="left" vertical="top" wrapText="1" indent="4"/>
    </xf>
    <xf numFmtId="4" fontId="62" fillId="0" borderId="5" xfId="56" applyNumberFormat="1" applyFont="1" applyBorder="1" applyAlignment="1">
      <alignment horizontal="right" vertical="top" wrapText="1"/>
    </xf>
    <xf numFmtId="4" fontId="63" fillId="0" borderId="5" xfId="56" applyNumberFormat="1" applyFont="1" applyBorder="1" applyAlignment="1">
      <alignment horizontal="right" vertical="top" wrapText="1"/>
    </xf>
    <xf numFmtId="4" fontId="68" fillId="0" borderId="5" xfId="56" applyNumberFormat="1" applyFont="1" applyBorder="1" applyAlignment="1">
      <alignment horizontal="right" vertical="top" wrapText="1"/>
    </xf>
    <xf numFmtId="165" fontId="67" fillId="13" borderId="5" xfId="56" applyNumberFormat="1" applyFont="1" applyFill="1" applyBorder="1" applyAlignment="1">
      <alignment horizontal="right" vertical="top" wrapText="1"/>
    </xf>
    <xf numFmtId="1" fontId="60" fillId="0" borderId="5" xfId="57" applyNumberFormat="1" applyFont="1" applyBorder="1" applyAlignment="1">
      <alignment horizontal="left" vertical="top"/>
    </xf>
    <xf numFmtId="4" fontId="62" fillId="0" borderId="5" xfId="57" applyNumberFormat="1" applyFont="1" applyBorder="1" applyAlignment="1">
      <alignment horizontal="right" vertical="top" wrapText="1"/>
    </xf>
    <xf numFmtId="0" fontId="60" fillId="0" borderId="5" xfId="57" applyNumberFormat="1" applyFont="1" applyBorder="1" applyAlignment="1">
      <alignment horizontal="right" vertical="top" wrapText="1"/>
    </xf>
    <xf numFmtId="4" fontId="60" fillId="0" borderId="5" xfId="57" applyNumberFormat="1" applyFont="1" applyBorder="1" applyAlignment="1">
      <alignment horizontal="right" vertical="top" wrapText="1"/>
    </xf>
    <xf numFmtId="0" fontId="66" fillId="12" borderId="5" xfId="57" applyNumberFormat="1" applyFont="1" applyFill="1" applyBorder="1" applyAlignment="1">
      <alignment horizontal="left" vertical="top" wrapText="1"/>
    </xf>
    <xf numFmtId="4" fontId="66" fillId="12" borderId="5" xfId="57" applyNumberFormat="1" applyFont="1" applyFill="1" applyBorder="1" applyAlignment="1">
      <alignment horizontal="right" vertical="top" wrapText="1"/>
    </xf>
    <xf numFmtId="1" fontId="60" fillId="0" borderId="5" xfId="58" applyNumberFormat="1" applyFont="1" applyBorder="1" applyAlignment="1">
      <alignment horizontal="left" vertical="top"/>
    </xf>
    <xf numFmtId="4" fontId="60" fillId="0" borderId="5" xfId="58" applyNumberFormat="1" applyFont="1" applyBorder="1" applyAlignment="1">
      <alignment horizontal="right" vertical="top" wrapText="1"/>
    </xf>
    <xf numFmtId="0" fontId="60" fillId="0" borderId="5" xfId="58" applyNumberFormat="1" applyFont="1" applyBorder="1" applyAlignment="1">
      <alignment horizontal="right" vertical="top" wrapText="1"/>
    </xf>
    <xf numFmtId="2" fontId="60" fillId="0" borderId="5" xfId="58" applyNumberFormat="1" applyFont="1" applyBorder="1" applyAlignment="1">
      <alignment horizontal="right" vertical="top" wrapText="1"/>
    </xf>
    <xf numFmtId="0" fontId="66" fillId="12" borderId="5" xfId="58" applyNumberFormat="1" applyFont="1" applyFill="1" applyBorder="1" applyAlignment="1">
      <alignment horizontal="left" vertical="top" wrapText="1"/>
    </xf>
    <xf numFmtId="4" fontId="66" fillId="12" borderId="5" xfId="58" applyNumberFormat="1" applyFont="1" applyFill="1" applyBorder="1" applyAlignment="1">
      <alignment horizontal="right" vertical="top" wrapText="1"/>
    </xf>
    <xf numFmtId="0" fontId="0" fillId="0" borderId="0" xfId="0"/>
    <xf numFmtId="4" fontId="60" fillId="5" borderId="60" xfId="0" applyNumberFormat="1" applyFont="1" applyFill="1" applyBorder="1" applyAlignment="1">
      <alignment horizontal="right" vertical="top" wrapText="1"/>
    </xf>
    <xf numFmtId="4" fontId="59" fillId="5" borderId="60" xfId="0" applyNumberFormat="1" applyFont="1" applyFill="1" applyBorder="1" applyAlignment="1">
      <alignment horizontal="right" vertical="top" wrapText="1"/>
    </xf>
    <xf numFmtId="4" fontId="62" fillId="5" borderId="60" xfId="0" applyNumberFormat="1" applyFont="1" applyFill="1" applyBorder="1" applyAlignment="1">
      <alignment horizontal="right" vertical="top" wrapText="1"/>
    </xf>
    <xf numFmtId="4" fontId="61" fillId="5" borderId="60" xfId="0" applyNumberFormat="1" applyFont="1" applyFill="1" applyBorder="1" applyAlignment="1">
      <alignment horizontal="right" vertical="top" wrapText="1"/>
    </xf>
    <xf numFmtId="2" fontId="68" fillId="5" borderId="60" xfId="0" applyNumberFormat="1" applyFont="1" applyFill="1" applyBorder="1" applyAlignment="1">
      <alignment horizontal="right" vertical="top" wrapText="1"/>
    </xf>
    <xf numFmtId="2" fontId="62" fillId="5" borderId="60" xfId="0" applyNumberFormat="1" applyFont="1" applyFill="1" applyBorder="1" applyAlignment="1">
      <alignment horizontal="right" vertical="top" wrapText="1"/>
    </xf>
    <xf numFmtId="165" fontId="0" fillId="5" borderId="54" xfId="0" applyNumberFormat="1" applyFill="1" applyBorder="1" applyAlignment="1">
      <alignment horizontal="right"/>
    </xf>
    <xf numFmtId="165" fontId="0" fillId="5" borderId="55" xfId="0" applyNumberFormat="1" applyFill="1" applyBorder="1" applyAlignment="1">
      <alignment horizontal="right"/>
    </xf>
    <xf numFmtId="0" fontId="0" fillId="0" borderId="54" xfId="0" applyBorder="1" applyAlignment="1"/>
    <xf numFmtId="168" fontId="60" fillId="0" borderId="60" xfId="0" applyNumberFormat="1" applyFont="1" applyBorder="1" applyAlignment="1">
      <alignment horizontal="right" vertical="top" wrapText="1"/>
    </xf>
    <xf numFmtId="0" fontId="64" fillId="0" borderId="0" xfId="55" applyFont="1" applyAlignment="1">
      <alignment horizontal="left"/>
    </xf>
    <xf numFmtId="0" fontId="10" fillId="0" borderId="0" xfId="55"/>
    <xf numFmtId="0" fontId="65" fillId="0" borderId="0" xfId="55" applyFont="1" applyAlignment="1">
      <alignment horizontal="left"/>
    </xf>
    <xf numFmtId="0" fontId="10" fillId="0" borderId="0" xfId="55" applyAlignment="1">
      <alignment horizontal="left"/>
    </xf>
    <xf numFmtId="1" fontId="60" fillId="12" borderId="5" xfId="55" applyNumberFormat="1" applyFont="1" applyFill="1" applyBorder="1" applyAlignment="1">
      <alignment horizontal="left" vertical="top"/>
    </xf>
    <xf numFmtId="0" fontId="60" fillId="12" borderId="5" xfId="55" applyNumberFormat="1" applyFont="1" applyFill="1" applyBorder="1" applyAlignment="1">
      <alignment horizontal="left" vertical="top" wrapText="1"/>
    </xf>
    <xf numFmtId="0" fontId="60" fillId="12" borderId="5" xfId="55" applyNumberFormat="1" applyFont="1" applyFill="1" applyBorder="1" applyAlignment="1">
      <alignment horizontal="right" vertical="top" wrapText="1"/>
    </xf>
    <xf numFmtId="4" fontId="60" fillId="12" borderId="5" xfId="55" applyNumberFormat="1" applyFont="1" applyFill="1" applyBorder="1" applyAlignment="1">
      <alignment horizontal="right" vertical="top" wrapText="1"/>
    </xf>
    <xf numFmtId="0" fontId="6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3" fillId="0" borderId="51" xfId="0" applyFont="1" applyBorder="1" applyAlignment="1">
      <alignment horizontal="center"/>
    </xf>
    <xf numFmtId="0" fontId="53" fillId="0" borderId="67" xfId="0" applyFont="1" applyBorder="1" applyAlignment="1">
      <alignment horizontal="centerContinuous"/>
    </xf>
    <xf numFmtId="0" fontId="53" fillId="0" borderId="9" xfId="0" applyFont="1" applyBorder="1" applyAlignment="1">
      <alignment horizontal="centerContinuous"/>
    </xf>
    <xf numFmtId="0" fontId="53" fillId="0" borderId="10" xfId="0" applyFont="1" applyBorder="1" applyAlignment="1">
      <alignment horizontal="centerContinuous"/>
    </xf>
    <xf numFmtId="0" fontId="53" fillId="0" borderId="11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53" xfId="0" applyFont="1" applyBorder="1" applyAlignment="1">
      <alignment wrapText="1"/>
    </xf>
    <xf numFmtId="0" fontId="24" fillId="0" borderId="54" xfId="0" applyFont="1" applyBorder="1" applyAlignment="1">
      <alignment horizontal="right" vertical="top"/>
    </xf>
    <xf numFmtId="165" fontId="24" fillId="0" borderId="54" xfId="0" applyNumberFormat="1" applyFont="1" applyBorder="1" applyAlignment="1">
      <alignment horizontal="right" vertical="top"/>
    </xf>
    <xf numFmtId="165" fontId="24" fillId="0" borderId="55" xfId="0" applyNumberFormat="1" applyFont="1" applyBorder="1" applyAlignment="1">
      <alignment horizontal="right" vertical="top"/>
    </xf>
    <xf numFmtId="0" fontId="24" fillId="0" borderId="55" xfId="0" applyFont="1" applyBorder="1" applyAlignment="1">
      <alignment horizontal="right" vertical="top"/>
    </xf>
    <xf numFmtId="0" fontId="53" fillId="0" borderId="8" xfId="0" applyFont="1" applyBorder="1" applyAlignment="1"/>
    <xf numFmtId="0" fontId="53" fillId="0" borderId="9" xfId="0" applyFont="1" applyBorder="1" applyAlignment="1">
      <alignment horizontal="right"/>
    </xf>
    <xf numFmtId="165" fontId="53" fillId="0" borderId="9" xfId="0" applyNumberFormat="1" applyFont="1" applyBorder="1" applyAlignment="1">
      <alignment horizontal="right"/>
    </xf>
    <xf numFmtId="0" fontId="53" fillId="0" borderId="15" xfId="0" applyFont="1" applyBorder="1" applyAlignment="1"/>
    <xf numFmtId="165" fontId="53" fillId="0" borderId="10" xfId="0" applyNumberFormat="1" applyFont="1" applyBorder="1" applyAlignment="1">
      <alignment horizontal="right"/>
    </xf>
    <xf numFmtId="0" fontId="53" fillId="0" borderId="20" xfId="0" applyFont="1" applyBorder="1" applyAlignment="1"/>
    <xf numFmtId="0" fontId="53" fillId="0" borderId="68" xfId="0" applyFont="1" applyBorder="1" applyAlignment="1">
      <alignment horizontal="right"/>
    </xf>
    <xf numFmtId="165" fontId="53" fillId="0" borderId="68" xfId="0" applyNumberFormat="1" applyFont="1" applyBorder="1" applyAlignment="1">
      <alignment horizontal="right"/>
    </xf>
    <xf numFmtId="165" fontId="53" fillId="0" borderId="69" xfId="0" applyNumberFormat="1" applyFont="1" applyBorder="1" applyAlignment="1">
      <alignment horizontal="right"/>
    </xf>
    <xf numFmtId="1" fontId="59" fillId="0" borderId="5" xfId="59" applyNumberFormat="1" applyFont="1" applyBorder="1" applyAlignment="1">
      <alignment horizontal="left" vertical="top" wrapText="1"/>
    </xf>
    <xf numFmtId="0" fontId="59" fillId="0" borderId="5" xfId="59" applyNumberFormat="1" applyFont="1" applyBorder="1" applyAlignment="1">
      <alignment horizontal="left" vertical="top" wrapText="1"/>
    </xf>
    <xf numFmtId="4" fontId="59" fillId="0" borderId="5" xfId="59" applyNumberFormat="1" applyFont="1" applyBorder="1" applyAlignment="1">
      <alignment horizontal="right" vertical="top" wrapText="1"/>
    </xf>
    <xf numFmtId="0" fontId="59" fillId="0" borderId="5" xfId="59" applyNumberFormat="1" applyFont="1" applyBorder="1" applyAlignment="1">
      <alignment horizontal="right" vertical="top" wrapText="1"/>
    </xf>
    <xf numFmtId="1" fontId="60" fillId="0" borderId="5" xfId="59" applyNumberFormat="1" applyFont="1" applyBorder="1" applyAlignment="1">
      <alignment horizontal="left" vertical="top" wrapText="1" indent="2"/>
    </xf>
    <xf numFmtId="0" fontId="60" fillId="0" borderId="5" xfId="59" applyNumberFormat="1" applyFont="1" applyBorder="1" applyAlignment="1">
      <alignment horizontal="left" vertical="top" wrapText="1"/>
    </xf>
    <xf numFmtId="4" fontId="60" fillId="0" borderId="5" xfId="59" applyNumberFormat="1" applyFont="1" applyBorder="1" applyAlignment="1">
      <alignment horizontal="right" vertical="top" wrapText="1"/>
    </xf>
    <xf numFmtId="0" fontId="60" fillId="0" borderId="5" xfId="59" applyNumberFormat="1" applyFont="1" applyBorder="1" applyAlignment="1">
      <alignment horizontal="right" vertical="top" wrapText="1"/>
    </xf>
    <xf numFmtId="1" fontId="61" fillId="0" borderId="5" xfId="59" applyNumberFormat="1" applyFont="1" applyBorder="1" applyAlignment="1">
      <alignment horizontal="left" vertical="top" wrapText="1" indent="2"/>
    </xf>
    <xf numFmtId="0" fontId="61" fillId="0" borderId="5" xfId="59" applyNumberFormat="1" applyFont="1" applyBorder="1" applyAlignment="1">
      <alignment horizontal="left" vertical="top" wrapText="1"/>
    </xf>
    <xf numFmtId="0" fontId="61" fillId="0" borderId="5" xfId="59" applyNumberFormat="1" applyFont="1" applyBorder="1" applyAlignment="1">
      <alignment horizontal="right" vertical="top" wrapText="1"/>
    </xf>
    <xf numFmtId="4" fontId="61" fillId="0" borderId="5" xfId="59" applyNumberFormat="1" applyFont="1" applyBorder="1" applyAlignment="1">
      <alignment horizontal="right" vertical="top" wrapText="1"/>
    </xf>
    <xf numFmtId="1" fontId="60" fillId="0" borderId="5" xfId="59" applyNumberFormat="1" applyFont="1" applyBorder="1" applyAlignment="1">
      <alignment horizontal="left" vertical="top" wrapText="1" indent="4"/>
    </xf>
    <xf numFmtId="4" fontId="62" fillId="0" borderId="5" xfId="59" applyNumberFormat="1" applyFont="1" applyBorder="1" applyAlignment="1">
      <alignment horizontal="right" vertical="top" wrapText="1"/>
    </xf>
    <xf numFmtId="4" fontId="68" fillId="0" borderId="5" xfId="59" applyNumberFormat="1" applyFont="1" applyBorder="1" applyAlignment="1">
      <alignment horizontal="right" vertical="top" wrapText="1"/>
    </xf>
    <xf numFmtId="2" fontId="60" fillId="0" borderId="5" xfId="59" applyNumberFormat="1" applyFont="1" applyBorder="1" applyAlignment="1">
      <alignment horizontal="right" vertical="top" wrapText="1"/>
    </xf>
    <xf numFmtId="165" fontId="67" fillId="13" borderId="5" xfId="59" applyNumberFormat="1" applyFont="1" applyFill="1" applyBorder="1" applyAlignment="1">
      <alignment horizontal="right" vertical="top" wrapText="1"/>
    </xf>
    <xf numFmtId="1" fontId="60" fillId="0" borderId="5" xfId="60" applyNumberFormat="1" applyFont="1" applyBorder="1" applyAlignment="1">
      <alignment horizontal="left" vertical="top"/>
    </xf>
    <xf numFmtId="4" fontId="62" fillId="0" borderId="5" xfId="60" applyNumberFormat="1" applyFont="1" applyBorder="1" applyAlignment="1">
      <alignment horizontal="right" vertical="top" wrapText="1"/>
    </xf>
    <xf numFmtId="0" fontId="60" fillId="0" borderId="5" xfId="60" applyNumberFormat="1" applyFont="1" applyBorder="1" applyAlignment="1">
      <alignment horizontal="right" vertical="top" wrapText="1"/>
    </xf>
    <xf numFmtId="4" fontId="60" fillId="0" borderId="5" xfId="60" applyNumberFormat="1" applyFont="1" applyBorder="1" applyAlignment="1">
      <alignment horizontal="right" vertical="top" wrapText="1"/>
    </xf>
    <xf numFmtId="0" fontId="61" fillId="12" borderId="5" xfId="60" applyNumberFormat="1" applyFont="1" applyFill="1" applyBorder="1" applyAlignment="1">
      <alignment horizontal="left" vertical="top" wrapText="1"/>
    </xf>
    <xf numFmtId="4" fontId="61" fillId="12" borderId="5" xfId="60" applyNumberFormat="1" applyFont="1" applyFill="1" applyBorder="1" applyAlignment="1">
      <alignment horizontal="right" vertical="top" wrapText="1"/>
    </xf>
    <xf numFmtId="1" fontId="60" fillId="0" borderId="5" xfId="61" applyNumberFormat="1" applyFont="1" applyBorder="1" applyAlignment="1">
      <alignment horizontal="left" vertical="top"/>
    </xf>
    <xf numFmtId="4" fontId="60" fillId="0" borderId="5" xfId="61" applyNumberFormat="1" applyFont="1" applyBorder="1" applyAlignment="1">
      <alignment horizontal="right" vertical="top" wrapText="1"/>
    </xf>
    <xf numFmtId="0" fontId="60" fillId="0" borderId="5" xfId="61" applyNumberFormat="1" applyFont="1" applyBorder="1" applyAlignment="1">
      <alignment horizontal="right" vertical="top" wrapText="1"/>
    </xf>
    <xf numFmtId="0" fontId="61" fillId="12" borderId="5" xfId="61" applyNumberFormat="1" applyFont="1" applyFill="1" applyBorder="1" applyAlignment="1">
      <alignment horizontal="left" vertical="top" wrapText="1"/>
    </xf>
    <xf numFmtId="4" fontId="61" fillId="12" borderId="5" xfId="61" applyNumberFormat="1" applyFont="1" applyFill="1" applyBorder="1" applyAlignment="1">
      <alignment horizontal="right" vertical="top" wrapText="1"/>
    </xf>
    <xf numFmtId="2" fontId="0" fillId="0" borderId="17" xfId="0" applyNumberFormat="1" applyBorder="1" applyAlignment="1">
      <alignment horizontal="left"/>
    </xf>
    <xf numFmtId="2" fontId="0" fillId="0" borderId="2" xfId="0" applyNumberFormat="1" applyBorder="1" applyAlignment="1">
      <alignment horizontal="right"/>
    </xf>
    <xf numFmtId="2" fontId="66" fillId="12" borderId="5" xfId="49" applyNumberFormat="1" applyFont="1" applyFill="1" applyBorder="1" applyAlignment="1">
      <alignment horizontal="right" vertical="top" wrapText="1"/>
    </xf>
    <xf numFmtId="2" fontId="0" fillId="0" borderId="4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66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70" xfId="0" applyNumberFormat="1" applyBorder="1" applyAlignment="1">
      <alignment horizontal="right"/>
    </xf>
    <xf numFmtId="0" fontId="4" fillId="0" borderId="0" xfId="0" applyFont="1" applyAlignment="1">
      <alignment wrapText="1"/>
    </xf>
    <xf numFmtId="165" fontId="0" fillId="0" borderId="41" xfId="0" applyNumberFormat="1" applyBorder="1" applyAlignment="1">
      <alignment horizontal="right"/>
    </xf>
    <xf numFmtId="2" fontId="0" fillId="0" borderId="65" xfId="0" applyNumberFormat="1" applyBorder="1" applyAlignment="1">
      <alignment horizontal="left"/>
    </xf>
    <xf numFmtId="0" fontId="70" fillId="0" borderId="0" xfId="0" applyFont="1"/>
    <xf numFmtId="3" fontId="70" fillId="0" borderId="0" xfId="0" applyNumberFormat="1" applyFont="1" applyAlignment="1">
      <alignment horizontal="right"/>
    </xf>
    <xf numFmtId="0" fontId="70" fillId="0" borderId="0" xfId="0" applyFont="1" applyAlignment="1">
      <alignment horizontal="right"/>
    </xf>
    <xf numFmtId="3" fontId="70" fillId="0" borderId="70" xfId="0" applyNumberFormat="1" applyFont="1" applyBorder="1" applyAlignment="1">
      <alignment horizontal="right"/>
    </xf>
    <xf numFmtId="4" fontId="70" fillId="0" borderId="0" xfId="0" applyNumberFormat="1" applyFont="1" applyAlignment="1">
      <alignment horizontal="right"/>
    </xf>
    <xf numFmtId="0" fontId="17" fillId="0" borderId="0" xfId="1" applyFont="1" applyFill="1" applyAlignment="1" applyProtection="1">
      <alignment horizontal="left" vertical="center" wrapText="1"/>
      <protection locked="0" hidden="1"/>
    </xf>
    <xf numFmtId="4" fontId="17" fillId="0" borderId="0" xfId="1" applyNumberFormat="1" applyFont="1" applyFill="1" applyAlignment="1" applyProtection="1">
      <alignment horizontal="right" vertical="center" wrapText="1"/>
      <protection locked="0" hidden="1"/>
    </xf>
    <xf numFmtId="0" fontId="17" fillId="0" borderId="58" xfId="1" applyFont="1" applyFill="1" applyBorder="1" applyAlignment="1" applyProtection="1">
      <alignment horizontal="right" vertical="center" wrapText="1"/>
      <protection locked="0" hidden="1"/>
    </xf>
    <xf numFmtId="0" fontId="17" fillId="0" borderId="0" xfId="1" applyFont="1" applyFill="1" applyAlignment="1" applyProtection="1">
      <alignment horizontal="left" vertical="top" wrapText="1"/>
      <protection locked="0" hidden="1"/>
    </xf>
    <xf numFmtId="0" fontId="17" fillId="0" borderId="0" xfId="1" applyFont="1" applyFill="1" applyAlignment="1" applyProtection="1">
      <alignment horizontal="right" wrapText="1"/>
      <protection locked="0" hidden="1"/>
    </xf>
    <xf numFmtId="0" fontId="19" fillId="0" borderId="0" xfId="1" applyFont="1" applyFill="1" applyAlignment="1" applyProtection="1">
      <alignment horizontal="right" wrapText="1"/>
      <protection locked="0" hidden="1"/>
    </xf>
    <xf numFmtId="0" fontId="17" fillId="0" borderId="25" xfId="1" applyFont="1" applyFill="1" applyBorder="1" applyAlignment="1" applyProtection="1">
      <alignment horizontal="left" vertical="center" wrapText="1"/>
      <protection locked="0" hidden="1"/>
    </xf>
    <xf numFmtId="0" fontId="17" fillId="0" borderId="26" xfId="1" applyFont="1" applyFill="1" applyBorder="1" applyAlignment="1" applyProtection="1">
      <alignment horizontal="left" vertical="center" wrapText="1"/>
      <protection locked="0" hidden="1"/>
    </xf>
    <xf numFmtId="0" fontId="18" fillId="0" borderId="0" xfId="1" applyFont="1" applyFill="1" applyAlignment="1" applyProtection="1">
      <alignment horizontal="center" wrapText="1"/>
      <protection locked="0" hidden="1"/>
    </xf>
    <xf numFmtId="0" fontId="19" fillId="0" borderId="0" xfId="1" applyFont="1" applyFill="1" applyAlignment="1" applyProtection="1">
      <alignment horizontal="center" wrapText="1"/>
      <protection locked="0" hidden="1"/>
    </xf>
    <xf numFmtId="0" fontId="19" fillId="0" borderId="25" xfId="1" applyFont="1" applyFill="1" applyBorder="1" applyAlignment="1" applyProtection="1">
      <alignment horizontal="center" vertical="center" wrapText="1"/>
      <protection locked="0" hidden="1"/>
    </xf>
    <xf numFmtId="0" fontId="0" fillId="0" borderId="26" xfId="0" applyFill="1" applyBorder="1"/>
    <xf numFmtId="0" fontId="19" fillId="0" borderId="35" xfId="1" applyFont="1" applyFill="1" applyBorder="1" applyAlignment="1" applyProtection="1">
      <alignment horizontal="center" vertical="center" wrapText="1"/>
      <protection locked="0" hidden="1"/>
    </xf>
    <xf numFmtId="0" fontId="0" fillId="0" borderId="30" xfId="0" applyBorder="1"/>
    <xf numFmtId="0" fontId="0" fillId="0" borderId="36" xfId="0" applyBorder="1"/>
    <xf numFmtId="0" fontId="19" fillId="0" borderId="25" xfId="1" applyFont="1" applyFill="1" applyBorder="1" applyAlignment="1" applyProtection="1">
      <alignment horizontal="left" vertical="center" wrapText="1"/>
      <protection locked="0" hidden="1"/>
    </xf>
    <xf numFmtId="0" fontId="19" fillId="0" borderId="26" xfId="1" applyFont="1" applyFill="1" applyBorder="1" applyAlignment="1" applyProtection="1">
      <alignment horizontal="left" vertical="center" wrapText="1"/>
      <protection locked="0" hidden="1"/>
    </xf>
    <xf numFmtId="0" fontId="19" fillId="0" borderId="33" xfId="1" applyFont="1" applyFill="1" applyBorder="1" applyAlignment="1" applyProtection="1">
      <alignment horizontal="center" vertical="center" wrapText="1"/>
      <protection locked="0" hidden="1"/>
    </xf>
    <xf numFmtId="0" fontId="0" fillId="0" borderId="0" xfId="0"/>
    <xf numFmtId="0" fontId="0" fillId="0" borderId="34" xfId="0" applyBorder="1"/>
    <xf numFmtId="0" fontId="17" fillId="0" borderId="30" xfId="1" applyFont="1" applyFill="1" applyBorder="1" applyAlignment="1" applyProtection="1">
      <alignment horizontal="left" wrapText="1"/>
      <protection locked="0" hidden="1"/>
    </xf>
    <xf numFmtId="0" fontId="17" fillId="0" borderId="29" xfId="1" applyFont="1" applyFill="1" applyBorder="1" applyAlignment="1" applyProtection="1">
      <alignment horizontal="left" wrapText="1"/>
      <protection locked="0" hidden="1"/>
    </xf>
    <xf numFmtId="0" fontId="17" fillId="0" borderId="0" xfId="1" applyFont="1" applyFill="1" applyAlignment="1" applyProtection="1">
      <alignment horizontal="left" vertical="center" wrapText="1"/>
      <protection locked="0" hidden="1"/>
    </xf>
    <xf numFmtId="0" fontId="17" fillId="0" borderId="28" xfId="1" applyFont="1" applyFill="1" applyBorder="1" applyAlignment="1" applyProtection="1">
      <alignment horizontal="left" vertical="center" wrapText="1"/>
      <protection locked="0" hidden="1"/>
    </xf>
    <xf numFmtId="3" fontId="17" fillId="0" borderId="25" xfId="1" applyNumberFormat="1" applyFont="1" applyFill="1" applyBorder="1" applyAlignment="1" applyProtection="1">
      <alignment horizontal="left" vertical="center" wrapText="1"/>
      <protection locked="0" hidden="1"/>
    </xf>
    <xf numFmtId="3" fontId="17" fillId="0" borderId="28" xfId="1" applyNumberFormat="1" applyFont="1" applyFill="1" applyBorder="1" applyAlignment="1" applyProtection="1">
      <alignment horizontal="left" vertical="center" wrapText="1"/>
      <protection locked="0" hidden="1"/>
    </xf>
    <xf numFmtId="3" fontId="17" fillId="0" borderId="26" xfId="1" applyNumberFormat="1" applyFont="1" applyFill="1" applyBorder="1" applyAlignment="1" applyProtection="1">
      <alignment horizontal="left" vertical="center" wrapText="1"/>
      <protection locked="0" hidden="1"/>
    </xf>
    <xf numFmtId="0" fontId="19" fillId="0" borderId="31" xfId="1" applyFont="1" applyFill="1" applyBorder="1" applyAlignment="1" applyProtection="1">
      <alignment horizontal="center" vertical="center" wrapText="1"/>
      <protection locked="0" hidden="1"/>
    </xf>
    <xf numFmtId="0" fontId="19" fillId="0" borderId="32" xfId="1" applyFont="1" applyFill="1" applyBorder="1" applyAlignment="1" applyProtection="1">
      <alignment horizontal="center" vertical="center" wrapText="1"/>
      <protection locked="0" hidden="1"/>
    </xf>
    <xf numFmtId="0" fontId="19" fillId="0" borderId="28" xfId="1" applyFont="1" applyFill="1" applyBorder="1" applyAlignment="1" applyProtection="1">
      <alignment horizontal="center" vertical="center" wrapText="1"/>
      <protection locked="0" hidden="1"/>
    </xf>
    <xf numFmtId="0" fontId="19" fillId="0" borderId="26" xfId="1" applyFont="1" applyFill="1" applyBorder="1" applyAlignment="1" applyProtection="1">
      <alignment horizontal="center" vertical="center" wrapText="1"/>
      <protection locked="0" hidden="1"/>
    </xf>
    <xf numFmtId="49" fontId="17" fillId="9" borderId="41" xfId="0" applyNumberFormat="1" applyFont="1" applyFill="1" applyBorder="1" applyAlignment="1">
      <alignment horizontal="center" vertical="center" wrapText="1"/>
    </xf>
    <xf numFmtId="0" fontId="17" fillId="9" borderId="48" xfId="0" applyFont="1" applyFill="1" applyBorder="1" applyAlignment="1">
      <alignment horizontal="center" vertical="top" wrapText="1"/>
    </xf>
    <xf numFmtId="0" fontId="17" fillId="9" borderId="0" xfId="1" applyFont="1" applyFill="1" applyAlignment="1" applyProtection="1">
      <alignment horizontal="right" wrapText="1"/>
      <protection locked="0" hidden="1"/>
    </xf>
    <xf numFmtId="0" fontId="47" fillId="9" borderId="0" xfId="0" applyFont="1" applyFill="1" applyAlignment="1">
      <alignment horizontal="center" vertical="center"/>
    </xf>
    <xf numFmtId="0" fontId="47" fillId="9" borderId="0" xfId="0" applyFont="1" applyFill="1" applyAlignment="1">
      <alignment horizontal="center"/>
    </xf>
    <xf numFmtId="0" fontId="47" fillId="9" borderId="44" xfId="0" applyFont="1" applyFill="1" applyBorder="1" applyAlignment="1">
      <alignment horizontal="center"/>
    </xf>
    <xf numFmtId="0" fontId="47" fillId="9" borderId="45" xfId="0" applyFont="1" applyFill="1" applyBorder="1" applyAlignment="1">
      <alignment horizontal="center"/>
    </xf>
    <xf numFmtId="0" fontId="47" fillId="9" borderId="46" xfId="0" applyFont="1" applyFill="1" applyBorder="1" applyAlignment="1">
      <alignment horizontal="center"/>
    </xf>
    <xf numFmtId="0" fontId="46" fillId="9" borderId="44" xfId="0" applyFont="1" applyFill="1" applyBorder="1" applyAlignment="1">
      <alignment horizontal="left"/>
    </xf>
    <xf numFmtId="0" fontId="46" fillId="9" borderId="45" xfId="0" applyFont="1" applyFill="1" applyBorder="1" applyAlignment="1">
      <alignment horizontal="left"/>
    </xf>
    <xf numFmtId="0" fontId="46" fillId="9" borderId="46" xfId="0" applyFont="1" applyFill="1" applyBorder="1" applyAlignment="1">
      <alignment horizontal="left"/>
    </xf>
    <xf numFmtId="0" fontId="17" fillId="4" borderId="4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8" fillId="0" borderId="0" xfId="44" applyFont="1" applyFill="1" applyAlignment="1">
      <alignment horizontal="center"/>
    </xf>
    <xf numFmtId="0" fontId="46" fillId="0" borderId="0" xfId="47" applyFont="1" applyFill="1" applyAlignment="1"/>
    <xf numFmtId="0" fontId="4" fillId="0" borderId="0" xfId="0" applyFont="1" applyAlignment="1">
      <alignment horizontal="left" wrapText="1"/>
    </xf>
    <xf numFmtId="0" fontId="35" fillId="0" borderId="0" xfId="50" applyNumberFormat="1" applyFont="1" applyAlignment="1">
      <alignment horizontal="center"/>
    </xf>
    <xf numFmtId="0" fontId="4" fillId="0" borderId="0" xfId="50" applyNumberFormat="1" applyFont="1" applyAlignment="1">
      <alignment horizontal="center"/>
    </xf>
    <xf numFmtId="0" fontId="3" fillId="0" borderId="0" xfId="50" applyFont="1" applyAlignment="1">
      <alignment horizontal="left"/>
    </xf>
    <xf numFmtId="0" fontId="59" fillId="3" borderId="60" xfId="0" applyNumberFormat="1" applyFont="1" applyFill="1" applyBorder="1" applyAlignment="1">
      <alignment horizontal="center" vertical="center" wrapText="1"/>
    </xf>
    <xf numFmtId="0" fontId="60" fillId="3" borderId="60" xfId="0" applyNumberFormat="1" applyFont="1" applyFill="1" applyBorder="1" applyAlignment="1">
      <alignment horizontal="left" vertical="top"/>
    </xf>
    <xf numFmtId="0" fontId="59" fillId="3" borderId="60" xfId="0" applyNumberFormat="1" applyFont="1" applyFill="1" applyBorder="1" applyAlignment="1">
      <alignment horizontal="left" vertical="center" wrapText="1"/>
    </xf>
    <xf numFmtId="0" fontId="60" fillId="13" borderId="5" xfId="52" applyNumberFormat="1" applyFont="1" applyFill="1" applyBorder="1" applyAlignment="1">
      <alignment horizontal="left" vertical="top"/>
    </xf>
    <xf numFmtId="0" fontId="60" fillId="13" borderId="5" xfId="56" applyNumberFormat="1" applyFont="1" applyFill="1" applyBorder="1" applyAlignment="1">
      <alignment horizontal="left" vertical="top"/>
    </xf>
    <xf numFmtId="0" fontId="60" fillId="13" borderId="5" xfId="59" applyNumberFormat="1" applyFont="1" applyFill="1" applyBorder="1" applyAlignment="1">
      <alignment horizontal="left" vertical="top"/>
    </xf>
    <xf numFmtId="0" fontId="70" fillId="0" borderId="0" xfId="0" applyFont="1"/>
    <xf numFmtId="0" fontId="3" fillId="0" borderId="0" xfId="51" applyNumberFormat="1" applyFont="1" applyAlignment="1">
      <alignment horizontal="left" wrapText="1"/>
    </xf>
    <xf numFmtId="0" fontId="3" fillId="0" borderId="0" xfId="49" applyNumberFormat="1" applyFont="1" applyAlignment="1">
      <alignment horizontal="left" wrapText="1"/>
    </xf>
    <xf numFmtId="0" fontId="35" fillId="0" borderId="0" xfId="45" applyNumberFormat="1" applyFont="1" applyAlignment="1">
      <alignment horizontal="center"/>
    </xf>
    <xf numFmtId="0" fontId="4" fillId="0" borderId="0" xfId="45" applyNumberFormat="1" applyFont="1" applyAlignment="1">
      <alignment horizontal="center"/>
    </xf>
    <xf numFmtId="0" fontId="3" fillId="0" borderId="0" xfId="45" applyNumberFormat="1" applyFont="1" applyAlignment="1">
      <alignment horizontal="left" wrapText="1"/>
    </xf>
    <xf numFmtId="0" fontId="3" fillId="0" borderId="0" xfId="45" applyFont="1" applyAlignment="1">
      <alignment horizontal="left"/>
    </xf>
    <xf numFmtId="0" fontId="3" fillId="0" borderId="50" xfId="45" applyNumberFormat="1" applyFont="1" applyBorder="1" applyAlignment="1">
      <alignment horizontal="center" vertical="center" wrapText="1"/>
    </xf>
    <xf numFmtId="0" fontId="3" fillId="0" borderId="9" xfId="45" applyNumberFormat="1" applyFont="1" applyBorder="1" applyAlignment="1">
      <alignment horizontal="center" vertical="center" wrapText="1"/>
    </xf>
    <xf numFmtId="0" fontId="3" fillId="0" borderId="10" xfId="45" applyNumberFormat="1" applyFont="1" applyBorder="1" applyAlignment="1">
      <alignment horizontal="center" vertical="center" wrapText="1"/>
    </xf>
    <xf numFmtId="0" fontId="42" fillId="0" borderId="0" xfId="18" applyFont="1" applyFill="1" applyAlignment="1">
      <alignment horizontal="justify" wrapText="1"/>
    </xf>
    <xf numFmtId="0" fontId="43" fillId="0" borderId="0" xfId="1" applyFont="1" applyAlignment="1">
      <alignment horizontal="left" wrapText="1"/>
    </xf>
  </cellXfs>
  <cellStyles count="62">
    <cellStyle name="%" xfId="3"/>
    <cellStyle name="Normal_Kazakhmys_1998_E-COGS, Annenskiy mine" xfId="4"/>
    <cellStyle name="Гиперссылка" xfId="34" builtinId="8"/>
    <cellStyle name="Гиперссылка 2" xfId="35"/>
    <cellStyle name="Гиперссылка 3" xfId="39"/>
    <cellStyle name="Гиперссылка 4" xfId="40"/>
    <cellStyle name="Гиперссылка 5" xfId="41"/>
    <cellStyle name="Денежный 2" xfId="2"/>
    <cellStyle name="Обычный" xfId="0" builtinId="0"/>
    <cellStyle name="Обычный 2" xfId="1"/>
    <cellStyle name="Обычный 2 10" xfId="5"/>
    <cellStyle name="Обычный 2 11" xfId="37"/>
    <cellStyle name="Обычный 2 2" xfId="6"/>
    <cellStyle name="Обычный 2 2 2" xfId="7"/>
    <cellStyle name="Обычный 2 2 2 2" xfId="8"/>
    <cellStyle name="Обычный 2 3" xfId="9"/>
    <cellStyle name="Обычный 2 4" xfId="10"/>
    <cellStyle name="Обычный 2 5" xfId="11"/>
    <cellStyle name="Обычный 2 6" xfId="12"/>
    <cellStyle name="Обычный 2 7" xfId="13"/>
    <cellStyle name="Обычный 2 8" xfId="14"/>
    <cellStyle name="Обычный 2 9" xfId="15"/>
    <cellStyle name="Обычный 2_Обзор_Тема" xfId="16"/>
    <cellStyle name="Обычный 3" xfId="17"/>
    <cellStyle name="Обычный 4" xfId="18"/>
    <cellStyle name="Обычный 4 2" xfId="19"/>
    <cellStyle name="Обычный 4 2 2" xfId="38"/>
    <cellStyle name="Обычный 4_Обзор_Тема" xfId="20"/>
    <cellStyle name="Обычный 5" xfId="21"/>
    <cellStyle name="Обычный 6" xfId="22"/>
    <cellStyle name="Обычный 6 2" xfId="23"/>
    <cellStyle name="Обычный 7" xfId="24"/>
    <cellStyle name="Обычный 8" xfId="54"/>
    <cellStyle name="Обычный_1 полугодие 2007 ДЗКЗ" xfId="44"/>
    <cellStyle name="Обычный_1240" xfId="45"/>
    <cellStyle name="Обычный_Д и К" xfId="46"/>
    <cellStyle name="Обычный_ДДС" xfId="48"/>
    <cellStyle name="Обычный_ДДС.1" xfId="49"/>
    <cellStyle name="Обычный_ДДС.5" xfId="58"/>
    <cellStyle name="Обычный_ДДС.6" xfId="61"/>
    <cellStyle name="Обычный_Кварт.налоговый отч 2002" xfId="36"/>
    <cellStyle name="Обычный_Лист2" xfId="47"/>
    <cellStyle name="Обычный_ОПИУ.1" xfId="51"/>
    <cellStyle name="Обычный_ОПИУ.5" xfId="57"/>
    <cellStyle name="Обычный_ОПИУ.6" xfId="60"/>
    <cellStyle name="Обычный_ОСВ свод" xfId="50"/>
    <cellStyle name="Обычный_ОСВ.1" xfId="52"/>
    <cellStyle name="Обычный_ОСВ.5" xfId="56"/>
    <cellStyle name="Обычный_ОСВ.6" xfId="59"/>
    <cellStyle name="Обычный_Раскрытия ФО консол 31-12-2008 ТемаКо" xfId="43"/>
    <cellStyle name="Обычный_СК" xfId="55"/>
    <cellStyle name="Обычный_Справочник" xfId="33"/>
    <cellStyle name="Процентный 2" xfId="25"/>
    <cellStyle name="Процентный 3" xfId="53"/>
    <cellStyle name="Стиль 1" xfId="26"/>
    <cellStyle name="Финансовый [0] 2" xfId="42"/>
    <cellStyle name="Финансовый 2" xfId="27"/>
    <cellStyle name="Финансовый 2 2" xfId="28"/>
    <cellStyle name="Финансовый 3" xfId="29"/>
    <cellStyle name="Финансовый 4" xfId="30"/>
    <cellStyle name="Финансовый 5" xfId="31"/>
    <cellStyle name="Финансовый 6" xfId="32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%20Caspian%20Cement/&#1060;&#1054;/&#1060;&#1054;%202010%20&#1058;&#1077;&#1084;&#1072;&#1050;&#1086;%20&#1073;&#1077;&#1079;%20&#1044;&#1048;%20-%20&#1082;&#1086;&#1087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"/>
      <sheetName val="IS"/>
      <sheetName val="Акции"/>
      <sheetName val="BS"/>
      <sheetName val="CF"/>
      <sheetName val="CE"/>
      <sheetName val="сборка"/>
      <sheetName val="ОДДС"/>
      <sheetName val="Свод"/>
      <sheetName val="корректировки"/>
      <sheetName val="кор бух"/>
      <sheetName val="TB"/>
      <sheetName val="ОСВ"/>
      <sheetName val="выбытие"/>
      <sheetName val="выбытие1"/>
      <sheetName val="11ДИ"/>
      <sheetName val="11.1"/>
      <sheetName val="12ИИ"/>
      <sheetName val="13ОС"/>
      <sheetName val="13.1"/>
      <sheetName val="14НЗС"/>
      <sheetName val="15НМА"/>
      <sheetName val="15.1"/>
      <sheetName val="16Гудвилл"/>
      <sheetName val="16.1Гудвилл Аксай"/>
      <sheetName val="16.2 ответ по запросам"/>
      <sheetName val="17ПрДА"/>
      <sheetName val="17.1НЗС"/>
      <sheetName val="18 Облиг"/>
      <sheetName val="19Налоги"/>
      <sheetName val="19.1"/>
      <sheetName val="20 прОб-ва"/>
      <sheetName val="20.1"/>
      <sheetName val="21КратКЗ"/>
      <sheetName val="21.1"/>
      <sheetName val="22ОценОбяз"/>
      <sheetName val="22.1"/>
      <sheetName val="23.1Займы"/>
      <sheetName val="24УК"/>
      <sheetName val="25НРП"/>
      <sheetName val="26ДНКА"/>
      <sheetName val="27Доходы"/>
      <sheetName val="25.1"/>
      <sheetName val="26.1"/>
      <sheetName val="29Адм"/>
      <sheetName val="29.1"/>
      <sheetName val="29.2"/>
      <sheetName val="29.3"/>
      <sheetName val="30.1"/>
      <sheetName val="31ПрДиР"/>
      <sheetName val="31.1"/>
      <sheetName val="22ОНО"/>
      <sheetName val="ФА"/>
    </sheetNames>
    <sheetDataSet>
      <sheetData sheetId="0" refreshError="1"/>
      <sheetData sheetId="1" refreshError="1"/>
      <sheetData sheetId="2" refreshError="1"/>
      <sheetData sheetId="3">
        <row r="22">
          <cell r="F22">
            <v>161668.35863999993</v>
          </cell>
          <cell r="G22">
            <v>236488.60610999999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6">
          <cell r="B16">
            <v>120789106</v>
          </cell>
          <cell r="F16">
            <v>4774699.57</v>
          </cell>
          <cell r="J16">
            <v>20881494.370000001</v>
          </cell>
          <cell r="N16">
            <v>10004560</v>
          </cell>
          <cell r="R16">
            <v>35709554.689999998</v>
          </cell>
        </row>
        <row r="17">
          <cell r="J17">
            <v>29903499.600000001</v>
          </cell>
          <cell r="N17">
            <v>5124000</v>
          </cell>
          <cell r="R17">
            <v>44414671.170000002</v>
          </cell>
        </row>
        <row r="18">
          <cell r="N18">
            <v>-10004560</v>
          </cell>
        </row>
        <row r="20">
          <cell r="J20">
            <v>31980340.949999999</v>
          </cell>
          <cell r="R20">
            <v>19628630.449999999</v>
          </cell>
        </row>
        <row r="23">
          <cell r="F23">
            <v>358102.44</v>
          </cell>
          <cell r="J23">
            <v>4600599.5599999996</v>
          </cell>
          <cell r="N23">
            <v>1125513</v>
          </cell>
          <cell r="R23">
            <v>5265885.42</v>
          </cell>
        </row>
        <row r="24">
          <cell r="F24">
            <v>238734.96</v>
          </cell>
          <cell r="J24">
            <v>5694644.4100000001</v>
          </cell>
          <cell r="N24">
            <v>398271</v>
          </cell>
          <cell r="R24">
            <v>8927352.5</v>
          </cell>
        </row>
        <row r="25">
          <cell r="N25">
            <v>-1500684</v>
          </cell>
        </row>
        <row r="27">
          <cell r="F27">
            <v>179051.22</v>
          </cell>
          <cell r="J27">
            <v>9348060.6899999995</v>
          </cell>
          <cell r="N27">
            <v>576450</v>
          </cell>
          <cell r="R27">
            <v>11755323.859999999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lans.kz/profile.php?mode=viewprofile&amp;u=86" TargetMode="External"/><Relationship Id="rId2" Type="http://schemas.openxmlformats.org/officeDocument/2006/relationships/hyperlink" Target="mailto:admin@balans.kz" TargetMode="External"/><Relationship Id="rId1" Type="http://schemas.openxmlformats.org/officeDocument/2006/relationships/hyperlink" Target="http://www.balans.kz/viewtopic.php?t=34669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lans.kz/profile.php?mode=viewprofile&amp;u=86" TargetMode="External"/><Relationship Id="rId2" Type="http://schemas.openxmlformats.org/officeDocument/2006/relationships/hyperlink" Target="mailto:admin@balans.kz" TargetMode="External"/><Relationship Id="rId1" Type="http://schemas.openxmlformats.org/officeDocument/2006/relationships/hyperlink" Target="http://www.balans.kz/viewtopic.php?t=34669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lans.kz/profile.php?mode=viewprofile&amp;u=86" TargetMode="External"/><Relationship Id="rId2" Type="http://schemas.openxmlformats.org/officeDocument/2006/relationships/hyperlink" Target="mailto:admin@balans.kz" TargetMode="External"/><Relationship Id="rId1" Type="http://schemas.openxmlformats.org/officeDocument/2006/relationships/hyperlink" Target="http://www.balans.kz/viewtopic.php?t=34669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lans.kz/profile.php?mode=viewprofile&amp;u=86" TargetMode="External"/><Relationship Id="rId2" Type="http://schemas.openxmlformats.org/officeDocument/2006/relationships/hyperlink" Target="mailto:admin@balans.kz" TargetMode="External"/><Relationship Id="rId1" Type="http://schemas.openxmlformats.org/officeDocument/2006/relationships/hyperlink" Target="http://www.balans.kz/viewtopic.php?t=34669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balans.kz/profile.php?mode=viewprofile&amp;u=7757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workbookViewId="0">
      <selection activeCell="A15" sqref="A15"/>
    </sheetView>
  </sheetViews>
  <sheetFormatPr defaultRowHeight="15"/>
  <cols>
    <col min="1" max="1" width="50.140625" style="3" customWidth="1"/>
    <col min="2" max="2" width="9.140625" style="2"/>
  </cols>
  <sheetData>
    <row r="1" spans="1:2">
      <c r="A1" s="1" t="s">
        <v>0</v>
      </c>
      <c r="B1" s="1" t="s">
        <v>1</v>
      </c>
    </row>
    <row r="2" spans="1:2">
      <c r="A2" s="1" t="s">
        <v>2</v>
      </c>
    </row>
    <row r="3" spans="1:2">
      <c r="A3" s="1" t="s">
        <v>1</v>
      </c>
    </row>
    <row r="4" spans="1:2">
      <c r="A4" s="1"/>
    </row>
    <row r="5" spans="1:2">
      <c r="A5" s="1"/>
    </row>
    <row r="6" spans="1:2">
      <c r="A6" s="3" t="s">
        <v>3</v>
      </c>
      <c r="B6" s="2" t="s">
        <v>4</v>
      </c>
    </row>
    <row r="7" spans="1:2">
      <c r="A7" s="3" t="s">
        <v>5</v>
      </c>
      <c r="B7" s="2" t="s">
        <v>6</v>
      </c>
    </row>
    <row r="8" spans="1:2">
      <c r="A8" s="3" t="s">
        <v>7</v>
      </c>
      <c r="B8" s="2" t="s">
        <v>8</v>
      </c>
    </row>
    <row r="9" spans="1:2">
      <c r="A9" s="3" t="s">
        <v>9</v>
      </c>
      <c r="B9" s="2" t="s">
        <v>10</v>
      </c>
    </row>
    <row r="10" spans="1:2">
      <c r="A10" s="3" t="s">
        <v>11</v>
      </c>
      <c r="B10" s="2" t="s">
        <v>12</v>
      </c>
    </row>
    <row r="11" spans="1:2">
      <c r="A11" s="3" t="s">
        <v>13</v>
      </c>
      <c r="B11" s="2" t="s">
        <v>14</v>
      </c>
    </row>
    <row r="12" spans="1:2">
      <c r="A12" s="3" t="s">
        <v>15</v>
      </c>
      <c r="B12" s="2" t="s">
        <v>16</v>
      </c>
    </row>
    <row r="13" spans="1:2">
      <c r="A13" s="3" t="s">
        <v>17</v>
      </c>
      <c r="B13" s="2" t="s">
        <v>18</v>
      </c>
    </row>
    <row r="14" spans="1:2">
      <c r="A14" s="3" t="s">
        <v>19</v>
      </c>
      <c r="B14" s="2" t="s">
        <v>20</v>
      </c>
    </row>
    <row r="15" spans="1:2">
      <c r="A15" s="3" t="s">
        <v>21</v>
      </c>
      <c r="B15" s="2" t="s">
        <v>22</v>
      </c>
    </row>
    <row r="16" spans="1:2">
      <c r="A16" s="3" t="s">
        <v>23</v>
      </c>
      <c r="B16" s="2" t="s">
        <v>24</v>
      </c>
    </row>
    <row r="17" spans="1:2">
      <c r="A17" s="3" t="s">
        <v>25</v>
      </c>
      <c r="B17" s="2" t="s">
        <v>26</v>
      </c>
    </row>
    <row r="18" spans="1:2">
      <c r="A18" s="3" t="s">
        <v>27</v>
      </c>
      <c r="B18" s="2" t="s">
        <v>28</v>
      </c>
    </row>
    <row r="19" spans="1:2">
      <c r="A19" s="3" t="s">
        <v>29</v>
      </c>
      <c r="B19" s="2" t="s">
        <v>30</v>
      </c>
    </row>
    <row r="20" spans="1:2">
      <c r="A20" s="3" t="s">
        <v>31</v>
      </c>
      <c r="B20" s="2" t="s">
        <v>32</v>
      </c>
    </row>
    <row r="21" spans="1:2">
      <c r="A21" s="3" t="s">
        <v>33</v>
      </c>
      <c r="B21" s="2" t="s">
        <v>34</v>
      </c>
    </row>
    <row r="22" spans="1:2">
      <c r="A22" s="3" t="s">
        <v>35</v>
      </c>
      <c r="B22" s="2" t="s">
        <v>36</v>
      </c>
    </row>
    <row r="23" spans="1:2">
      <c r="A23" s="3" t="s">
        <v>37</v>
      </c>
      <c r="B23" s="2" t="s">
        <v>38</v>
      </c>
    </row>
    <row r="24" spans="1:2">
      <c r="A24" s="3" t="s">
        <v>39</v>
      </c>
      <c r="B24" s="2" t="s">
        <v>40</v>
      </c>
    </row>
    <row r="25" spans="1:2">
      <c r="A25" s="3" t="s">
        <v>41</v>
      </c>
      <c r="B25" s="2" t="s">
        <v>42</v>
      </c>
    </row>
    <row r="26" spans="1:2">
      <c r="A26" s="3" t="s">
        <v>43</v>
      </c>
      <c r="B26" s="2" t="s">
        <v>44</v>
      </c>
    </row>
    <row r="27" spans="1:2">
      <c r="A27" s="3" t="s">
        <v>45</v>
      </c>
      <c r="B27" s="2" t="s">
        <v>46</v>
      </c>
    </row>
    <row r="28" spans="1:2">
      <c r="A28" s="3" t="s">
        <v>47</v>
      </c>
      <c r="B28" s="2" t="s">
        <v>48</v>
      </c>
    </row>
    <row r="29" spans="1:2">
      <c r="A29" s="3" t="s">
        <v>49</v>
      </c>
      <c r="B29" s="2" t="s">
        <v>50</v>
      </c>
    </row>
    <row r="30" spans="1:2">
      <c r="A30" s="3" t="s">
        <v>51</v>
      </c>
      <c r="B30" s="2" t="s">
        <v>52</v>
      </c>
    </row>
    <row r="31" spans="1:2">
      <c r="A31" s="3" t="s">
        <v>53</v>
      </c>
      <c r="B31" s="2" t="s">
        <v>54</v>
      </c>
    </row>
    <row r="32" spans="1:2">
      <c r="A32" s="3" t="s">
        <v>55</v>
      </c>
      <c r="B32" s="2" t="s">
        <v>56</v>
      </c>
    </row>
    <row r="33" spans="1:2">
      <c r="A33" s="3" t="s">
        <v>57</v>
      </c>
      <c r="B33" s="2" t="s">
        <v>58</v>
      </c>
    </row>
    <row r="34" spans="1:2">
      <c r="A34" s="3" t="s">
        <v>59</v>
      </c>
      <c r="B34" s="2" t="s">
        <v>60</v>
      </c>
    </row>
    <row r="35" spans="1:2">
      <c r="A35" s="3" t="s">
        <v>61</v>
      </c>
      <c r="B35" s="2" t="s">
        <v>62</v>
      </c>
    </row>
    <row r="36" spans="1:2">
      <c r="A36" s="3" t="s">
        <v>63</v>
      </c>
      <c r="B36" s="2" t="s">
        <v>64</v>
      </c>
    </row>
    <row r="37" spans="1:2">
      <c r="A37" s="3" t="s">
        <v>65</v>
      </c>
      <c r="B37" s="2" t="s">
        <v>66</v>
      </c>
    </row>
    <row r="38" spans="1:2">
      <c r="A38" s="3" t="s">
        <v>67</v>
      </c>
      <c r="B38" s="2" t="s">
        <v>68</v>
      </c>
    </row>
    <row r="39" spans="1:2">
      <c r="A39" s="3" t="s">
        <v>69</v>
      </c>
      <c r="B39" s="2" t="s">
        <v>70</v>
      </c>
    </row>
    <row r="41" spans="1:2">
      <c r="A41" s="4"/>
    </row>
    <row r="42" spans="1:2">
      <c r="A42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3"/>
  <sheetViews>
    <sheetView topLeftCell="F31" workbookViewId="0">
      <selection activeCell="G54" sqref="G54"/>
    </sheetView>
  </sheetViews>
  <sheetFormatPr defaultRowHeight="15" outlineLevelCol="1"/>
  <cols>
    <col min="1" max="1" width="26.42578125" style="256" customWidth="1" outlineLevel="1"/>
    <col min="2" max="2" width="23.85546875" style="138" customWidth="1" outlineLevel="1"/>
    <col min="3" max="3" width="22.85546875" style="138" customWidth="1" outlineLevel="1"/>
    <col min="4" max="5" width="9.140625" customWidth="1" outlineLevel="1"/>
    <col min="6" max="6" width="10.5703125" style="137" customWidth="1"/>
    <col min="7" max="7" width="74" style="137" bestFit="1" customWidth="1"/>
    <col min="8" max="8" width="15.85546875" style="137" bestFit="1" customWidth="1"/>
    <col min="9" max="9" width="16.42578125" style="137" bestFit="1" customWidth="1"/>
    <col min="10" max="12" width="15.85546875" style="137" bestFit="1" customWidth="1"/>
    <col min="13" max="13" width="16.42578125" style="137" bestFit="1" customWidth="1"/>
  </cols>
  <sheetData>
    <row r="1" spans="1:13" s="342" customFormat="1">
      <c r="B1" s="138"/>
      <c r="C1" s="138"/>
      <c r="F1" s="371"/>
      <c r="G1" s="343"/>
      <c r="H1" s="343"/>
      <c r="I1" s="343"/>
      <c r="J1" s="343"/>
      <c r="K1" s="343"/>
      <c r="L1" s="343"/>
      <c r="M1" s="343"/>
    </row>
    <row r="2" spans="1:13" ht="15.75">
      <c r="B2" s="672"/>
      <c r="C2" s="672"/>
      <c r="F2" s="481" t="s">
        <v>737</v>
      </c>
      <c r="G2" s="482"/>
      <c r="H2" s="347"/>
      <c r="I2" s="347"/>
      <c r="J2" s="347"/>
      <c r="K2" s="347"/>
      <c r="L2" s="347"/>
      <c r="M2" s="347"/>
    </row>
    <row r="3" spans="1:13">
      <c r="B3" s="673"/>
      <c r="C3" s="673"/>
      <c r="F3" s="348"/>
      <c r="G3" s="348"/>
      <c r="H3" s="348"/>
      <c r="I3" s="348"/>
      <c r="J3" s="348"/>
      <c r="K3" s="348"/>
      <c r="L3" s="348"/>
      <c r="M3" s="348"/>
    </row>
    <row r="4" spans="1:13">
      <c r="B4" s="674"/>
      <c r="C4" s="674"/>
      <c r="F4" s="349" t="s">
        <v>359</v>
      </c>
      <c r="G4" s="349"/>
      <c r="H4" s="349"/>
      <c r="I4" s="349"/>
      <c r="J4" s="349"/>
      <c r="K4" s="349"/>
      <c r="L4" s="349"/>
      <c r="M4" s="349"/>
    </row>
    <row r="5" spans="1:13" ht="15.75" thickBot="1">
      <c r="B5" s="257"/>
      <c r="C5" s="257"/>
      <c r="F5" s="343"/>
      <c r="G5" s="343"/>
      <c r="H5" s="343"/>
      <c r="I5" s="343"/>
      <c r="J5" s="343"/>
      <c r="K5" s="343"/>
      <c r="L5" s="343"/>
      <c r="M5" s="343"/>
    </row>
    <row r="6" spans="1:13" ht="15" customHeight="1">
      <c r="B6" s="313" t="s">
        <v>361</v>
      </c>
      <c r="C6" s="314" t="s">
        <v>363</v>
      </c>
      <c r="F6" s="677" t="s">
        <v>360</v>
      </c>
      <c r="G6" s="675" t="s">
        <v>78</v>
      </c>
      <c r="H6" s="675" t="s">
        <v>361</v>
      </c>
      <c r="I6" s="675"/>
      <c r="J6" s="675" t="s">
        <v>367</v>
      </c>
      <c r="K6" s="675"/>
      <c r="L6" s="675" t="s">
        <v>363</v>
      </c>
      <c r="M6" s="675"/>
    </row>
    <row r="7" spans="1:13" ht="15.75" thickBot="1">
      <c r="B7" s="258" t="s">
        <v>364</v>
      </c>
      <c r="C7" s="259" t="s">
        <v>364</v>
      </c>
      <c r="F7" s="677"/>
      <c r="G7" s="675"/>
      <c r="H7" s="393" t="s">
        <v>364</v>
      </c>
      <c r="I7" s="393" t="s">
        <v>365</v>
      </c>
      <c r="J7" s="393" t="s">
        <v>364</v>
      </c>
      <c r="K7" s="393" t="s">
        <v>365</v>
      </c>
      <c r="L7" s="393" t="s">
        <v>364</v>
      </c>
      <c r="M7" s="393" t="s">
        <v>365</v>
      </c>
    </row>
    <row r="8" spans="1:13" ht="15" customHeight="1">
      <c r="A8" s="316" t="s">
        <v>736</v>
      </c>
      <c r="B8" s="260">
        <f t="shared" ref="B8:B58" si="0">IF(ISBLANK(H8)=FALSE,H8,-I8)</f>
        <v>87568.93</v>
      </c>
      <c r="C8" s="260">
        <f>IF(ISBLANK(L8)=FALSE,L8,-M8)</f>
        <v>404175.37</v>
      </c>
      <c r="F8" s="424">
        <v>1000</v>
      </c>
      <c r="G8" s="421" t="s">
        <v>72</v>
      </c>
      <c r="H8" s="423">
        <v>87568.93</v>
      </c>
      <c r="I8" s="422"/>
      <c r="J8" s="423">
        <v>14216245</v>
      </c>
      <c r="K8" s="423">
        <v>13899638.560000001</v>
      </c>
      <c r="L8" s="423">
        <v>404175.37</v>
      </c>
      <c r="M8" s="422"/>
    </row>
    <row r="9" spans="1:13" ht="15" customHeight="1">
      <c r="A9" s="256" t="str">
        <f>A8</f>
        <v xml:space="preserve"> "Hold Own"</v>
      </c>
      <c r="B9" s="260">
        <f t="shared" si="0"/>
        <v>52287</v>
      </c>
      <c r="C9" s="260">
        <f>IF(ISBLANK(L9)=FALSE,L9,-M9)</f>
        <v>2483.52</v>
      </c>
      <c r="D9" s="256" t="str">
        <f>VLOOKUP(F9,Справочник!$A$2:$C$415,3,FALSE)</f>
        <v>Денежные средства и их эквиваленты</v>
      </c>
      <c r="F9" s="425">
        <v>1010</v>
      </c>
      <c r="G9" s="426" t="s">
        <v>80</v>
      </c>
      <c r="H9" s="427">
        <v>52287</v>
      </c>
      <c r="I9" s="428"/>
      <c r="J9" s="427">
        <v>563245</v>
      </c>
      <c r="K9" s="427">
        <v>613048.48</v>
      </c>
      <c r="L9" s="427">
        <v>2483.52</v>
      </c>
      <c r="M9" s="428"/>
    </row>
    <row r="10" spans="1:13" ht="15" customHeight="1">
      <c r="A10" s="315" t="str">
        <f>A9</f>
        <v xml:space="preserve"> "Hold Own"</v>
      </c>
      <c r="B10" s="260">
        <f t="shared" si="0"/>
        <v>0</v>
      </c>
      <c r="C10" s="260">
        <f t="shared" ref="C10:C58" si="1">IF(ISBLANK(L10)=FALSE,L10,-M10)</f>
        <v>0</v>
      </c>
      <c r="D10" s="312">
        <f>VLOOKUP(F10,Справочник!$A$2:$C$415,3,FALSE)</f>
        <v>0</v>
      </c>
      <c r="F10" s="473">
        <v>1020</v>
      </c>
      <c r="G10" s="474" t="s">
        <v>81</v>
      </c>
      <c r="H10" s="475"/>
      <c r="I10" s="475"/>
      <c r="J10" s="476">
        <v>30000</v>
      </c>
      <c r="K10" s="476">
        <v>30000</v>
      </c>
      <c r="L10" s="475"/>
      <c r="M10" s="475"/>
    </row>
    <row r="11" spans="1:13" ht="15" customHeight="1">
      <c r="A11" s="315" t="str">
        <f t="shared" ref="A11:A74" si="2">A10</f>
        <v xml:space="preserve"> "Hold Own"</v>
      </c>
      <c r="B11" s="260">
        <f t="shared" si="0"/>
        <v>0</v>
      </c>
      <c r="C11" s="260">
        <f t="shared" si="1"/>
        <v>0</v>
      </c>
      <c r="D11" s="312" t="str">
        <f>VLOOKUP(F11,Справочник!$A$2:$C$415,3,FALSE)</f>
        <v>Денежные средства и их эквиваленты</v>
      </c>
      <c r="F11" s="477">
        <v>1021</v>
      </c>
      <c r="G11" s="426" t="s">
        <v>81</v>
      </c>
      <c r="H11" s="428"/>
      <c r="I11" s="428"/>
      <c r="J11" s="427">
        <v>30000</v>
      </c>
      <c r="K11" s="427">
        <v>30000</v>
      </c>
      <c r="L11" s="428"/>
      <c r="M11" s="428"/>
    </row>
    <row r="12" spans="1:13" ht="15" customHeight="1">
      <c r="A12" s="315" t="str">
        <f t="shared" si="2"/>
        <v xml:space="preserve"> "Hold Own"</v>
      </c>
      <c r="B12" s="260">
        <f t="shared" si="0"/>
        <v>35281.93</v>
      </c>
      <c r="C12" s="260">
        <f t="shared" si="1"/>
        <v>401691.85</v>
      </c>
      <c r="D12" s="312" t="str">
        <f>VLOOKUP(F12,Справочник!$A$2:$C$415,3,FALSE)</f>
        <v>Денежные средства и их эквиваленты</v>
      </c>
      <c r="F12" s="425">
        <v>1030</v>
      </c>
      <c r="G12" s="426" t="s">
        <v>83</v>
      </c>
      <c r="H12" s="427">
        <v>35281.93</v>
      </c>
      <c r="I12" s="428"/>
      <c r="J12" s="427">
        <v>13623000</v>
      </c>
      <c r="K12" s="427">
        <v>13256590.08</v>
      </c>
      <c r="L12" s="427">
        <v>401691.85</v>
      </c>
      <c r="M12" s="428"/>
    </row>
    <row r="13" spans="1:13" ht="15" customHeight="1">
      <c r="A13" s="315" t="str">
        <f t="shared" si="2"/>
        <v xml:space="preserve"> "Hold Own"</v>
      </c>
      <c r="B13" s="260">
        <f t="shared" si="0"/>
        <v>477862.99</v>
      </c>
      <c r="C13" s="260">
        <f t="shared" si="1"/>
        <v>1062294.2</v>
      </c>
      <c r="D13" s="312">
        <f>VLOOKUP(F13,Справочник!$A$2:$C$415,3,FALSE)</f>
        <v>0</v>
      </c>
      <c r="F13" s="424">
        <v>1200</v>
      </c>
      <c r="G13" s="421" t="s">
        <v>93</v>
      </c>
      <c r="H13" s="423">
        <v>477862.99</v>
      </c>
      <c r="I13" s="422"/>
      <c r="J13" s="423">
        <v>5883360.21</v>
      </c>
      <c r="K13" s="423">
        <v>5298929</v>
      </c>
      <c r="L13" s="423">
        <v>1062294.2</v>
      </c>
      <c r="M13" s="422"/>
    </row>
    <row r="14" spans="1:13" ht="15" customHeight="1">
      <c r="A14" s="315" t="str">
        <f t="shared" si="2"/>
        <v xml:space="preserve"> "Hold Own"</v>
      </c>
      <c r="B14" s="260">
        <f t="shared" si="0"/>
        <v>0</v>
      </c>
      <c r="C14" s="260">
        <f t="shared" si="1"/>
        <v>881610.21</v>
      </c>
      <c r="D14" s="312" t="str">
        <f>VLOOKUP(F14,Справочник!$A$2:$C$415,3,FALSE)</f>
        <v>Краткосрочная торговая и прочая дебиторская задолженность</v>
      </c>
      <c r="F14" s="425">
        <v>1210</v>
      </c>
      <c r="G14" s="426" t="s">
        <v>94</v>
      </c>
      <c r="H14" s="428"/>
      <c r="I14" s="428"/>
      <c r="J14" s="427">
        <v>5881610.21</v>
      </c>
      <c r="K14" s="427">
        <v>5000000</v>
      </c>
      <c r="L14" s="427">
        <v>881610.21</v>
      </c>
      <c r="M14" s="428"/>
    </row>
    <row r="15" spans="1:13" ht="15" customHeight="1">
      <c r="A15" s="315" t="str">
        <f t="shared" si="2"/>
        <v xml:space="preserve"> "Hold Own"</v>
      </c>
      <c r="B15" s="260">
        <f t="shared" si="0"/>
        <v>180983.99</v>
      </c>
      <c r="C15" s="260">
        <f t="shared" si="1"/>
        <v>180683.99</v>
      </c>
      <c r="D15" s="312">
        <f>VLOOKUP(F15,Справочник!$A$2:$C$415,3,FALSE)</f>
        <v>0</v>
      </c>
      <c r="F15" s="473">
        <v>1250</v>
      </c>
      <c r="G15" s="474" t="s">
        <v>98</v>
      </c>
      <c r="H15" s="476">
        <v>180983.99</v>
      </c>
      <c r="I15" s="475"/>
      <c r="J15" s="476">
        <v>1750</v>
      </c>
      <c r="K15" s="476">
        <v>2050</v>
      </c>
      <c r="L15" s="476">
        <v>180683.99</v>
      </c>
      <c r="M15" s="475"/>
    </row>
    <row r="16" spans="1:13" ht="15" customHeight="1">
      <c r="A16" s="315" t="str">
        <f t="shared" si="2"/>
        <v xml:space="preserve"> "Hold Own"</v>
      </c>
      <c r="B16" s="260">
        <f t="shared" si="0"/>
        <v>180983.99</v>
      </c>
      <c r="C16" s="260">
        <f t="shared" si="1"/>
        <v>180683.99</v>
      </c>
      <c r="D16" s="312" t="str">
        <f>VLOOKUP(F16,Справочник!$A$2:$C$415,3,FALSE)</f>
        <v>Краткосрочная торговая и прочая дебиторская задолженность</v>
      </c>
      <c r="F16" s="477">
        <v>1251</v>
      </c>
      <c r="G16" s="426" t="s">
        <v>99</v>
      </c>
      <c r="H16" s="427">
        <v>180983.99</v>
      </c>
      <c r="I16" s="428"/>
      <c r="J16" s="427">
        <v>1750</v>
      </c>
      <c r="K16" s="427">
        <v>2050</v>
      </c>
      <c r="L16" s="427">
        <v>180683.99</v>
      </c>
      <c r="M16" s="428"/>
    </row>
    <row r="17" spans="1:13" ht="15" customHeight="1">
      <c r="A17" s="315" t="str">
        <f t="shared" si="2"/>
        <v xml:space="preserve"> "Hold Own"</v>
      </c>
      <c r="B17" s="260">
        <f t="shared" si="0"/>
        <v>296879</v>
      </c>
      <c r="C17" s="260">
        <f t="shared" si="1"/>
        <v>0</v>
      </c>
      <c r="D17" s="312" t="str">
        <f>VLOOKUP(F17,Справочник!$A$2:$C$415,3,FALSE)</f>
        <v>Краткосрочная торговая и прочая дебиторская задолженность</v>
      </c>
      <c r="F17" s="425">
        <v>1260</v>
      </c>
      <c r="G17" s="426" t="s">
        <v>103</v>
      </c>
      <c r="H17" s="427">
        <v>296879</v>
      </c>
      <c r="I17" s="428"/>
      <c r="J17" s="428"/>
      <c r="K17" s="427">
        <v>296879</v>
      </c>
      <c r="L17" s="428"/>
      <c r="M17" s="428"/>
    </row>
    <row r="18" spans="1:13" ht="15" customHeight="1">
      <c r="A18" s="315" t="str">
        <f t="shared" si="2"/>
        <v xml:space="preserve"> "Hold Own"</v>
      </c>
      <c r="B18" s="260">
        <f t="shared" si="0"/>
        <v>6944670.71</v>
      </c>
      <c r="C18" s="260">
        <f t="shared" si="1"/>
        <v>8423634.8100000005</v>
      </c>
      <c r="D18" s="312">
        <f>VLOOKUP(F18,Справочник!$A$2:$C$415,3,FALSE)</f>
        <v>0</v>
      </c>
      <c r="F18" s="424">
        <v>1300</v>
      </c>
      <c r="G18" s="421" t="s">
        <v>110</v>
      </c>
      <c r="H18" s="423">
        <v>6944670.71</v>
      </c>
      <c r="I18" s="422"/>
      <c r="J18" s="423">
        <v>1503164.1</v>
      </c>
      <c r="K18" s="423">
        <v>24200</v>
      </c>
      <c r="L18" s="423">
        <v>8423634.8100000005</v>
      </c>
      <c r="M18" s="422"/>
    </row>
    <row r="19" spans="1:13" ht="15" customHeight="1">
      <c r="A19" s="315" t="str">
        <f t="shared" si="2"/>
        <v xml:space="preserve"> "Hold Own"</v>
      </c>
      <c r="B19" s="260">
        <f t="shared" si="0"/>
        <v>2007925.51</v>
      </c>
      <c r="C19" s="260">
        <f t="shared" si="1"/>
        <v>2732925.51</v>
      </c>
      <c r="D19" s="312" t="str">
        <f>VLOOKUP(F19,Справочник!$A$2:$C$415,3,FALSE)</f>
        <v>Запасы</v>
      </c>
      <c r="F19" s="425">
        <v>1311</v>
      </c>
      <c r="G19" s="426" t="s">
        <v>111</v>
      </c>
      <c r="H19" s="427">
        <v>2007925.51</v>
      </c>
      <c r="I19" s="428"/>
      <c r="J19" s="427">
        <v>725000</v>
      </c>
      <c r="K19" s="428"/>
      <c r="L19" s="427">
        <v>2732925.51</v>
      </c>
      <c r="M19" s="428"/>
    </row>
    <row r="20" spans="1:13" ht="15" customHeight="1">
      <c r="A20" s="315" t="str">
        <f t="shared" si="2"/>
        <v xml:space="preserve"> "Hold Own"</v>
      </c>
      <c r="B20" s="260">
        <f t="shared" si="0"/>
        <v>4936745.2</v>
      </c>
      <c r="C20" s="260">
        <f t="shared" si="1"/>
        <v>5690709.2999999998</v>
      </c>
      <c r="D20" s="312" t="str">
        <f>VLOOKUP(F20,Справочник!$A$2:$C$415,3,FALSE)</f>
        <v>Запасы</v>
      </c>
      <c r="F20" s="425">
        <v>1330</v>
      </c>
      <c r="G20" s="426" t="s">
        <v>113</v>
      </c>
      <c r="H20" s="427">
        <v>4936745.2</v>
      </c>
      <c r="I20" s="428"/>
      <c r="J20" s="427">
        <v>778164.1</v>
      </c>
      <c r="K20" s="427">
        <v>24200</v>
      </c>
      <c r="L20" s="427">
        <v>5690709.2999999998</v>
      </c>
      <c r="M20" s="428"/>
    </row>
    <row r="21" spans="1:13" ht="15" customHeight="1">
      <c r="A21" s="315" t="str">
        <f t="shared" si="2"/>
        <v xml:space="preserve"> "Hold Own"</v>
      </c>
      <c r="B21" s="260">
        <f t="shared" si="0"/>
        <v>1229164</v>
      </c>
      <c r="C21" s="260">
        <f t="shared" si="1"/>
        <v>1229164</v>
      </c>
      <c r="D21" s="312">
        <f>VLOOKUP(F21,Справочник!$A$2:$C$415,3,FALSE)</f>
        <v>0</v>
      </c>
      <c r="F21" s="424">
        <v>1400</v>
      </c>
      <c r="G21" s="421" t="s">
        <v>11</v>
      </c>
      <c r="H21" s="423">
        <v>1229164</v>
      </c>
      <c r="I21" s="422"/>
      <c r="J21" s="422"/>
      <c r="K21" s="422"/>
      <c r="L21" s="423">
        <v>1229164</v>
      </c>
      <c r="M21" s="422"/>
    </row>
    <row r="22" spans="1:13" ht="15" customHeight="1">
      <c r="A22" s="315" t="str">
        <f t="shared" si="2"/>
        <v xml:space="preserve"> "Hold Own"</v>
      </c>
      <c r="B22" s="260">
        <f t="shared" si="0"/>
        <v>1229164</v>
      </c>
      <c r="C22" s="260">
        <f t="shared" si="1"/>
        <v>1229164</v>
      </c>
      <c r="D22" s="312" t="str">
        <f>VLOOKUP(F22,Справочник!$A$2:$C$415,3,FALSE)</f>
        <v>Прочие краткосрочные активы</v>
      </c>
      <c r="F22" s="425">
        <v>1420</v>
      </c>
      <c r="G22" s="426" t="s">
        <v>124</v>
      </c>
      <c r="H22" s="427">
        <v>1229164</v>
      </c>
      <c r="I22" s="428"/>
      <c r="J22" s="428"/>
      <c r="K22" s="428"/>
      <c r="L22" s="427">
        <v>1229164</v>
      </c>
      <c r="M22" s="428"/>
    </row>
    <row r="23" spans="1:13" ht="15" customHeight="1">
      <c r="A23" s="315" t="str">
        <f t="shared" si="2"/>
        <v xml:space="preserve"> "Hold Own"</v>
      </c>
      <c r="B23" s="260">
        <f t="shared" si="0"/>
        <v>8532206.8599999994</v>
      </c>
      <c r="C23" s="260">
        <f t="shared" si="1"/>
        <v>12936248.470000001</v>
      </c>
      <c r="D23" s="312">
        <f>VLOOKUP(F23,Справочник!$A$2:$C$415,3,FALSE)</f>
        <v>0</v>
      </c>
      <c r="F23" s="424">
        <v>1600</v>
      </c>
      <c r="G23" s="421" t="s">
        <v>13</v>
      </c>
      <c r="H23" s="423">
        <v>8532206.8599999994</v>
      </c>
      <c r="I23" s="422"/>
      <c r="J23" s="423">
        <v>5166260.8099999996</v>
      </c>
      <c r="K23" s="423">
        <v>762219.2</v>
      </c>
      <c r="L23" s="423">
        <v>12936248.470000001</v>
      </c>
      <c r="M23" s="422"/>
    </row>
    <row r="24" spans="1:13" ht="15" customHeight="1">
      <c r="A24" s="315" t="str">
        <f t="shared" si="2"/>
        <v xml:space="preserve"> "Hold Own"</v>
      </c>
      <c r="B24" s="260">
        <f t="shared" si="0"/>
        <v>8464661.0999999996</v>
      </c>
      <c r="C24" s="260">
        <f t="shared" si="1"/>
        <v>12919131.970000001</v>
      </c>
      <c r="D24" s="312" t="str">
        <f>VLOOKUP(F24,Справочник!$A$2:$C$415,3,FALSE)</f>
        <v>Прочие краткосрочные активы</v>
      </c>
      <c r="F24" s="425">
        <v>1610</v>
      </c>
      <c r="G24" s="426" t="s">
        <v>128</v>
      </c>
      <c r="H24" s="427">
        <v>8464661.0999999996</v>
      </c>
      <c r="I24" s="428"/>
      <c r="J24" s="427">
        <v>5166260.8099999996</v>
      </c>
      <c r="K24" s="427">
        <v>711789.94</v>
      </c>
      <c r="L24" s="427">
        <v>12919131.970000001</v>
      </c>
      <c r="M24" s="428"/>
    </row>
    <row r="25" spans="1:13" ht="15" customHeight="1">
      <c r="A25" s="315" t="str">
        <f t="shared" si="2"/>
        <v xml:space="preserve"> "Hold Own"</v>
      </c>
      <c r="B25" s="260">
        <f t="shared" si="0"/>
        <v>67545.759999999995</v>
      </c>
      <c r="C25" s="260">
        <f t="shared" si="1"/>
        <v>17116.5</v>
      </c>
      <c r="D25" s="312" t="str">
        <f>VLOOKUP(F25,Справочник!$A$2:$C$415,3,FALSE)</f>
        <v>Прочие краткосрочные активы</v>
      </c>
      <c r="F25" s="425">
        <v>1620</v>
      </c>
      <c r="G25" s="426" t="s">
        <v>129</v>
      </c>
      <c r="H25" s="427">
        <v>67545.759999999995</v>
      </c>
      <c r="I25" s="428"/>
      <c r="J25" s="428"/>
      <c r="K25" s="427">
        <v>50429.26</v>
      </c>
      <c r="L25" s="427">
        <v>17116.5</v>
      </c>
      <c r="M25" s="428"/>
    </row>
    <row r="26" spans="1:13" ht="16.5" customHeight="1">
      <c r="A26" s="315" t="str">
        <f t="shared" si="2"/>
        <v xml:space="preserve"> "Hold Own"</v>
      </c>
      <c r="B26" s="260">
        <f t="shared" si="0"/>
        <v>130000</v>
      </c>
      <c r="C26" s="260">
        <f t="shared" si="1"/>
        <v>130000</v>
      </c>
      <c r="D26" s="312">
        <f>VLOOKUP(F26,Справочник!$A$2:$C$415,3,FALSE)</f>
        <v>0</v>
      </c>
      <c r="F26" s="424">
        <v>2000</v>
      </c>
      <c r="G26" s="421" t="s">
        <v>17</v>
      </c>
      <c r="H26" s="423">
        <v>130000</v>
      </c>
      <c r="I26" s="422"/>
      <c r="J26" s="422"/>
      <c r="K26" s="422"/>
      <c r="L26" s="423">
        <v>130000</v>
      </c>
      <c r="M26" s="422"/>
    </row>
    <row r="27" spans="1:13" ht="16.5" customHeight="1">
      <c r="A27" s="315" t="str">
        <f t="shared" si="2"/>
        <v xml:space="preserve"> "Hold Own"</v>
      </c>
      <c r="B27" s="260">
        <f t="shared" si="0"/>
        <v>130000</v>
      </c>
      <c r="C27" s="260">
        <f t="shared" si="1"/>
        <v>130000</v>
      </c>
      <c r="D27" s="312" t="str">
        <f>VLOOKUP(F27,Справочник!$A$2:$C$415,3,FALSE)</f>
        <v>Финансовые активы, имеющиеся в наличии для продажи</v>
      </c>
      <c r="F27" s="425">
        <v>2041</v>
      </c>
      <c r="G27" s="426" t="s">
        <v>134</v>
      </c>
      <c r="H27" s="427">
        <v>130000</v>
      </c>
      <c r="I27" s="428"/>
      <c r="J27" s="428"/>
      <c r="K27" s="428"/>
      <c r="L27" s="427">
        <v>130000</v>
      </c>
      <c r="M27" s="428"/>
    </row>
    <row r="28" spans="1:13" ht="15" customHeight="1">
      <c r="A28" s="315" t="str">
        <f t="shared" si="2"/>
        <v xml:space="preserve"> "Hold Own"</v>
      </c>
      <c r="B28" s="260">
        <f t="shared" si="0"/>
        <v>32950394.829999998</v>
      </c>
      <c r="C28" s="260">
        <f t="shared" si="1"/>
        <v>19360973.969999999</v>
      </c>
      <c r="D28" s="312">
        <f>VLOOKUP(F28,Справочник!$A$2:$C$415,3,FALSE)</f>
        <v>0</v>
      </c>
      <c r="F28" s="424">
        <v>2400</v>
      </c>
      <c r="G28" s="421" t="s">
        <v>21</v>
      </c>
      <c r="H28" s="423">
        <v>32950394.829999998</v>
      </c>
      <c r="I28" s="422"/>
      <c r="J28" s="423">
        <v>14200</v>
      </c>
      <c r="K28" s="423">
        <v>13603620.859999999</v>
      </c>
      <c r="L28" s="423">
        <v>19360973.969999999</v>
      </c>
      <c r="M28" s="422"/>
    </row>
    <row r="29" spans="1:13" ht="15" customHeight="1">
      <c r="A29" s="315" t="str">
        <f t="shared" si="2"/>
        <v xml:space="preserve"> "Hold Own"</v>
      </c>
      <c r="B29" s="260">
        <f t="shared" si="0"/>
        <v>33097576.079999998</v>
      </c>
      <c r="C29" s="260">
        <f t="shared" si="1"/>
        <v>19937511.469999999</v>
      </c>
      <c r="D29" s="392" t="str">
        <f>VLOOKUP(F29,Справочник!$A$2:$C$415,3,FALSE)</f>
        <v>Основные средства</v>
      </c>
      <c r="F29" s="425">
        <v>2410</v>
      </c>
      <c r="G29" s="426" t="s">
        <v>21</v>
      </c>
      <c r="H29" s="427">
        <v>33097576.079999998</v>
      </c>
      <c r="I29" s="428"/>
      <c r="J29" s="427">
        <v>14200</v>
      </c>
      <c r="K29" s="427">
        <v>13174264.609999999</v>
      </c>
      <c r="L29" s="427">
        <v>19937511.469999999</v>
      </c>
      <c r="M29" s="428"/>
    </row>
    <row r="30" spans="1:13" ht="15" customHeight="1">
      <c r="A30" s="315" t="str">
        <f>A29</f>
        <v xml:space="preserve"> "Hold Own"</v>
      </c>
      <c r="B30" s="260">
        <f t="shared" si="0"/>
        <v>-147181.25</v>
      </c>
      <c r="C30" s="260">
        <f t="shared" si="1"/>
        <v>-576537.5</v>
      </c>
      <c r="D30" s="392" t="str">
        <f>VLOOKUP(F30,Справочник!$A$2:$C$415,3,FALSE)</f>
        <v>Основные средства</v>
      </c>
      <c r="F30" s="425">
        <v>2420</v>
      </c>
      <c r="G30" s="426" t="s">
        <v>152</v>
      </c>
      <c r="H30" s="428"/>
      <c r="I30" s="427">
        <v>147181.25</v>
      </c>
      <c r="J30" s="428"/>
      <c r="K30" s="427">
        <v>429356.25</v>
      </c>
      <c r="L30" s="428"/>
      <c r="M30" s="427">
        <v>576537.5</v>
      </c>
    </row>
    <row r="31" spans="1:13" ht="15" customHeight="1">
      <c r="A31" s="315" t="str">
        <f t="shared" si="2"/>
        <v xml:space="preserve"> "Hold Own"</v>
      </c>
      <c r="B31" s="260">
        <f t="shared" si="0"/>
        <v>37500</v>
      </c>
      <c r="C31" s="260">
        <f t="shared" si="1"/>
        <v>24000</v>
      </c>
      <c r="D31" s="392">
        <f>VLOOKUP(F31,Справочник!$A$2:$C$415,3,FALSE)</f>
        <v>0</v>
      </c>
      <c r="F31" s="424">
        <v>2700</v>
      </c>
      <c r="G31" s="421" t="s">
        <v>75</v>
      </c>
      <c r="H31" s="423">
        <v>37500</v>
      </c>
      <c r="I31" s="422"/>
      <c r="J31" s="422"/>
      <c r="K31" s="423">
        <v>13500</v>
      </c>
      <c r="L31" s="423">
        <v>24000</v>
      </c>
      <c r="M31" s="422"/>
    </row>
    <row r="32" spans="1:13" ht="15" customHeight="1">
      <c r="A32" s="315" t="str">
        <f t="shared" si="2"/>
        <v xml:space="preserve"> "Hold Own"</v>
      </c>
      <c r="B32" s="260">
        <f t="shared" si="0"/>
        <v>45000</v>
      </c>
      <c r="C32" s="260">
        <f t="shared" si="1"/>
        <v>45000</v>
      </c>
      <c r="D32" s="436" t="str">
        <f>VLOOKUP(F32,Справочник!$A$2:$C$415,3,FALSE)</f>
        <v>Нематериальные активы</v>
      </c>
      <c r="F32" s="425">
        <v>2730</v>
      </c>
      <c r="G32" s="426" t="s">
        <v>161</v>
      </c>
      <c r="H32" s="427">
        <v>45000</v>
      </c>
      <c r="I32" s="428"/>
      <c r="J32" s="428"/>
      <c r="K32" s="428"/>
      <c r="L32" s="427">
        <v>45000</v>
      </c>
      <c r="M32" s="428"/>
    </row>
    <row r="33" spans="1:13" ht="15" customHeight="1">
      <c r="A33" s="315" t="str">
        <f t="shared" si="2"/>
        <v xml:space="preserve"> "Hold Own"</v>
      </c>
      <c r="B33" s="260">
        <f t="shared" si="0"/>
        <v>-7500</v>
      </c>
      <c r="C33" s="260">
        <f t="shared" si="1"/>
        <v>-21000</v>
      </c>
      <c r="D33" s="436" t="str">
        <f>VLOOKUP(F33,Справочник!$A$2:$C$415,3,FALSE)</f>
        <v>Нематериальные активы</v>
      </c>
      <c r="F33" s="425">
        <v>2740</v>
      </c>
      <c r="G33" s="426" t="s">
        <v>162</v>
      </c>
      <c r="H33" s="428"/>
      <c r="I33" s="427">
        <v>7500</v>
      </c>
      <c r="J33" s="428"/>
      <c r="K33" s="427">
        <v>13500</v>
      </c>
      <c r="L33" s="428"/>
      <c r="M33" s="427">
        <v>21000</v>
      </c>
    </row>
    <row r="34" spans="1:13" ht="15" customHeight="1">
      <c r="A34" s="315" t="str">
        <f t="shared" si="2"/>
        <v xml:space="preserve"> "Hold Own"</v>
      </c>
      <c r="B34" s="260">
        <f t="shared" si="0"/>
        <v>-3599041</v>
      </c>
      <c r="C34" s="260">
        <f t="shared" si="1"/>
        <v>-3483450</v>
      </c>
      <c r="D34" s="436">
        <f>VLOOKUP(F34,Справочник!$A$2:$C$415,3,FALSE)</f>
        <v>0</v>
      </c>
      <c r="F34" s="424">
        <v>3000</v>
      </c>
      <c r="G34" s="421" t="s">
        <v>171</v>
      </c>
      <c r="H34" s="422"/>
      <c r="I34" s="423">
        <v>3599041</v>
      </c>
      <c r="J34" s="423">
        <v>115591</v>
      </c>
      <c r="K34" s="422"/>
      <c r="L34" s="422"/>
      <c r="M34" s="423">
        <v>3483450</v>
      </c>
    </row>
    <row r="35" spans="1:13" ht="15" customHeight="1">
      <c r="A35" s="315" t="str">
        <f t="shared" si="2"/>
        <v xml:space="preserve"> "Hold Own"</v>
      </c>
      <c r="B35" s="260">
        <f t="shared" si="0"/>
        <v>-3599041</v>
      </c>
      <c r="C35" s="260">
        <f t="shared" si="1"/>
        <v>-3483450</v>
      </c>
      <c r="D35" s="436" t="str">
        <f>VLOOKUP(F35,Справочник!$A$2:$C$415,3,FALSE)</f>
        <v>Займы</v>
      </c>
      <c r="F35" s="425">
        <v>3050</v>
      </c>
      <c r="G35" s="426" t="s">
        <v>176</v>
      </c>
      <c r="H35" s="428"/>
      <c r="I35" s="427">
        <v>3599041</v>
      </c>
      <c r="J35" s="427">
        <v>115591</v>
      </c>
      <c r="K35" s="428"/>
      <c r="L35" s="428"/>
      <c r="M35" s="427">
        <v>3483450</v>
      </c>
    </row>
    <row r="36" spans="1:13" ht="15" customHeight="1">
      <c r="A36" s="315" t="str">
        <f t="shared" si="2"/>
        <v xml:space="preserve"> "Hold Own"</v>
      </c>
      <c r="B36" s="260">
        <f t="shared" si="0"/>
        <v>-1273476.6399999999</v>
      </c>
      <c r="C36" s="260">
        <f t="shared" si="1"/>
        <v>-18496.39</v>
      </c>
      <c r="D36" s="436">
        <f>VLOOKUP(F36,Справочник!$A$2:$C$415,3,FALSE)</f>
        <v>0</v>
      </c>
      <c r="F36" s="424">
        <v>3100</v>
      </c>
      <c r="G36" s="421" t="s">
        <v>33</v>
      </c>
      <c r="H36" s="422"/>
      <c r="I36" s="423">
        <v>1273476.6399999999</v>
      </c>
      <c r="J36" s="423">
        <v>1336791</v>
      </c>
      <c r="K36" s="423">
        <v>81810.75</v>
      </c>
      <c r="L36" s="422"/>
      <c r="M36" s="423">
        <v>18496.39</v>
      </c>
    </row>
    <row r="37" spans="1:13" ht="15" customHeight="1">
      <c r="A37" s="315" t="str">
        <f t="shared" si="2"/>
        <v xml:space="preserve"> "Hold Own"</v>
      </c>
      <c r="B37" s="260">
        <f t="shared" si="0"/>
        <v>-204852.42</v>
      </c>
      <c r="C37" s="260">
        <f t="shared" si="1"/>
        <v>-1797.49</v>
      </c>
      <c r="D37" s="312" t="str">
        <f>VLOOKUP(F37,Справочник!$A$2:$C$415,3,FALSE)</f>
        <v>Прочие краткосрочные обязательства</v>
      </c>
      <c r="F37" s="425">
        <v>3120</v>
      </c>
      <c r="G37" s="426" t="s">
        <v>178</v>
      </c>
      <c r="H37" s="428"/>
      <c r="I37" s="427">
        <v>204852.42</v>
      </c>
      <c r="J37" s="427">
        <v>225042</v>
      </c>
      <c r="K37" s="427">
        <v>21987.07</v>
      </c>
      <c r="L37" s="428"/>
      <c r="M37" s="427">
        <v>1797.49</v>
      </c>
    </row>
    <row r="38" spans="1:13" ht="15" customHeight="1">
      <c r="A38" s="315" t="str">
        <f t="shared" si="2"/>
        <v xml:space="preserve"> "Hold Own"</v>
      </c>
      <c r="B38" s="260">
        <f t="shared" si="0"/>
        <v>-10847.22</v>
      </c>
      <c r="C38" s="260">
        <f t="shared" si="1"/>
        <v>-1119.9000000000001</v>
      </c>
      <c r="D38" s="312" t="str">
        <f>VLOOKUP(F38,Справочник!$A$2:$C$415,3,FALSE)</f>
        <v>Прочие краткосрочные обязательства</v>
      </c>
      <c r="F38" s="425">
        <v>3150</v>
      </c>
      <c r="G38" s="426" t="s">
        <v>180</v>
      </c>
      <c r="H38" s="428"/>
      <c r="I38" s="427">
        <v>10847.22</v>
      </c>
      <c r="J38" s="427">
        <v>22814</v>
      </c>
      <c r="K38" s="427">
        <v>13086.68</v>
      </c>
      <c r="L38" s="428"/>
      <c r="M38" s="427">
        <v>1119.9000000000001</v>
      </c>
    </row>
    <row r="39" spans="1:13" ht="15" customHeight="1">
      <c r="A39" s="315" t="str">
        <f t="shared" si="2"/>
        <v xml:space="preserve"> "Hold Own"</v>
      </c>
      <c r="B39" s="260">
        <f t="shared" si="0"/>
        <v>-2730</v>
      </c>
      <c r="C39" s="260">
        <f t="shared" si="1"/>
        <v>0</v>
      </c>
      <c r="D39" s="312" t="str">
        <f>VLOOKUP(F39,Справочник!$A$2:$C$415,3,FALSE)</f>
        <v>Прочие краткосрочные обязательства</v>
      </c>
      <c r="F39" s="425">
        <v>3170</v>
      </c>
      <c r="G39" s="426" t="s">
        <v>182</v>
      </c>
      <c r="H39" s="428"/>
      <c r="I39" s="427">
        <v>2730</v>
      </c>
      <c r="J39" s="427">
        <v>2730</v>
      </c>
      <c r="K39" s="428"/>
      <c r="L39" s="428"/>
      <c r="M39" s="428"/>
    </row>
    <row r="40" spans="1:13" ht="15" customHeight="1">
      <c r="A40" s="315" t="str">
        <f t="shared" si="2"/>
        <v xml:space="preserve"> "Hold Own"</v>
      </c>
      <c r="B40" s="260">
        <f t="shared" si="0"/>
        <v>-1055047</v>
      </c>
      <c r="C40" s="260">
        <f t="shared" si="1"/>
        <v>-15579</v>
      </c>
      <c r="D40" s="312" t="str">
        <f>VLOOKUP(F40,Справочник!$A$2:$C$415,3,FALSE)</f>
        <v>Прочие краткосрочные обязательства</v>
      </c>
      <c r="F40" s="425">
        <v>3190</v>
      </c>
      <c r="G40" s="426" t="s">
        <v>184</v>
      </c>
      <c r="H40" s="428"/>
      <c r="I40" s="427">
        <v>1055047</v>
      </c>
      <c r="J40" s="427">
        <v>1086205</v>
      </c>
      <c r="K40" s="427">
        <v>46737</v>
      </c>
      <c r="L40" s="428"/>
      <c r="M40" s="427">
        <v>15579</v>
      </c>
    </row>
    <row r="41" spans="1:13" ht="15" customHeight="1">
      <c r="A41" s="315" t="str">
        <f t="shared" si="2"/>
        <v xml:space="preserve"> "Hold Own"</v>
      </c>
      <c r="B41" s="260">
        <f t="shared" si="0"/>
        <v>-29127.5</v>
      </c>
      <c r="C41" s="260">
        <f t="shared" si="1"/>
        <v>-2933</v>
      </c>
      <c r="D41" s="312">
        <f>VLOOKUP(F41,Справочник!$A$2:$C$415,3,FALSE)</f>
        <v>0</v>
      </c>
      <c r="F41" s="424">
        <v>3200</v>
      </c>
      <c r="G41" s="421" t="s">
        <v>185</v>
      </c>
      <c r="H41" s="422"/>
      <c r="I41" s="423">
        <v>29127.5</v>
      </c>
      <c r="J41" s="423">
        <v>61188</v>
      </c>
      <c r="K41" s="423">
        <v>34993.5</v>
      </c>
      <c r="L41" s="422"/>
      <c r="M41" s="423">
        <v>2933</v>
      </c>
    </row>
    <row r="42" spans="1:13" ht="15" customHeight="1">
      <c r="A42" s="315" t="str">
        <f t="shared" si="2"/>
        <v xml:space="preserve"> "Hold Own"</v>
      </c>
      <c r="B42" s="260">
        <f t="shared" si="0"/>
        <v>-9039.57</v>
      </c>
      <c r="C42" s="260">
        <f t="shared" si="1"/>
        <v>-933</v>
      </c>
      <c r="D42" s="312" t="str">
        <f>VLOOKUP(F42,Справочник!$A$2:$C$415,3,FALSE)</f>
        <v>Прочие краткосрочные обязательства</v>
      </c>
      <c r="F42" s="425">
        <v>3210</v>
      </c>
      <c r="G42" s="426" t="s">
        <v>186</v>
      </c>
      <c r="H42" s="428"/>
      <c r="I42" s="427">
        <v>9039.57</v>
      </c>
      <c r="J42" s="427">
        <v>19012.14</v>
      </c>
      <c r="K42" s="427">
        <v>10905.57</v>
      </c>
      <c r="L42" s="428"/>
      <c r="M42" s="478">
        <v>933</v>
      </c>
    </row>
    <row r="43" spans="1:13" ht="15" customHeight="1">
      <c r="A43" s="315" t="str">
        <f t="shared" si="2"/>
        <v xml:space="preserve"> "Hold Own"</v>
      </c>
      <c r="B43" s="260">
        <f t="shared" si="0"/>
        <v>-20087.93</v>
      </c>
      <c r="C43" s="260">
        <f t="shared" si="1"/>
        <v>-2000</v>
      </c>
      <c r="D43" s="312" t="str">
        <f>VLOOKUP(F43,Справочник!$A$2:$C$415,3,FALSE)</f>
        <v>Прочие краткосрочные обязательства</v>
      </c>
      <c r="F43" s="425">
        <v>3220</v>
      </c>
      <c r="G43" s="426" t="s">
        <v>187</v>
      </c>
      <c r="H43" s="428"/>
      <c r="I43" s="427">
        <v>20087.93</v>
      </c>
      <c r="J43" s="427">
        <v>42175.86</v>
      </c>
      <c r="K43" s="427">
        <v>24087.93</v>
      </c>
      <c r="L43" s="428"/>
      <c r="M43" s="427">
        <v>2000</v>
      </c>
    </row>
    <row r="44" spans="1:13" ht="15" customHeight="1">
      <c r="A44" s="315" t="str">
        <f t="shared" si="2"/>
        <v xml:space="preserve"> "Hold Own"</v>
      </c>
      <c r="B44" s="260">
        <f t="shared" si="0"/>
        <v>-38380520.979999997</v>
      </c>
      <c r="C44" s="260">
        <f t="shared" si="1"/>
        <v>-45807505.729999997</v>
      </c>
      <c r="D44" s="436">
        <f>VLOOKUP(F44,Справочник!$A$2:$C$415,3,FALSE)</f>
        <v>0</v>
      </c>
      <c r="F44" s="424">
        <v>3300</v>
      </c>
      <c r="G44" s="421" t="s">
        <v>76</v>
      </c>
      <c r="H44" s="422"/>
      <c r="I44" s="423">
        <v>38380520.979999997</v>
      </c>
      <c r="J44" s="423">
        <v>8287264.9500000002</v>
      </c>
      <c r="K44" s="423">
        <v>15714249.699999999</v>
      </c>
      <c r="L44" s="422"/>
      <c r="M44" s="423">
        <v>45807505.729999997</v>
      </c>
    </row>
    <row r="45" spans="1:13" ht="15" customHeight="1">
      <c r="A45" s="315" t="str">
        <f t="shared" si="2"/>
        <v xml:space="preserve"> "Hold Own"</v>
      </c>
      <c r="B45" s="260">
        <f t="shared" si="0"/>
        <v>-3658289.36</v>
      </c>
      <c r="C45" s="260">
        <f t="shared" si="1"/>
        <v>-2739549.17</v>
      </c>
      <c r="D45" s="436" t="str">
        <f>VLOOKUP(F45,Справочник!$A$2:$C$415,3,FALSE)</f>
        <v>Краткосрочная торговая и прочая кредиторская задолженность</v>
      </c>
      <c r="F45" s="425">
        <v>3310</v>
      </c>
      <c r="G45" s="426" t="s">
        <v>190</v>
      </c>
      <c r="H45" s="428"/>
      <c r="I45" s="427">
        <v>3658289.36</v>
      </c>
      <c r="J45" s="427">
        <v>2468828.34</v>
      </c>
      <c r="K45" s="427">
        <v>1550088.15</v>
      </c>
      <c r="L45" s="428"/>
      <c r="M45" s="427">
        <v>2739549.17</v>
      </c>
    </row>
    <row r="46" spans="1:13" ht="15" customHeight="1">
      <c r="A46" s="315" t="str">
        <f t="shared" si="2"/>
        <v xml:space="preserve"> "Hold Own"</v>
      </c>
      <c r="B46" s="260">
        <f t="shared" si="0"/>
        <v>-136200.82</v>
      </c>
      <c r="C46" s="260">
        <f t="shared" si="1"/>
        <v>-16200</v>
      </c>
      <c r="D46" s="436" t="str">
        <f>VLOOKUP(F46,Справочник!$A$2:$C$415,3,FALSE)</f>
        <v>Вознаграждения работникам</v>
      </c>
      <c r="F46" s="425">
        <v>3350</v>
      </c>
      <c r="G46" s="426" t="s">
        <v>194</v>
      </c>
      <c r="H46" s="428"/>
      <c r="I46" s="427">
        <v>136200.82</v>
      </c>
      <c r="J46" s="427">
        <v>398837.48</v>
      </c>
      <c r="K46" s="427">
        <v>278836.65999999997</v>
      </c>
      <c r="L46" s="428"/>
      <c r="M46" s="427">
        <v>16200</v>
      </c>
    </row>
    <row r="47" spans="1:13" ht="15" customHeight="1">
      <c r="A47" s="315" t="str">
        <f t="shared" si="2"/>
        <v xml:space="preserve"> "Hold Own"</v>
      </c>
      <c r="B47" s="260">
        <f t="shared" si="0"/>
        <v>0</v>
      </c>
      <c r="C47" s="260">
        <f t="shared" si="1"/>
        <v>690219.24</v>
      </c>
      <c r="D47" s="436" t="str">
        <f>VLOOKUP(F47,Справочник!$A$2:$C$415,3,FALSE)</f>
        <v>Краткосрочная торговая и прочая кредиторская задолженность</v>
      </c>
      <c r="F47" s="425">
        <v>3360</v>
      </c>
      <c r="G47" s="426" t="s">
        <v>195</v>
      </c>
      <c r="H47" s="428"/>
      <c r="I47" s="428"/>
      <c r="J47" s="427">
        <v>5419599.1299999999</v>
      </c>
      <c r="K47" s="427">
        <v>4729379.8899999997</v>
      </c>
      <c r="L47" s="428"/>
      <c r="M47" s="479">
        <v>-690219.24</v>
      </c>
    </row>
    <row r="48" spans="1:13" ht="15" customHeight="1">
      <c r="A48" s="315" t="str">
        <f t="shared" si="2"/>
        <v xml:space="preserve"> "Hold Own"</v>
      </c>
      <c r="B48" s="260">
        <f t="shared" si="0"/>
        <v>-34586030.799999997</v>
      </c>
      <c r="C48" s="260">
        <f t="shared" si="1"/>
        <v>-43741975.799999997</v>
      </c>
      <c r="D48" s="436">
        <f>VLOOKUP(F48,Справочник!$A$2:$C$415,3,FALSE)</f>
        <v>0</v>
      </c>
      <c r="F48" s="473">
        <v>3390</v>
      </c>
      <c r="G48" s="474" t="s">
        <v>198</v>
      </c>
      <c r="H48" s="475"/>
      <c r="I48" s="476">
        <v>34586030.799999997</v>
      </c>
      <c r="J48" s="475"/>
      <c r="K48" s="476">
        <v>9155945</v>
      </c>
      <c r="L48" s="475"/>
      <c r="M48" s="476">
        <v>43741975.799999997</v>
      </c>
    </row>
    <row r="49" spans="1:13" ht="15" customHeight="1">
      <c r="A49" s="315" t="str">
        <f t="shared" si="2"/>
        <v xml:space="preserve"> "Hold Own"</v>
      </c>
      <c r="B49" s="260">
        <f t="shared" si="0"/>
        <v>-54830.8</v>
      </c>
      <c r="C49" s="260">
        <f t="shared" si="1"/>
        <v>-54830.8</v>
      </c>
      <c r="D49" s="436" t="str">
        <f>VLOOKUP(F49,Справочник!$A$2:$C$415,3,FALSE)</f>
        <v>Краткосрочная торговая и прочая кредиторская задолженность</v>
      </c>
      <c r="F49" s="477">
        <v>3396</v>
      </c>
      <c r="G49" s="426" t="s">
        <v>204</v>
      </c>
      <c r="H49" s="428"/>
      <c r="I49" s="427">
        <v>54830.8</v>
      </c>
      <c r="J49" s="428"/>
      <c r="K49" s="428"/>
      <c r="L49" s="428"/>
      <c r="M49" s="427">
        <v>54830.8</v>
      </c>
    </row>
    <row r="50" spans="1:13" ht="15" customHeight="1">
      <c r="A50" s="315" t="str">
        <f t="shared" si="2"/>
        <v xml:space="preserve"> "Hold Own"</v>
      </c>
      <c r="B50" s="260">
        <f t="shared" si="0"/>
        <v>-34531200</v>
      </c>
      <c r="C50" s="260">
        <f t="shared" si="1"/>
        <v>-43687145</v>
      </c>
      <c r="D50" s="436" t="str">
        <f>VLOOKUP(F50,Справочник!$A$2:$C$415,3,FALSE)</f>
        <v>Краткосрочная торговая и прочая кредиторская задолженность</v>
      </c>
      <c r="F50" s="477">
        <v>3397</v>
      </c>
      <c r="G50" s="426" t="s">
        <v>198</v>
      </c>
      <c r="H50" s="428"/>
      <c r="I50" s="427">
        <v>34531200</v>
      </c>
      <c r="J50" s="428"/>
      <c r="K50" s="427">
        <v>9155945</v>
      </c>
      <c r="L50" s="428"/>
      <c r="M50" s="427">
        <v>43687145</v>
      </c>
    </row>
    <row r="51" spans="1:13" ht="15" customHeight="1">
      <c r="A51" s="315" t="str">
        <f t="shared" si="2"/>
        <v xml:space="preserve"> "Hold Own"</v>
      </c>
      <c r="B51" s="260">
        <f t="shared" si="0"/>
        <v>0</v>
      </c>
      <c r="C51" s="260">
        <f t="shared" si="1"/>
        <v>0</v>
      </c>
      <c r="D51" s="312">
        <f>VLOOKUP(F51,Справочник!$A$2:$C$415,3,FALSE)</f>
        <v>0</v>
      </c>
      <c r="F51" s="424">
        <v>3500</v>
      </c>
      <c r="G51" s="421" t="s">
        <v>209</v>
      </c>
      <c r="H51" s="422"/>
      <c r="I51" s="422"/>
      <c r="J51" s="423">
        <v>5000000</v>
      </c>
      <c r="K51" s="423">
        <v>5000000</v>
      </c>
      <c r="L51" s="422"/>
      <c r="M51" s="422"/>
    </row>
    <row r="52" spans="1:13" ht="15" customHeight="1">
      <c r="A52" s="315" t="str">
        <f t="shared" si="2"/>
        <v xml:space="preserve"> "Hold Own"</v>
      </c>
      <c r="B52" s="260">
        <f t="shared" si="0"/>
        <v>0</v>
      </c>
      <c r="C52" s="260">
        <f t="shared" si="1"/>
        <v>0</v>
      </c>
      <c r="D52" s="312" t="str">
        <f>VLOOKUP(F52,Справочник!$A$2:$C$415,3,FALSE)</f>
        <v>Прочие краткосрочные обязательства</v>
      </c>
      <c r="F52" s="425">
        <v>3510</v>
      </c>
      <c r="G52" s="426" t="s">
        <v>210</v>
      </c>
      <c r="H52" s="428"/>
      <c r="I52" s="428"/>
      <c r="J52" s="427">
        <v>5000000</v>
      </c>
      <c r="K52" s="427">
        <v>5000000</v>
      </c>
      <c r="L52" s="428"/>
      <c r="M52" s="428"/>
    </row>
    <row r="53" spans="1:13" ht="15" customHeight="1">
      <c r="A53" s="315" t="str">
        <f t="shared" si="2"/>
        <v xml:space="preserve"> "Hold Own"</v>
      </c>
      <c r="B53" s="260">
        <f t="shared" si="0"/>
        <v>-62055000</v>
      </c>
      <c r="C53" s="260">
        <f t="shared" si="1"/>
        <v>-62055000</v>
      </c>
      <c r="D53" s="312">
        <f>VLOOKUP(F53,Справочник!$A$2:$C$415,3,FALSE)</f>
        <v>0</v>
      </c>
      <c r="F53" s="424">
        <v>5000</v>
      </c>
      <c r="G53" s="421" t="s">
        <v>45</v>
      </c>
      <c r="H53" s="422"/>
      <c r="I53" s="423">
        <v>62055000</v>
      </c>
      <c r="J53" s="422"/>
      <c r="K53" s="422"/>
      <c r="L53" s="422"/>
      <c r="M53" s="423">
        <v>62055000</v>
      </c>
    </row>
    <row r="54" spans="1:13" ht="15" customHeight="1">
      <c r="A54" s="315" t="str">
        <f t="shared" si="2"/>
        <v xml:space="preserve"> "Hold Own"</v>
      </c>
      <c r="B54" s="260">
        <f t="shared" si="0"/>
        <v>-62055000</v>
      </c>
      <c r="C54" s="260">
        <f t="shared" si="1"/>
        <v>-62055000</v>
      </c>
      <c r="D54" s="312" t="str">
        <f>VLOOKUP(F54,Справочник!$A$2:$C$415,3,FALSE)</f>
        <v>Уставный (акционерный) капитал</v>
      </c>
      <c r="F54" s="425">
        <v>5030</v>
      </c>
      <c r="G54" s="426" t="s">
        <v>242</v>
      </c>
      <c r="H54" s="428"/>
      <c r="I54" s="427">
        <v>62055000</v>
      </c>
      <c r="J54" s="428"/>
      <c r="K54" s="428"/>
      <c r="L54" s="428"/>
      <c r="M54" s="427">
        <v>62055000</v>
      </c>
    </row>
    <row r="55" spans="1:13" ht="15" customHeight="1">
      <c r="A55" s="315" t="str">
        <f t="shared" si="2"/>
        <v xml:space="preserve"> "Hold Own"</v>
      </c>
      <c r="B55" s="260">
        <f t="shared" si="0"/>
        <v>54947797.799999997</v>
      </c>
      <c r="C55" s="260">
        <f t="shared" si="1"/>
        <v>67796894.299999997</v>
      </c>
      <c r="D55" s="312">
        <f>VLOOKUP(F55,Справочник!$A$2:$C$415,3,FALSE)</f>
        <v>0</v>
      </c>
      <c r="F55" s="424">
        <v>5500</v>
      </c>
      <c r="G55" s="421" t="s">
        <v>253</v>
      </c>
      <c r="H55" s="422"/>
      <c r="I55" s="480">
        <v>-54947797.799999997</v>
      </c>
      <c r="J55" s="422"/>
      <c r="K55" s="480">
        <v>-12849096.5</v>
      </c>
      <c r="L55" s="422"/>
      <c r="M55" s="480">
        <v>-67796894.299999997</v>
      </c>
    </row>
    <row r="56" spans="1:13" ht="15" customHeight="1">
      <c r="A56" s="315" t="str">
        <f t="shared" si="2"/>
        <v xml:space="preserve"> "Hold Own"</v>
      </c>
      <c r="B56" s="260">
        <f t="shared" si="0"/>
        <v>51045209.770000003</v>
      </c>
      <c r="C56" s="260">
        <f t="shared" si="1"/>
        <v>63894306.270000003</v>
      </c>
      <c r="D56" s="312" t="str">
        <f>VLOOKUP(F56,Справочник!$A$2:$C$415,3,FALSE)</f>
        <v>Нераспределенная прибыль (непокрытый убыток)</v>
      </c>
      <c r="F56" s="425">
        <v>5510</v>
      </c>
      <c r="G56" s="426" t="s">
        <v>254</v>
      </c>
      <c r="H56" s="428"/>
      <c r="I56" s="479">
        <v>-51045209.770000003</v>
      </c>
      <c r="J56" s="428"/>
      <c r="K56" s="479">
        <v>-12849096.5</v>
      </c>
      <c r="L56" s="428"/>
      <c r="M56" s="479">
        <v>-63894306.270000003</v>
      </c>
    </row>
    <row r="57" spans="1:13" ht="15" customHeight="1">
      <c r="A57" s="315" t="str">
        <f t="shared" si="2"/>
        <v xml:space="preserve"> "Hold Own"</v>
      </c>
      <c r="B57" s="260">
        <f t="shared" si="0"/>
        <v>3902588.03</v>
      </c>
      <c r="C57" s="260">
        <f t="shared" si="1"/>
        <v>3902588.03</v>
      </c>
      <c r="D57" s="312" t="str">
        <f>VLOOKUP(F57,Справочник!$A$2:$C$415,3,FALSE)</f>
        <v>Нераспределенная прибыль (непокрытый убыток)</v>
      </c>
      <c r="F57" s="425">
        <v>5520</v>
      </c>
      <c r="G57" s="426" t="s">
        <v>255</v>
      </c>
      <c r="H57" s="428"/>
      <c r="I57" s="479">
        <v>-3902588.03</v>
      </c>
      <c r="J57" s="428"/>
      <c r="K57" s="428"/>
      <c r="L57" s="428"/>
      <c r="M57" s="479">
        <v>-3902588.03</v>
      </c>
    </row>
    <row r="58" spans="1:13" ht="15" customHeight="1">
      <c r="A58" s="315" t="str">
        <f t="shared" si="2"/>
        <v xml:space="preserve"> "Hold Own"</v>
      </c>
      <c r="B58" s="260">
        <f t="shared" si="0"/>
        <v>0</v>
      </c>
      <c r="C58" s="260">
        <f t="shared" si="1"/>
        <v>0</v>
      </c>
      <c r="D58" s="312">
        <f>VLOOKUP(F58,Справочник!$A$2:$C$415,3,FALSE)</f>
        <v>0</v>
      </c>
      <c r="F58" s="424">
        <v>5600</v>
      </c>
      <c r="G58" s="421" t="s">
        <v>256</v>
      </c>
      <c r="H58" s="422"/>
      <c r="I58" s="422"/>
      <c r="J58" s="423">
        <v>5981187.6699999999</v>
      </c>
      <c r="K58" s="423">
        <v>5981187.6699999999</v>
      </c>
      <c r="L58" s="422"/>
      <c r="M58" s="422"/>
    </row>
    <row r="59" spans="1:13" ht="15" customHeight="1">
      <c r="A59" s="344" t="str">
        <f t="shared" si="2"/>
        <v xml:space="preserve"> "Hold Own"</v>
      </c>
      <c r="B59" s="260">
        <f t="shared" ref="B59:B122" si="3">IF(ISBLANK(H59)=FALSE,H59,-I59)</f>
        <v>0</v>
      </c>
      <c r="C59" s="260">
        <f t="shared" ref="C59:C122" si="4">IF(ISBLANK(L59)=FALSE,L59,-M59)</f>
        <v>0</v>
      </c>
      <c r="D59" s="344" t="str">
        <f>VLOOKUP(F59,Справочник!$A$2:$C$415,3,FALSE)</f>
        <v>Нераспределенная прибыль (непокрытый убыток)</v>
      </c>
      <c r="F59" s="425">
        <v>5610</v>
      </c>
      <c r="G59" s="426" t="s">
        <v>256</v>
      </c>
      <c r="H59" s="428"/>
      <c r="I59" s="428"/>
      <c r="J59" s="427">
        <v>5981187.6699999999</v>
      </c>
      <c r="K59" s="427">
        <v>5981187.6699999999</v>
      </c>
      <c r="L59" s="428"/>
      <c r="M59" s="428"/>
    </row>
    <row r="60" spans="1:13" ht="15" customHeight="1">
      <c r="A60" s="344" t="str">
        <f t="shared" si="2"/>
        <v xml:space="preserve"> "Hold Own"</v>
      </c>
      <c r="B60" s="260">
        <f t="shared" si="3"/>
        <v>0</v>
      </c>
      <c r="C60" s="260">
        <f t="shared" si="4"/>
        <v>0</v>
      </c>
      <c r="D60" s="344">
        <f>VLOOKUP(F60,Справочник!$A$2:$C$415,3,FALSE)</f>
        <v>0</v>
      </c>
      <c r="F60" s="424">
        <v>6000</v>
      </c>
      <c r="G60" s="421" t="s">
        <v>257</v>
      </c>
      <c r="H60" s="422"/>
      <c r="I60" s="422"/>
      <c r="J60" s="423">
        <v>300000</v>
      </c>
      <c r="K60" s="423">
        <v>300000</v>
      </c>
      <c r="L60" s="422"/>
      <c r="M60" s="422"/>
    </row>
    <row r="61" spans="1:13" ht="15" customHeight="1">
      <c r="A61" s="344" t="str">
        <f t="shared" si="2"/>
        <v xml:space="preserve"> "Hold Own"</v>
      </c>
      <c r="B61" s="260">
        <f t="shared" si="3"/>
        <v>0</v>
      </c>
      <c r="C61" s="260">
        <f t="shared" si="4"/>
        <v>0</v>
      </c>
      <c r="D61" s="344" t="str">
        <f>VLOOKUP(F61,Справочник!$A$2:$C$415,3,FALSE)</f>
        <v>Выручка</v>
      </c>
      <c r="F61" s="425">
        <v>6010</v>
      </c>
      <c r="G61" s="426" t="s">
        <v>257</v>
      </c>
      <c r="H61" s="428"/>
      <c r="I61" s="428"/>
      <c r="J61" s="427">
        <v>300000</v>
      </c>
      <c r="K61" s="427">
        <v>300000</v>
      </c>
      <c r="L61" s="428"/>
      <c r="M61" s="428"/>
    </row>
    <row r="62" spans="1:13" ht="15" customHeight="1">
      <c r="A62" s="344" t="str">
        <f t="shared" si="2"/>
        <v xml:space="preserve"> "Hold Own"</v>
      </c>
      <c r="B62" s="260">
        <f t="shared" si="3"/>
        <v>0</v>
      </c>
      <c r="C62" s="260">
        <f t="shared" si="4"/>
        <v>0</v>
      </c>
      <c r="D62" s="344">
        <f>VLOOKUP(F62,Справочник!$A$2:$C$415,3,FALSE)</f>
        <v>0</v>
      </c>
      <c r="F62" s="424">
        <v>6200</v>
      </c>
      <c r="G62" s="421" t="s">
        <v>266</v>
      </c>
      <c r="H62" s="422"/>
      <c r="I62" s="422"/>
      <c r="J62" s="423">
        <v>5681187.6699999999</v>
      </c>
      <c r="K62" s="423">
        <v>5681187.6699999999</v>
      </c>
      <c r="L62" s="422"/>
      <c r="M62" s="422"/>
    </row>
    <row r="63" spans="1:13" ht="15" customHeight="1">
      <c r="A63" s="344" t="str">
        <f t="shared" si="2"/>
        <v xml:space="preserve"> "Hold Own"</v>
      </c>
      <c r="B63" s="260">
        <f t="shared" si="3"/>
        <v>0</v>
      </c>
      <c r="C63" s="260">
        <f t="shared" si="4"/>
        <v>0</v>
      </c>
      <c r="D63" s="344" t="str">
        <f>VLOOKUP(F63,Справочник!$A$2:$C$415,3,FALSE)</f>
        <v>Доходы от выбытия активов</v>
      </c>
      <c r="F63" s="425">
        <v>6210</v>
      </c>
      <c r="G63" s="426" t="s">
        <v>267</v>
      </c>
      <c r="H63" s="428"/>
      <c r="I63" s="428"/>
      <c r="J63" s="427">
        <v>5581610.21</v>
      </c>
      <c r="K63" s="427">
        <v>5581610.21</v>
      </c>
      <c r="L63" s="428"/>
      <c r="M63" s="428"/>
    </row>
    <row r="64" spans="1:13" ht="15" customHeight="1">
      <c r="A64" s="344" t="str">
        <f t="shared" si="2"/>
        <v xml:space="preserve"> "Hold Own"</v>
      </c>
      <c r="B64" s="260">
        <f t="shared" si="3"/>
        <v>0</v>
      </c>
      <c r="C64" s="260">
        <f t="shared" si="4"/>
        <v>0</v>
      </c>
      <c r="D64" s="344" t="str">
        <f>VLOOKUP(F64,Справочник!$A$2:$C$415,3,FALSE)</f>
        <v>Доходы от курсовой разницы</v>
      </c>
      <c r="F64" s="425">
        <v>6250</v>
      </c>
      <c r="G64" s="426" t="s">
        <v>271</v>
      </c>
      <c r="H64" s="428"/>
      <c r="I64" s="428"/>
      <c r="J64" s="427">
        <v>99577.46</v>
      </c>
      <c r="K64" s="427">
        <v>99577.46</v>
      </c>
      <c r="L64" s="428"/>
      <c r="M64" s="428"/>
    </row>
    <row r="65" spans="1:13" ht="15" customHeight="1">
      <c r="A65" s="344" t="str">
        <f t="shared" si="2"/>
        <v xml:space="preserve"> "Hold Own"</v>
      </c>
      <c r="B65" s="260">
        <f t="shared" si="3"/>
        <v>0</v>
      </c>
      <c r="C65" s="260">
        <f t="shared" si="4"/>
        <v>0</v>
      </c>
      <c r="D65" s="344">
        <f>VLOOKUP(F65,Справочник!$A$2:$C$415,3,FALSE)</f>
        <v>0</v>
      </c>
      <c r="F65" s="424">
        <v>7200</v>
      </c>
      <c r="G65" s="421" t="s">
        <v>55</v>
      </c>
      <c r="H65" s="422"/>
      <c r="I65" s="422"/>
      <c r="J65" s="423">
        <v>1253210.57</v>
      </c>
      <c r="K65" s="423">
        <v>1253210.57</v>
      </c>
      <c r="L65" s="422"/>
      <c r="M65" s="422"/>
    </row>
    <row r="66" spans="1:13" ht="15" customHeight="1">
      <c r="A66" s="344" t="str">
        <f t="shared" si="2"/>
        <v xml:space="preserve"> "Hold Own"</v>
      </c>
      <c r="B66" s="260">
        <f t="shared" si="3"/>
        <v>0</v>
      </c>
      <c r="C66" s="260">
        <f t="shared" si="4"/>
        <v>0</v>
      </c>
      <c r="D66" s="344" t="str">
        <f>VLOOKUP(F66,Справочник!$A$2:$C$415,3,FALSE)</f>
        <v>Административные расходы</v>
      </c>
      <c r="F66" s="425">
        <v>7210</v>
      </c>
      <c r="G66" s="426" t="s">
        <v>55</v>
      </c>
      <c r="H66" s="428"/>
      <c r="I66" s="428"/>
      <c r="J66" s="427">
        <v>1253210.57</v>
      </c>
      <c r="K66" s="427">
        <v>1253210.57</v>
      </c>
      <c r="L66" s="428"/>
      <c r="M66" s="428"/>
    </row>
    <row r="67" spans="1:13" ht="15" customHeight="1">
      <c r="A67" s="344" t="str">
        <f t="shared" si="2"/>
        <v xml:space="preserve"> "Hold Own"</v>
      </c>
      <c r="B67" s="260">
        <f t="shared" si="3"/>
        <v>0</v>
      </c>
      <c r="C67" s="260">
        <f t="shared" si="4"/>
        <v>0</v>
      </c>
      <c r="D67" s="344">
        <f>VLOOKUP(F67,Справочник!$A$2:$C$415,3,FALSE)</f>
        <v>0</v>
      </c>
      <c r="F67" s="424">
        <v>7400</v>
      </c>
      <c r="G67" s="421" t="s">
        <v>286</v>
      </c>
      <c r="H67" s="422"/>
      <c r="I67" s="422"/>
      <c r="J67" s="423">
        <v>17577073.600000001</v>
      </c>
      <c r="K67" s="423">
        <v>17577073.600000001</v>
      </c>
      <c r="L67" s="422"/>
      <c r="M67" s="422"/>
    </row>
    <row r="68" spans="1:13" ht="15" customHeight="1">
      <c r="A68" s="344" t="str">
        <f t="shared" si="2"/>
        <v xml:space="preserve"> "Hold Own"</v>
      </c>
      <c r="B68" s="260">
        <f t="shared" si="3"/>
        <v>0</v>
      </c>
      <c r="C68" s="260">
        <f t="shared" si="4"/>
        <v>0</v>
      </c>
      <c r="D68" s="344" t="str">
        <f>VLOOKUP(F68,Справочник!$A$2:$C$415,3,FALSE)</f>
        <v>Расходы по выбытию активов</v>
      </c>
      <c r="F68" s="425">
        <v>7410</v>
      </c>
      <c r="G68" s="426" t="s">
        <v>287</v>
      </c>
      <c r="H68" s="428"/>
      <c r="I68" s="428"/>
      <c r="J68" s="427">
        <v>13174264.609999999</v>
      </c>
      <c r="K68" s="427">
        <v>13174264.609999999</v>
      </c>
      <c r="L68" s="428"/>
      <c r="M68" s="428"/>
    </row>
    <row r="69" spans="1:13" ht="15" customHeight="1">
      <c r="A69" s="344" t="str">
        <f t="shared" si="2"/>
        <v xml:space="preserve"> "Hold Own"</v>
      </c>
      <c r="B69" s="260">
        <f t="shared" si="3"/>
        <v>0</v>
      </c>
      <c r="C69" s="260">
        <f t="shared" si="4"/>
        <v>0</v>
      </c>
      <c r="D69" s="344" t="str">
        <f>VLOOKUP(F69,Справочник!$A$2:$C$415,3,FALSE)</f>
        <v>Расходы по курсовой разнице</v>
      </c>
      <c r="F69" s="425">
        <v>7430</v>
      </c>
      <c r="G69" s="426" t="s">
        <v>289</v>
      </c>
      <c r="H69" s="428"/>
      <c r="I69" s="428"/>
      <c r="J69" s="427">
        <v>19453.990000000002</v>
      </c>
      <c r="K69" s="427">
        <v>19453.990000000002</v>
      </c>
      <c r="L69" s="428"/>
      <c r="M69" s="428"/>
    </row>
    <row r="70" spans="1:13" ht="15" customHeight="1">
      <c r="A70" s="344" t="str">
        <f t="shared" si="2"/>
        <v xml:space="preserve"> "Hold Own"</v>
      </c>
      <c r="B70" s="260">
        <f t="shared" si="3"/>
        <v>0</v>
      </c>
      <c r="C70" s="260">
        <f t="shared" si="4"/>
        <v>0</v>
      </c>
      <c r="D70" s="344" t="str">
        <f>VLOOKUP(F70,Справочник!$A$2:$C$415,3,FALSE)</f>
        <v>Расходы по операционной аренде</v>
      </c>
      <c r="F70" s="425">
        <v>7450</v>
      </c>
      <c r="G70" s="426" t="s">
        <v>291</v>
      </c>
      <c r="H70" s="428"/>
      <c r="I70" s="428"/>
      <c r="J70" s="427">
        <v>4383355</v>
      </c>
      <c r="K70" s="427">
        <v>4383355</v>
      </c>
      <c r="L70" s="428"/>
      <c r="M70" s="428"/>
    </row>
    <row r="71" spans="1:13" ht="15" customHeight="1">
      <c r="A71" s="344" t="str">
        <f t="shared" si="2"/>
        <v xml:space="preserve"> "Hold Own"</v>
      </c>
      <c r="B71" s="260">
        <f t="shared" si="3"/>
        <v>50389368.32</v>
      </c>
      <c r="C71" s="260">
        <f t="shared" si="4"/>
        <v>43570490.82</v>
      </c>
      <c r="D71" s="344" t="e">
        <f>VLOOKUP(F71,Справочник!$A$2:$C$415,3,FALSE)</f>
        <v>#N/A</v>
      </c>
      <c r="F71" s="678" t="s">
        <v>615</v>
      </c>
      <c r="G71" s="678"/>
      <c r="H71" s="429">
        <v>50389368.32</v>
      </c>
      <c r="I71" s="429">
        <v>50389368.32</v>
      </c>
      <c r="J71" s="429">
        <v>72376724.579999998</v>
      </c>
      <c r="K71" s="429">
        <v>72376724.579999998</v>
      </c>
      <c r="L71" s="429">
        <v>43570490.82</v>
      </c>
      <c r="M71" s="429">
        <v>43570490.82</v>
      </c>
    </row>
    <row r="72" spans="1:13" ht="15" customHeight="1">
      <c r="A72" s="344" t="str">
        <f t="shared" si="2"/>
        <v xml:space="preserve"> "Hold Own"</v>
      </c>
      <c r="B72" s="260">
        <f t="shared" si="3"/>
        <v>0</v>
      </c>
      <c r="C72" s="260">
        <f t="shared" si="4"/>
        <v>0</v>
      </c>
      <c r="D72" s="344">
        <f>VLOOKUP(F72,Справочник!$A$2:$C$415,3,FALSE)</f>
        <v>0</v>
      </c>
      <c r="F72" s="440"/>
      <c r="G72" s="437"/>
      <c r="H72" s="438"/>
      <c r="I72" s="439"/>
      <c r="J72" s="439"/>
      <c r="K72" s="439"/>
      <c r="L72" s="438"/>
      <c r="M72" s="439"/>
    </row>
    <row r="73" spans="1:13" ht="15" customHeight="1">
      <c r="A73" s="344" t="str">
        <f t="shared" si="2"/>
        <v xml:space="preserve"> "Hold Own"</v>
      </c>
      <c r="B73" s="260">
        <f t="shared" si="3"/>
        <v>0</v>
      </c>
      <c r="C73" s="260">
        <f t="shared" si="4"/>
        <v>0</v>
      </c>
      <c r="D73" s="344">
        <f>VLOOKUP(F73,Справочник!$A$2:$C$415,3,FALSE)</f>
        <v>0</v>
      </c>
      <c r="F73" s="441"/>
      <c r="G73" s="442"/>
      <c r="H73" s="444"/>
      <c r="I73" s="443"/>
      <c r="J73" s="443"/>
      <c r="K73" s="443"/>
      <c r="L73" s="444"/>
      <c r="M73" s="443"/>
    </row>
    <row r="74" spans="1:13" ht="15" customHeight="1">
      <c r="A74" s="344" t="str">
        <f t="shared" si="2"/>
        <v xml:space="preserve"> "Hold Own"</v>
      </c>
      <c r="B74" s="260">
        <f t="shared" si="3"/>
        <v>0</v>
      </c>
      <c r="C74" s="260">
        <f t="shared" si="4"/>
        <v>0</v>
      </c>
      <c r="D74" s="344">
        <f>VLOOKUP(F74,Справочник!$A$2:$C$415,3,FALSE)</f>
        <v>0</v>
      </c>
      <c r="F74" s="441"/>
      <c r="G74" s="442"/>
      <c r="H74" s="444"/>
      <c r="I74" s="444"/>
      <c r="J74" s="443"/>
      <c r="K74" s="443"/>
      <c r="L74" s="444"/>
      <c r="M74" s="443"/>
    </row>
    <row r="75" spans="1:13" ht="15" customHeight="1">
      <c r="A75" s="344" t="str">
        <f t="shared" ref="A75:A138" si="5">A74</f>
        <v xml:space="preserve"> "Hold Own"</v>
      </c>
      <c r="B75" s="260">
        <f t="shared" si="3"/>
        <v>0</v>
      </c>
      <c r="C75" s="260">
        <f t="shared" si="4"/>
        <v>0</v>
      </c>
      <c r="D75" s="344">
        <f>VLOOKUP(F75,Справочник!$A$2:$C$415,3,FALSE)</f>
        <v>0</v>
      </c>
      <c r="F75" s="440"/>
      <c r="G75" s="437"/>
      <c r="H75" s="438"/>
      <c r="I75" s="439"/>
      <c r="J75" s="438"/>
      <c r="K75" s="438"/>
      <c r="L75" s="438"/>
      <c r="M75" s="439"/>
    </row>
    <row r="76" spans="1:13" ht="15" customHeight="1">
      <c r="A76" s="344" t="str">
        <f t="shared" si="5"/>
        <v xml:space="preserve"> "Hold Own"</v>
      </c>
      <c r="B76" s="260">
        <f t="shared" si="3"/>
        <v>0</v>
      </c>
      <c r="C76" s="260">
        <f t="shared" si="4"/>
        <v>0</v>
      </c>
      <c r="D76" s="344">
        <f>VLOOKUP(F76,Справочник!$A$2:$C$415,3,FALSE)</f>
        <v>0</v>
      </c>
      <c r="F76" s="441"/>
      <c r="G76" s="442"/>
      <c r="H76" s="444"/>
      <c r="I76" s="443"/>
      <c r="J76" s="444"/>
      <c r="K76" s="444"/>
      <c r="L76" s="444"/>
      <c r="M76" s="443"/>
    </row>
    <row r="77" spans="1:13" ht="15" customHeight="1">
      <c r="A77" s="344" t="str">
        <f t="shared" si="5"/>
        <v xml:space="preserve"> "Hold Own"</v>
      </c>
      <c r="B77" s="260">
        <f t="shared" si="3"/>
        <v>0</v>
      </c>
      <c r="C77" s="260">
        <f t="shared" si="4"/>
        <v>0</v>
      </c>
      <c r="D77" s="344">
        <f>VLOOKUP(F77,Справочник!$A$2:$C$415,3,FALSE)</f>
        <v>0</v>
      </c>
      <c r="F77" s="440"/>
      <c r="G77" s="437"/>
      <c r="H77" s="438"/>
      <c r="I77" s="439"/>
      <c r="J77" s="438"/>
      <c r="K77" s="438"/>
      <c r="L77" s="438"/>
      <c r="M77" s="439"/>
    </row>
    <row r="78" spans="1:13" ht="15" customHeight="1">
      <c r="A78" s="344" t="str">
        <f t="shared" si="5"/>
        <v xml:space="preserve"> "Hold Own"</v>
      </c>
      <c r="B78" s="260">
        <f t="shared" si="3"/>
        <v>0</v>
      </c>
      <c r="C78" s="260">
        <f t="shared" si="4"/>
        <v>0</v>
      </c>
      <c r="D78" s="344">
        <f>VLOOKUP(F78,Справочник!$A$2:$C$415,3,FALSE)</f>
        <v>0</v>
      </c>
      <c r="F78" s="441"/>
      <c r="G78" s="442"/>
      <c r="H78" s="444"/>
      <c r="I78" s="443"/>
      <c r="J78" s="444"/>
      <c r="K78" s="444"/>
      <c r="L78" s="444"/>
      <c r="M78" s="443"/>
    </row>
    <row r="79" spans="1:13" ht="15" customHeight="1">
      <c r="A79" s="344" t="str">
        <f t="shared" si="5"/>
        <v xml:space="preserve"> "Hold Own"</v>
      </c>
      <c r="B79" s="260">
        <f t="shared" si="3"/>
        <v>0</v>
      </c>
      <c r="C79" s="260">
        <f t="shared" si="4"/>
        <v>0</v>
      </c>
      <c r="D79" s="344">
        <f>VLOOKUP(F79,Справочник!$A$2:$C$415,3,FALSE)</f>
        <v>0</v>
      </c>
      <c r="F79" s="440"/>
      <c r="G79" s="437"/>
      <c r="H79" s="438"/>
      <c r="I79" s="439"/>
      <c r="J79" s="438"/>
      <c r="K79" s="438"/>
      <c r="L79" s="438"/>
      <c r="M79" s="439"/>
    </row>
    <row r="80" spans="1:13" ht="15" customHeight="1">
      <c r="A80" s="344" t="str">
        <f t="shared" si="5"/>
        <v xml:space="preserve"> "Hold Own"</v>
      </c>
      <c r="B80" s="260">
        <f t="shared" si="3"/>
        <v>0</v>
      </c>
      <c r="C80" s="260">
        <f t="shared" si="4"/>
        <v>0</v>
      </c>
      <c r="D80" s="344">
        <f>VLOOKUP(F80,Справочник!$A$2:$C$415,3,FALSE)</f>
        <v>0</v>
      </c>
      <c r="F80" s="441"/>
      <c r="G80" s="442"/>
      <c r="H80" s="444"/>
      <c r="I80" s="443"/>
      <c r="J80" s="444"/>
      <c r="K80" s="444"/>
      <c r="L80" s="444"/>
      <c r="M80" s="443"/>
    </row>
    <row r="81" spans="1:13" ht="15" customHeight="1">
      <c r="A81" s="344" t="str">
        <f t="shared" si="5"/>
        <v xml:space="preserve"> "Hold Own"</v>
      </c>
      <c r="B81" s="260">
        <f t="shared" si="3"/>
        <v>0</v>
      </c>
      <c r="C81" s="260">
        <f t="shared" si="4"/>
        <v>0</v>
      </c>
      <c r="D81" s="344">
        <f>VLOOKUP(F81,Справочник!$A$2:$C$415,3,FALSE)</f>
        <v>0</v>
      </c>
      <c r="F81" s="440"/>
      <c r="G81" s="437"/>
      <c r="H81" s="438"/>
      <c r="I81" s="439"/>
      <c r="J81" s="438"/>
      <c r="K81" s="450"/>
      <c r="L81" s="438"/>
      <c r="M81" s="439"/>
    </row>
    <row r="82" spans="1:13" ht="15" customHeight="1">
      <c r="A82" s="344" t="str">
        <f t="shared" si="5"/>
        <v xml:space="preserve"> "Hold Own"</v>
      </c>
      <c r="B82" s="260">
        <f t="shared" si="3"/>
        <v>0</v>
      </c>
      <c r="C82" s="260">
        <f t="shared" si="4"/>
        <v>0</v>
      </c>
      <c r="D82" s="344">
        <f>VLOOKUP(F82,Справочник!$A$2:$C$415,3,FALSE)</f>
        <v>0</v>
      </c>
      <c r="F82" s="441"/>
      <c r="G82" s="442"/>
      <c r="H82" s="444"/>
      <c r="I82" s="443"/>
      <c r="J82" s="444"/>
      <c r="K82" s="451"/>
      <c r="L82" s="444"/>
      <c r="M82" s="451"/>
    </row>
    <row r="83" spans="1:13" ht="15" customHeight="1">
      <c r="A83" s="344" t="str">
        <f t="shared" si="5"/>
        <v xml:space="preserve"> "Hold Own"</v>
      </c>
      <c r="B83" s="260">
        <f t="shared" si="3"/>
        <v>0</v>
      </c>
      <c r="C83" s="260">
        <f t="shared" si="4"/>
        <v>0</v>
      </c>
      <c r="D83" s="344">
        <f>VLOOKUP(F83,Справочник!$A$2:$C$415,3,FALSE)</f>
        <v>0</v>
      </c>
      <c r="F83" s="441"/>
      <c r="G83" s="442"/>
      <c r="H83" s="444"/>
      <c r="I83" s="443"/>
      <c r="J83" s="444"/>
      <c r="K83" s="444"/>
      <c r="L83" s="444"/>
      <c r="M83" s="443"/>
    </row>
    <row r="84" spans="1:13" ht="15" customHeight="1">
      <c r="A84" s="344" t="str">
        <f t="shared" si="5"/>
        <v xml:space="preserve"> "Hold Own"</v>
      </c>
      <c r="B84" s="260">
        <f t="shared" si="3"/>
        <v>0</v>
      </c>
      <c r="C84" s="260">
        <f t="shared" si="4"/>
        <v>0</v>
      </c>
      <c r="D84" s="344">
        <f>VLOOKUP(F84,Справочник!$A$2:$C$415,3,FALSE)</f>
        <v>0</v>
      </c>
      <c r="F84" s="440"/>
      <c r="G84" s="437"/>
      <c r="H84" s="438"/>
      <c r="I84" s="438"/>
      <c r="J84" s="439"/>
      <c r="K84" s="439"/>
      <c r="L84" s="438"/>
      <c r="M84" s="438"/>
    </row>
    <row r="85" spans="1:13" ht="15" customHeight="1">
      <c r="A85" s="344" t="str">
        <f t="shared" si="5"/>
        <v xml:space="preserve"> "Hold Own"</v>
      </c>
      <c r="B85" s="260">
        <f t="shared" si="3"/>
        <v>0</v>
      </c>
      <c r="C85" s="260">
        <f t="shared" si="4"/>
        <v>0</v>
      </c>
      <c r="D85" s="344">
        <f>VLOOKUP(F85,Справочник!$A$2:$C$415,3,FALSE)</f>
        <v>0</v>
      </c>
      <c r="F85" s="441"/>
      <c r="G85" s="442"/>
      <c r="H85" s="444"/>
      <c r="I85" s="444"/>
      <c r="J85" s="443"/>
      <c r="K85" s="443"/>
      <c r="L85" s="444"/>
      <c r="M85" s="444"/>
    </row>
    <row r="86" spans="1:13" ht="15" customHeight="1">
      <c r="A86" s="344" t="str">
        <f t="shared" si="5"/>
        <v xml:space="preserve"> "Hold Own"</v>
      </c>
      <c r="B86" s="260">
        <f t="shared" si="3"/>
        <v>0</v>
      </c>
      <c r="C86" s="260">
        <f t="shared" si="4"/>
        <v>0</v>
      </c>
      <c r="D86" s="344">
        <f>VLOOKUP(F86,Справочник!$A$2:$C$415,3,FALSE)</f>
        <v>0</v>
      </c>
      <c r="F86" s="440"/>
      <c r="G86" s="437"/>
      <c r="H86" s="438"/>
      <c r="I86" s="438"/>
      <c r="J86" s="439"/>
      <c r="K86" s="439"/>
      <c r="L86" s="438"/>
      <c r="M86" s="438"/>
    </row>
    <row r="87" spans="1:13" ht="15" customHeight="1">
      <c r="A87" s="344" t="str">
        <f t="shared" si="5"/>
        <v xml:space="preserve"> "Hold Own"</v>
      </c>
      <c r="B87" s="260">
        <f t="shared" si="3"/>
        <v>0</v>
      </c>
      <c r="C87" s="260">
        <f t="shared" si="4"/>
        <v>0</v>
      </c>
      <c r="D87" s="344">
        <f>VLOOKUP(F87,Справочник!$A$2:$C$415,3,FALSE)</f>
        <v>0</v>
      </c>
      <c r="F87" s="441"/>
      <c r="G87" s="442"/>
      <c r="H87" s="444"/>
      <c r="I87" s="444"/>
      <c r="J87" s="443"/>
      <c r="K87" s="443"/>
      <c r="L87" s="444"/>
      <c r="M87" s="444"/>
    </row>
    <row r="88" spans="1:13" ht="15" customHeight="1">
      <c r="A88" s="344" t="str">
        <f t="shared" si="5"/>
        <v xml:space="preserve"> "Hold Own"</v>
      </c>
      <c r="B88" s="260">
        <f t="shared" si="3"/>
        <v>0</v>
      </c>
      <c r="C88" s="260">
        <f t="shared" si="4"/>
        <v>0</v>
      </c>
      <c r="D88" s="344">
        <f>VLOOKUP(F88,Справочник!$A$2:$C$415,3,FALSE)</f>
        <v>0</v>
      </c>
      <c r="F88" s="440"/>
      <c r="G88" s="437"/>
      <c r="H88" s="438"/>
      <c r="I88" s="438"/>
      <c r="J88" s="439"/>
      <c r="K88" s="439"/>
      <c r="L88" s="438"/>
      <c r="M88" s="438"/>
    </row>
    <row r="89" spans="1:13" ht="15" customHeight="1">
      <c r="A89" s="344" t="str">
        <f t="shared" si="5"/>
        <v xml:space="preserve"> "Hold Own"</v>
      </c>
      <c r="B89" s="260">
        <f t="shared" si="3"/>
        <v>0</v>
      </c>
      <c r="C89" s="260">
        <f t="shared" si="4"/>
        <v>0</v>
      </c>
      <c r="D89" s="344">
        <f>VLOOKUP(F89,Справочник!$A$2:$C$415,3,FALSE)</f>
        <v>0</v>
      </c>
      <c r="F89" s="441"/>
      <c r="G89" s="442"/>
      <c r="H89" s="444"/>
      <c r="I89" s="444"/>
      <c r="J89" s="443"/>
      <c r="K89" s="443"/>
      <c r="L89" s="444"/>
      <c r="M89" s="444"/>
    </row>
    <row r="90" spans="1:13" ht="15" customHeight="1">
      <c r="A90" s="344" t="str">
        <f t="shared" si="5"/>
        <v xml:space="preserve"> "Hold Own"</v>
      </c>
      <c r="B90" s="260">
        <f t="shared" si="3"/>
        <v>0</v>
      </c>
      <c r="C90" s="260">
        <f t="shared" si="4"/>
        <v>0</v>
      </c>
      <c r="D90" s="344">
        <f>VLOOKUP(F90,Справочник!$A$2:$C$415,3,FALSE)</f>
        <v>0</v>
      </c>
      <c r="F90" s="440"/>
      <c r="G90" s="437"/>
      <c r="H90" s="438"/>
      <c r="I90" s="438"/>
      <c r="J90" s="439"/>
      <c r="K90" s="439"/>
      <c r="L90" s="438"/>
      <c r="M90" s="438"/>
    </row>
    <row r="91" spans="1:13" ht="15" customHeight="1">
      <c r="A91" s="344" t="str">
        <f t="shared" si="5"/>
        <v xml:space="preserve"> "Hold Own"</v>
      </c>
      <c r="B91" s="260">
        <f t="shared" si="3"/>
        <v>0</v>
      </c>
      <c r="C91" s="260">
        <f t="shared" si="4"/>
        <v>0</v>
      </c>
      <c r="D91" s="344">
        <f>VLOOKUP(F91,Справочник!$A$2:$C$415,3,FALSE)</f>
        <v>0</v>
      </c>
      <c r="F91" s="441"/>
      <c r="G91" s="442"/>
      <c r="H91" s="444"/>
      <c r="I91" s="444"/>
      <c r="J91" s="443"/>
      <c r="K91" s="443"/>
      <c r="L91" s="444"/>
      <c r="M91" s="444"/>
    </row>
    <row r="92" spans="1:13" ht="15" customHeight="1">
      <c r="A92" s="344" t="str">
        <f t="shared" si="5"/>
        <v xml:space="preserve"> "Hold Own"</v>
      </c>
      <c r="B92" s="260">
        <f t="shared" si="3"/>
        <v>0</v>
      </c>
      <c r="C92" s="260">
        <f t="shared" si="4"/>
        <v>0</v>
      </c>
      <c r="D92" s="344">
        <f>VLOOKUP(F92,Справочник!$A$2:$C$415,3,FALSE)</f>
        <v>0</v>
      </c>
      <c r="F92" s="440"/>
      <c r="G92" s="437"/>
      <c r="H92" s="438"/>
      <c r="I92" s="438"/>
      <c r="J92" s="439"/>
      <c r="K92" s="439"/>
      <c r="L92" s="438"/>
      <c r="M92" s="438"/>
    </row>
    <row r="93" spans="1:13" ht="15" customHeight="1">
      <c r="A93" s="344" t="str">
        <f t="shared" si="5"/>
        <v xml:space="preserve"> "Hold Own"</v>
      </c>
      <c r="B93" s="260">
        <f t="shared" si="3"/>
        <v>0</v>
      </c>
      <c r="C93" s="260">
        <f t="shared" si="4"/>
        <v>0</v>
      </c>
      <c r="D93" s="344">
        <f>VLOOKUP(F93,Справочник!$A$2:$C$415,3,FALSE)</f>
        <v>0</v>
      </c>
      <c r="F93" s="441"/>
      <c r="G93" s="442"/>
      <c r="H93" s="444"/>
      <c r="I93" s="444"/>
      <c r="J93" s="443"/>
      <c r="K93" s="443"/>
      <c r="L93" s="444"/>
      <c r="M93" s="444"/>
    </row>
    <row r="94" spans="1:13" ht="15" customHeight="1">
      <c r="A94" s="344" t="str">
        <f t="shared" si="5"/>
        <v xml:space="preserve"> "Hold Own"</v>
      </c>
      <c r="B94" s="260">
        <f t="shared" si="3"/>
        <v>0</v>
      </c>
      <c r="C94" s="260">
        <f t="shared" si="4"/>
        <v>0</v>
      </c>
      <c r="D94" s="344">
        <f>VLOOKUP(F94,Справочник!$A$2:$C$415,3,FALSE)</f>
        <v>0</v>
      </c>
      <c r="F94" s="440"/>
      <c r="G94" s="437"/>
      <c r="H94" s="438"/>
      <c r="I94" s="438"/>
      <c r="J94" s="439"/>
      <c r="K94" s="439"/>
      <c r="L94" s="438"/>
      <c r="M94" s="438"/>
    </row>
    <row r="95" spans="1:13" ht="15" customHeight="1">
      <c r="A95" s="344" t="str">
        <f t="shared" si="5"/>
        <v xml:space="preserve"> "Hold Own"</v>
      </c>
      <c r="B95" s="260">
        <f t="shared" si="3"/>
        <v>0</v>
      </c>
      <c r="C95" s="260">
        <f t="shared" si="4"/>
        <v>0</v>
      </c>
      <c r="D95" s="344">
        <f>VLOOKUP(F95,Справочник!$A$2:$C$415,3,FALSE)</f>
        <v>0</v>
      </c>
      <c r="F95" s="441"/>
      <c r="G95" s="442"/>
      <c r="H95" s="444"/>
      <c r="I95" s="444"/>
      <c r="J95" s="443"/>
      <c r="K95" s="443"/>
      <c r="L95" s="444"/>
      <c r="M95" s="444"/>
    </row>
    <row r="96" spans="1:13" ht="15" customHeight="1">
      <c r="A96" s="344" t="str">
        <f t="shared" si="5"/>
        <v xml:space="preserve"> "Hold Own"</v>
      </c>
      <c r="B96" s="260">
        <f t="shared" si="3"/>
        <v>0</v>
      </c>
      <c r="C96" s="260">
        <f t="shared" si="4"/>
        <v>0</v>
      </c>
      <c r="D96" s="344">
        <f>VLOOKUP(F96,Справочник!$A$2:$C$415,3,FALSE)</f>
        <v>0</v>
      </c>
      <c r="F96" s="440"/>
      <c r="G96" s="437"/>
      <c r="H96" s="438"/>
      <c r="I96" s="438"/>
      <c r="J96" s="439"/>
      <c r="K96" s="439"/>
      <c r="L96" s="438"/>
      <c r="M96" s="438"/>
    </row>
    <row r="97" spans="1:13" ht="15" customHeight="1">
      <c r="A97" s="344" t="str">
        <f t="shared" si="5"/>
        <v xml:space="preserve"> "Hold Own"</v>
      </c>
      <c r="B97" s="260">
        <f t="shared" si="3"/>
        <v>0</v>
      </c>
      <c r="C97" s="260">
        <f t="shared" si="4"/>
        <v>0</v>
      </c>
      <c r="D97" s="344">
        <f>VLOOKUP(F97,Справочник!$A$2:$C$415,3,FALSE)</f>
        <v>0</v>
      </c>
      <c r="F97" s="441"/>
      <c r="G97" s="442"/>
      <c r="H97" s="444"/>
      <c r="I97" s="444"/>
      <c r="J97" s="443"/>
      <c r="K97" s="443"/>
      <c r="L97" s="444"/>
      <c r="M97" s="444"/>
    </row>
    <row r="98" spans="1:13" ht="15" customHeight="1">
      <c r="A98" s="344" t="str">
        <f t="shared" si="5"/>
        <v xml:space="preserve"> "Hold Own"</v>
      </c>
      <c r="B98" s="260">
        <f t="shared" si="3"/>
        <v>0</v>
      </c>
      <c r="C98" s="260">
        <f t="shared" si="4"/>
        <v>0</v>
      </c>
      <c r="D98" s="344">
        <f>VLOOKUP(F98,Справочник!$A$2:$C$415,3,FALSE)</f>
        <v>0</v>
      </c>
      <c r="F98" s="676"/>
      <c r="G98" s="676"/>
      <c r="H98" s="453"/>
      <c r="I98" s="453"/>
      <c r="J98" s="453"/>
      <c r="K98" s="453"/>
      <c r="L98" s="453"/>
      <c r="M98" s="453"/>
    </row>
    <row r="99" spans="1:13" ht="15" customHeight="1">
      <c r="A99" s="344" t="str">
        <f t="shared" si="5"/>
        <v xml:space="preserve"> "Hold Own"</v>
      </c>
      <c r="B99" s="260">
        <f t="shared" si="3"/>
        <v>0</v>
      </c>
      <c r="C99" s="260">
        <f t="shared" si="4"/>
        <v>0</v>
      </c>
      <c r="D99" s="344">
        <f>VLOOKUP(F99,Справочник!$A$2:$C$415,3,FALSE)</f>
        <v>0</v>
      </c>
      <c r="F99" s="425"/>
      <c r="G99" s="426"/>
      <c r="H99" s="428"/>
      <c r="I99" s="428"/>
      <c r="J99" s="427"/>
      <c r="K99" s="427"/>
      <c r="L99" s="428"/>
      <c r="M99" s="428"/>
    </row>
    <row r="100" spans="1:13" ht="15" customHeight="1">
      <c r="A100" s="344" t="str">
        <f t="shared" si="5"/>
        <v xml:space="preserve"> "Hold Own"</v>
      </c>
      <c r="B100" s="260">
        <f t="shared" si="3"/>
        <v>0</v>
      </c>
      <c r="C100" s="260">
        <f t="shared" si="4"/>
        <v>0</v>
      </c>
      <c r="D100" s="344">
        <f>VLOOKUP(F100,Справочник!$A$2:$C$415,3,FALSE)</f>
        <v>0</v>
      </c>
      <c r="F100" s="424"/>
      <c r="G100" s="421"/>
      <c r="H100" s="422"/>
      <c r="I100" s="422"/>
      <c r="J100" s="423"/>
      <c r="K100" s="423"/>
      <c r="L100" s="422"/>
      <c r="M100" s="422"/>
    </row>
    <row r="101" spans="1:13" ht="15" customHeight="1">
      <c r="A101" s="344" t="str">
        <f t="shared" si="5"/>
        <v xml:space="preserve"> "Hold Own"</v>
      </c>
      <c r="B101" s="260">
        <f t="shared" si="3"/>
        <v>0</v>
      </c>
      <c r="C101" s="260">
        <f t="shared" si="4"/>
        <v>0</v>
      </c>
      <c r="D101" s="344">
        <f>VLOOKUP(F101,Справочник!$A$2:$C$415,3,FALSE)</f>
        <v>0</v>
      </c>
      <c r="F101" s="425"/>
      <c r="G101" s="426"/>
      <c r="H101" s="428"/>
      <c r="I101" s="428"/>
      <c r="J101" s="427"/>
      <c r="K101" s="427"/>
      <c r="L101" s="428"/>
      <c r="M101" s="428"/>
    </row>
    <row r="102" spans="1:13" ht="15" customHeight="1">
      <c r="A102" s="344" t="str">
        <f t="shared" si="5"/>
        <v xml:space="preserve"> "Hold Own"</v>
      </c>
      <c r="B102" s="260">
        <f t="shared" si="3"/>
        <v>0</v>
      </c>
      <c r="C102" s="260">
        <f t="shared" si="4"/>
        <v>0</v>
      </c>
      <c r="D102" s="344">
        <f>VLOOKUP(F102,Справочник!$A$2:$C$415,3,FALSE)</f>
        <v>0</v>
      </c>
      <c r="F102" s="424"/>
      <c r="G102" s="421"/>
      <c r="H102" s="422"/>
      <c r="I102" s="422"/>
      <c r="J102" s="423"/>
      <c r="K102" s="423"/>
      <c r="L102" s="422"/>
      <c r="M102" s="422"/>
    </row>
    <row r="103" spans="1:13" ht="15" customHeight="1">
      <c r="A103" s="344" t="str">
        <f t="shared" si="5"/>
        <v xml:space="preserve"> "Hold Own"</v>
      </c>
      <c r="B103" s="260">
        <f t="shared" si="3"/>
        <v>0</v>
      </c>
      <c r="C103" s="260">
        <f t="shared" si="4"/>
        <v>0</v>
      </c>
      <c r="D103" s="344">
        <f>VLOOKUP(F103,Справочник!$A$2:$C$415,3,FALSE)</f>
        <v>0</v>
      </c>
      <c r="F103" s="425"/>
      <c r="G103" s="426"/>
      <c r="H103" s="428"/>
      <c r="I103" s="428"/>
      <c r="J103" s="427"/>
      <c r="K103" s="427"/>
      <c r="L103" s="428"/>
      <c r="M103" s="428"/>
    </row>
    <row r="104" spans="1:13" ht="15" customHeight="1">
      <c r="A104" s="344" t="str">
        <f t="shared" si="5"/>
        <v xml:space="preserve"> "Hold Own"</v>
      </c>
      <c r="B104" s="260">
        <f t="shared" si="3"/>
        <v>0</v>
      </c>
      <c r="C104" s="260">
        <f t="shared" si="4"/>
        <v>0</v>
      </c>
      <c r="D104" s="344">
        <f>VLOOKUP(F104,Справочник!$A$2:$C$415,3,FALSE)</f>
        <v>0</v>
      </c>
      <c r="F104" s="424"/>
      <c r="G104" s="421"/>
      <c r="H104" s="422"/>
      <c r="I104" s="422"/>
      <c r="J104" s="423"/>
      <c r="K104" s="423"/>
      <c r="L104" s="422"/>
      <c r="M104" s="422"/>
    </row>
    <row r="105" spans="1:13" ht="15" customHeight="1">
      <c r="A105" s="344" t="str">
        <f t="shared" si="5"/>
        <v xml:space="preserve"> "Hold Own"</v>
      </c>
      <c r="B105" s="260">
        <f t="shared" si="3"/>
        <v>0</v>
      </c>
      <c r="C105" s="260">
        <f t="shared" si="4"/>
        <v>0</v>
      </c>
      <c r="D105" s="344">
        <f>VLOOKUP(F105,Справочник!$A$2:$C$415,3,FALSE)</f>
        <v>0</v>
      </c>
      <c r="F105" s="425"/>
      <c r="G105" s="426"/>
      <c r="H105" s="428"/>
      <c r="I105" s="428"/>
      <c r="J105" s="427"/>
      <c r="K105" s="427"/>
      <c r="L105" s="428"/>
      <c r="M105" s="428"/>
    </row>
    <row r="106" spans="1:13" ht="15" customHeight="1">
      <c r="A106" s="344" t="str">
        <f t="shared" si="5"/>
        <v xml:space="preserve"> "Hold Own"</v>
      </c>
      <c r="B106" s="260">
        <f t="shared" si="3"/>
        <v>0</v>
      </c>
      <c r="C106" s="260">
        <f t="shared" si="4"/>
        <v>0</v>
      </c>
      <c r="D106" s="344">
        <f>VLOOKUP(F106,Справочник!$A$2:$C$415,3,FALSE)</f>
        <v>0</v>
      </c>
      <c r="F106" s="424"/>
      <c r="G106" s="421"/>
      <c r="H106" s="422"/>
      <c r="I106" s="422"/>
      <c r="J106" s="423"/>
      <c r="K106" s="423"/>
      <c r="L106" s="422"/>
      <c r="M106" s="422"/>
    </row>
    <row r="107" spans="1:13" ht="15" customHeight="1">
      <c r="A107" s="344" t="str">
        <f t="shared" si="5"/>
        <v xml:space="preserve"> "Hold Own"</v>
      </c>
      <c r="B107" s="260">
        <f t="shared" si="3"/>
        <v>0</v>
      </c>
      <c r="C107" s="260">
        <f t="shared" si="4"/>
        <v>0</v>
      </c>
      <c r="D107" s="344">
        <f>VLOOKUP(F107,Справочник!$A$2:$C$415,3,FALSE)</f>
        <v>0</v>
      </c>
      <c r="F107" s="425"/>
      <c r="G107" s="426"/>
      <c r="H107" s="428"/>
      <c r="I107" s="428"/>
      <c r="J107" s="427"/>
      <c r="K107" s="427"/>
      <c r="L107" s="428"/>
      <c r="M107" s="428"/>
    </row>
    <row r="108" spans="1:13" ht="15" customHeight="1">
      <c r="A108" s="344" t="str">
        <f t="shared" si="5"/>
        <v xml:space="preserve"> "Hold Own"</v>
      </c>
      <c r="B108" s="260">
        <f t="shared" si="3"/>
        <v>0</v>
      </c>
      <c r="C108" s="260">
        <f t="shared" si="4"/>
        <v>0</v>
      </c>
      <c r="D108" s="344">
        <f>VLOOKUP(F108,Справочник!$A$2:$C$415,3,FALSE)</f>
        <v>0</v>
      </c>
      <c r="F108" s="425"/>
      <c r="G108" s="426"/>
      <c r="H108" s="428"/>
      <c r="I108" s="428"/>
      <c r="J108" s="427"/>
      <c r="K108" s="427"/>
      <c r="L108" s="428"/>
      <c r="M108" s="428"/>
    </row>
    <row r="109" spans="1:13" ht="15" customHeight="1">
      <c r="A109" s="344" t="str">
        <f t="shared" si="5"/>
        <v xml:space="preserve"> "Hold Own"</v>
      </c>
      <c r="B109" s="260">
        <f t="shared" si="3"/>
        <v>0</v>
      </c>
      <c r="C109" s="260">
        <f t="shared" si="4"/>
        <v>0</v>
      </c>
      <c r="D109" s="344">
        <f>VLOOKUP(F109,Справочник!$A$2:$C$415,3,FALSE)</f>
        <v>0</v>
      </c>
      <c r="F109" s="424"/>
      <c r="G109" s="421"/>
      <c r="H109" s="422"/>
      <c r="I109" s="422"/>
      <c r="J109" s="423"/>
      <c r="K109" s="423"/>
      <c r="L109" s="422"/>
      <c r="M109" s="422"/>
    </row>
    <row r="110" spans="1:13" ht="15" customHeight="1">
      <c r="A110" s="344" t="str">
        <f t="shared" si="5"/>
        <v xml:space="preserve"> "Hold Own"</v>
      </c>
      <c r="B110" s="260">
        <f t="shared" si="3"/>
        <v>0</v>
      </c>
      <c r="C110" s="260">
        <f t="shared" si="4"/>
        <v>0</v>
      </c>
      <c r="D110" s="344">
        <f>VLOOKUP(F110,Справочник!$A$2:$C$415,3,FALSE)</f>
        <v>0</v>
      </c>
      <c r="F110" s="425"/>
      <c r="G110" s="426"/>
      <c r="H110" s="428"/>
      <c r="I110" s="428"/>
      <c r="J110" s="427"/>
      <c r="K110" s="427"/>
      <c r="L110" s="428"/>
      <c r="M110" s="428"/>
    </row>
    <row r="111" spans="1:13" ht="15" customHeight="1">
      <c r="A111" s="344" t="str">
        <f t="shared" si="5"/>
        <v xml:space="preserve"> "Hold Own"</v>
      </c>
      <c r="B111" s="260">
        <f t="shared" si="3"/>
        <v>0</v>
      </c>
      <c r="C111" s="260">
        <f t="shared" si="4"/>
        <v>0</v>
      </c>
      <c r="D111" s="344">
        <f>VLOOKUP(F111,Справочник!$A$2:$C$415,3,FALSE)</f>
        <v>0</v>
      </c>
      <c r="F111" s="678"/>
      <c r="G111" s="678"/>
      <c r="H111" s="429"/>
      <c r="I111" s="429"/>
      <c r="J111" s="429"/>
      <c r="K111" s="429"/>
      <c r="L111" s="429"/>
      <c r="M111" s="429"/>
    </row>
    <row r="112" spans="1:13" ht="15" customHeight="1">
      <c r="A112" s="344" t="str">
        <f t="shared" si="5"/>
        <v xml:space="preserve"> "Hold Own"</v>
      </c>
      <c r="B112" s="260">
        <f t="shared" si="3"/>
        <v>0</v>
      </c>
      <c r="C112" s="260">
        <f t="shared" si="4"/>
        <v>0</v>
      </c>
      <c r="D112" s="344">
        <f>VLOOKUP(F112,Справочник!$A$2:$C$415,3,FALSE)</f>
        <v>0</v>
      </c>
      <c r="F112" s="361"/>
      <c r="G112" s="357"/>
      <c r="H112" s="358"/>
      <c r="I112" s="360"/>
      <c r="J112" s="359"/>
      <c r="K112" s="360"/>
      <c r="L112" s="358"/>
      <c r="M112" s="360"/>
    </row>
    <row r="113" spans="1:13" ht="15" customHeight="1">
      <c r="A113" s="344" t="str">
        <f t="shared" si="5"/>
        <v xml:space="preserve"> "Hold Own"</v>
      </c>
      <c r="B113" s="260">
        <f t="shared" si="3"/>
        <v>0</v>
      </c>
      <c r="C113" s="260">
        <f t="shared" si="4"/>
        <v>0</v>
      </c>
      <c r="D113" s="344">
        <f>VLOOKUP(F113,Справочник!$A$2:$C$415,3,FALSE)</f>
        <v>0</v>
      </c>
      <c r="F113" s="372"/>
      <c r="G113" s="373"/>
      <c r="H113" s="374"/>
      <c r="I113" s="376"/>
      <c r="J113" s="375"/>
      <c r="K113" s="376"/>
      <c r="L113" s="374"/>
      <c r="M113" s="376"/>
    </row>
    <row r="114" spans="1:13" ht="15" customHeight="1">
      <c r="A114" s="344" t="str">
        <f t="shared" si="5"/>
        <v xml:space="preserve"> "Hold Own"</v>
      </c>
      <c r="B114" s="260">
        <f t="shared" si="3"/>
        <v>0</v>
      </c>
      <c r="C114" s="260">
        <f t="shared" si="4"/>
        <v>0</v>
      </c>
      <c r="D114" s="344">
        <f>VLOOKUP(F114,Справочник!$A$2:$C$415,3,FALSE)</f>
        <v>0</v>
      </c>
      <c r="F114" s="362"/>
      <c r="G114" s="363"/>
      <c r="H114" s="366"/>
      <c r="I114" s="364"/>
      <c r="J114" s="365"/>
      <c r="K114" s="366"/>
      <c r="L114" s="366"/>
      <c r="M114" s="364"/>
    </row>
    <row r="115" spans="1:13" ht="15" customHeight="1">
      <c r="A115" s="344" t="str">
        <f t="shared" si="5"/>
        <v xml:space="preserve"> "Hold Own"</v>
      </c>
      <c r="B115" s="260">
        <f t="shared" si="3"/>
        <v>0</v>
      </c>
      <c r="C115" s="260">
        <f t="shared" si="4"/>
        <v>0</v>
      </c>
      <c r="D115" s="344">
        <f>VLOOKUP(F115,Справочник!$A$2:$C$415,3,FALSE)</f>
        <v>0</v>
      </c>
      <c r="F115" s="362"/>
      <c r="G115" s="363"/>
      <c r="H115" s="364"/>
      <c r="I115" s="365"/>
      <c r="J115" s="365"/>
      <c r="K115" s="364"/>
      <c r="L115" s="364"/>
      <c r="M115" s="366"/>
    </row>
    <row r="116" spans="1:13" ht="15" customHeight="1">
      <c r="A116" s="344" t="str">
        <f t="shared" si="5"/>
        <v xml:space="preserve"> "Hold Own"</v>
      </c>
      <c r="B116" s="260">
        <f t="shared" si="3"/>
        <v>0</v>
      </c>
      <c r="C116" s="260">
        <f t="shared" si="4"/>
        <v>0</v>
      </c>
      <c r="D116" s="344">
        <f>VLOOKUP(F116,Справочник!$A$2:$C$415,3,FALSE)</f>
        <v>0</v>
      </c>
      <c r="F116" s="361"/>
      <c r="G116" s="357"/>
      <c r="H116" s="358"/>
      <c r="I116" s="360"/>
      <c r="J116" s="360"/>
      <c r="K116" s="358"/>
      <c r="L116" s="358"/>
      <c r="M116" s="360"/>
    </row>
    <row r="117" spans="1:13" ht="15" customHeight="1">
      <c r="A117" s="344" t="str">
        <f t="shared" si="5"/>
        <v xml:space="preserve"> "Hold Own"</v>
      </c>
      <c r="B117" s="260">
        <f t="shared" si="3"/>
        <v>0</v>
      </c>
      <c r="C117" s="260">
        <f t="shared" si="4"/>
        <v>0</v>
      </c>
      <c r="D117" s="344">
        <f>VLOOKUP(F117,Справочник!$A$2:$C$415,3,FALSE)</f>
        <v>0</v>
      </c>
      <c r="F117" s="362"/>
      <c r="G117" s="363"/>
      <c r="H117" s="366"/>
      <c r="I117" s="364"/>
      <c r="J117" s="364"/>
      <c r="K117" s="366"/>
      <c r="L117" s="366"/>
      <c r="M117" s="364"/>
    </row>
    <row r="118" spans="1:13" ht="15" customHeight="1">
      <c r="A118" s="344" t="str">
        <f t="shared" si="5"/>
        <v xml:space="preserve"> "Hold Own"</v>
      </c>
      <c r="B118" s="260">
        <f t="shared" si="3"/>
        <v>0</v>
      </c>
      <c r="C118" s="260">
        <f t="shared" si="4"/>
        <v>0</v>
      </c>
      <c r="D118" s="344">
        <f>VLOOKUP(F118,Справочник!$A$2:$C$415,3,FALSE)</f>
        <v>0</v>
      </c>
      <c r="F118" s="361"/>
      <c r="G118" s="357"/>
      <c r="H118" s="358"/>
      <c r="I118" s="360"/>
      <c r="J118" s="359"/>
      <c r="K118" s="358"/>
      <c r="L118" s="358"/>
      <c r="M118" s="360"/>
    </row>
    <row r="119" spans="1:13" ht="15" customHeight="1">
      <c r="A119" s="344" t="str">
        <f t="shared" si="5"/>
        <v xml:space="preserve"> "Hold Own"</v>
      </c>
      <c r="B119" s="260">
        <f t="shared" si="3"/>
        <v>0</v>
      </c>
      <c r="C119" s="260">
        <f t="shared" si="4"/>
        <v>0</v>
      </c>
      <c r="D119" s="344">
        <f>VLOOKUP(F119,Справочник!$A$2:$C$415,3,FALSE)</f>
        <v>0</v>
      </c>
      <c r="F119" s="362"/>
      <c r="G119" s="363"/>
      <c r="H119" s="366"/>
      <c r="I119" s="364"/>
      <c r="J119" s="365"/>
      <c r="K119" s="366"/>
      <c r="L119" s="366"/>
      <c r="M119" s="364"/>
    </row>
    <row r="120" spans="1:13" ht="15" customHeight="1">
      <c r="A120" s="344" t="str">
        <f t="shared" si="5"/>
        <v xml:space="preserve"> "Hold Own"</v>
      </c>
      <c r="B120" s="260">
        <f t="shared" si="3"/>
        <v>0</v>
      </c>
      <c r="C120" s="260">
        <f t="shared" si="4"/>
        <v>0</v>
      </c>
      <c r="D120" s="344">
        <f>VLOOKUP(F120,Справочник!$A$2:$C$415,3,FALSE)</f>
        <v>0</v>
      </c>
      <c r="F120" s="361"/>
      <c r="G120" s="357"/>
      <c r="H120" s="358"/>
      <c r="I120" s="360"/>
      <c r="J120" s="360"/>
      <c r="K120" s="360"/>
      <c r="L120" s="358"/>
      <c r="M120" s="360"/>
    </row>
    <row r="121" spans="1:13" ht="15" customHeight="1">
      <c r="A121" s="344" t="str">
        <f t="shared" si="5"/>
        <v xml:space="preserve"> "Hold Own"</v>
      </c>
      <c r="B121" s="260">
        <f t="shared" si="3"/>
        <v>0</v>
      </c>
      <c r="C121" s="260">
        <f t="shared" si="4"/>
        <v>0</v>
      </c>
      <c r="D121" s="344">
        <f>VLOOKUP(F121,Справочник!$A$2:$C$415,3,FALSE)</f>
        <v>0</v>
      </c>
      <c r="F121" s="362"/>
      <c r="G121" s="363"/>
      <c r="H121" s="366"/>
      <c r="I121" s="365"/>
      <c r="J121" s="365"/>
      <c r="K121" s="364"/>
      <c r="L121" s="366"/>
      <c r="M121" s="364"/>
    </row>
    <row r="122" spans="1:13" ht="15" customHeight="1">
      <c r="A122" s="344" t="str">
        <f t="shared" si="5"/>
        <v xml:space="preserve"> "Hold Own"</v>
      </c>
      <c r="B122" s="260">
        <f t="shared" si="3"/>
        <v>0</v>
      </c>
      <c r="C122" s="260">
        <f t="shared" si="4"/>
        <v>0</v>
      </c>
      <c r="D122" s="344">
        <f>VLOOKUP(F122,Справочник!$A$2:$C$415,3,FALSE)</f>
        <v>0</v>
      </c>
      <c r="F122" s="362"/>
      <c r="G122" s="363"/>
      <c r="H122" s="366"/>
      <c r="I122" s="365"/>
      <c r="J122" s="364"/>
      <c r="K122" s="364"/>
      <c r="L122" s="366"/>
      <c r="M122" s="364"/>
    </row>
    <row r="123" spans="1:13" ht="15" customHeight="1">
      <c r="A123" s="344" t="str">
        <f t="shared" si="5"/>
        <v xml:space="preserve"> "Hold Own"</v>
      </c>
      <c r="B123" s="260">
        <f t="shared" ref="B123:B128" si="6">IF(ISBLANK(H123)=FALSE,H123,-I123)</f>
        <v>0</v>
      </c>
      <c r="C123" s="260">
        <f t="shared" ref="C123:C128" si="7">IF(ISBLANK(L123)=FALSE,L123,-M123)</f>
        <v>0</v>
      </c>
      <c r="D123" s="344">
        <f>VLOOKUP(F123,Справочник!$A$2:$C$415,3,FALSE)</f>
        <v>0</v>
      </c>
      <c r="F123" s="362"/>
      <c r="G123" s="363"/>
      <c r="H123" s="366"/>
      <c r="I123" s="364"/>
      <c r="J123" s="364"/>
      <c r="K123" s="364"/>
      <c r="L123" s="366"/>
      <c r="M123" s="366"/>
    </row>
    <row r="124" spans="1:13" ht="15" customHeight="1">
      <c r="A124" s="344" t="str">
        <f t="shared" si="5"/>
        <v xml:space="preserve"> "Hold Own"</v>
      </c>
      <c r="B124" s="260">
        <f t="shared" si="6"/>
        <v>0</v>
      </c>
      <c r="C124" s="260">
        <f t="shared" si="7"/>
        <v>0</v>
      </c>
      <c r="D124" s="344">
        <f>VLOOKUP(F124,Справочник!$A$2:$C$415,3,FALSE)</f>
        <v>0</v>
      </c>
      <c r="F124" s="361"/>
      <c r="G124" s="357"/>
      <c r="H124" s="358"/>
      <c r="I124" s="359"/>
      <c r="J124" s="360"/>
      <c r="K124" s="360"/>
      <c r="L124" s="360"/>
      <c r="M124" s="358"/>
    </row>
    <row r="125" spans="1:13" ht="15" customHeight="1">
      <c r="A125" s="344" t="str">
        <f t="shared" si="5"/>
        <v xml:space="preserve"> "Hold Own"</v>
      </c>
      <c r="B125" s="260">
        <f t="shared" si="6"/>
        <v>0</v>
      </c>
      <c r="C125" s="260">
        <f t="shared" si="7"/>
        <v>0</v>
      </c>
      <c r="D125" s="344">
        <f>VLOOKUP(F125,Справочник!$A$2:$C$415,3,FALSE)</f>
        <v>0</v>
      </c>
      <c r="F125" s="362"/>
      <c r="G125" s="363"/>
      <c r="H125" s="366"/>
      <c r="I125" s="365"/>
      <c r="J125" s="364"/>
      <c r="K125" s="364"/>
      <c r="L125" s="364"/>
      <c r="M125" s="366"/>
    </row>
    <row r="126" spans="1:13" ht="15" customHeight="1">
      <c r="A126" s="344" t="str">
        <f t="shared" si="5"/>
        <v xml:space="preserve"> "Hold Own"</v>
      </c>
      <c r="B126" s="260">
        <f t="shared" si="6"/>
        <v>0</v>
      </c>
      <c r="C126" s="260">
        <f t="shared" si="7"/>
        <v>0</v>
      </c>
      <c r="D126" s="344">
        <f>VLOOKUP(F126,Справочник!$A$2:$C$415,3,FALSE)</f>
        <v>0</v>
      </c>
      <c r="F126" s="361"/>
      <c r="G126" s="357"/>
      <c r="H126" s="358"/>
      <c r="I126" s="360"/>
      <c r="J126" s="360"/>
      <c r="K126" s="360"/>
      <c r="L126" s="358"/>
      <c r="M126" s="360"/>
    </row>
    <row r="127" spans="1:13" ht="15" customHeight="1">
      <c r="A127" s="344" t="str">
        <f t="shared" si="5"/>
        <v xml:space="preserve"> "Hold Own"</v>
      </c>
      <c r="B127" s="260">
        <f t="shared" si="6"/>
        <v>0</v>
      </c>
      <c r="C127" s="260">
        <f t="shared" si="7"/>
        <v>0</v>
      </c>
      <c r="D127" s="344">
        <f>VLOOKUP(F127,Справочник!$A$2:$C$415,3,FALSE)</f>
        <v>0</v>
      </c>
      <c r="F127" s="362"/>
      <c r="G127" s="363"/>
      <c r="H127" s="366"/>
      <c r="I127" s="364"/>
      <c r="J127" s="365"/>
      <c r="K127" s="364"/>
      <c r="L127" s="366"/>
      <c r="M127" s="364"/>
    </row>
    <row r="128" spans="1:13" ht="15" customHeight="1">
      <c r="A128" s="344" t="str">
        <f t="shared" si="5"/>
        <v xml:space="preserve"> "Hold Own"</v>
      </c>
      <c r="B128" s="260">
        <f t="shared" si="6"/>
        <v>0</v>
      </c>
      <c r="C128" s="260">
        <f t="shared" si="7"/>
        <v>0</v>
      </c>
      <c r="D128" s="344">
        <f>VLOOKUP(F128,Справочник!$A$2:$C$415,3,FALSE)</f>
        <v>0</v>
      </c>
      <c r="F128" s="362"/>
      <c r="G128" s="363"/>
      <c r="H128" s="366"/>
      <c r="I128" s="365"/>
      <c r="J128" s="368"/>
      <c r="K128" s="366"/>
      <c r="L128" s="366"/>
      <c r="M128" s="364"/>
    </row>
    <row r="129" spans="1:13" ht="15" customHeight="1">
      <c r="A129" s="346" t="str">
        <f t="shared" si="5"/>
        <v xml:space="preserve"> "Hold Own"</v>
      </c>
      <c r="B129" s="260">
        <f t="shared" ref="B129:B171" si="8">IF(ISBLANK(H129)=FALSE,H129,-I129)</f>
        <v>0</v>
      </c>
      <c r="C129" s="260">
        <f t="shared" ref="C129:C171" si="9">IF(ISBLANK(L129)=FALSE,L129,-M129)</f>
        <v>0</v>
      </c>
      <c r="D129" s="346">
        <f>VLOOKUP(F129,Справочник!$A$2:$C$415,3,FALSE)</f>
        <v>0</v>
      </c>
      <c r="F129" s="362"/>
      <c r="G129" s="363"/>
      <c r="H129" s="366"/>
      <c r="I129" s="364"/>
      <c r="J129" s="364"/>
      <c r="K129" s="366"/>
      <c r="L129" s="366"/>
      <c r="M129" s="364"/>
    </row>
    <row r="130" spans="1:13" ht="15" customHeight="1">
      <c r="A130" s="346" t="str">
        <f t="shared" si="5"/>
        <v xml:space="preserve"> "Hold Own"</v>
      </c>
      <c r="B130" s="260">
        <f t="shared" si="8"/>
        <v>0</v>
      </c>
      <c r="C130" s="260">
        <f t="shared" si="9"/>
        <v>0</v>
      </c>
      <c r="D130" s="346">
        <f>VLOOKUP(F130,Справочник!$A$2:$C$415,3,FALSE)</f>
        <v>0</v>
      </c>
      <c r="F130" s="361"/>
      <c r="G130" s="357"/>
      <c r="H130" s="358"/>
      <c r="I130" s="359"/>
      <c r="J130" s="360"/>
      <c r="K130" s="360"/>
      <c r="L130" s="358"/>
      <c r="M130" s="358"/>
    </row>
    <row r="131" spans="1:13" ht="15" customHeight="1">
      <c r="A131" s="346" t="str">
        <f t="shared" si="5"/>
        <v xml:space="preserve"> "Hold Own"</v>
      </c>
      <c r="B131" s="260">
        <f t="shared" si="8"/>
        <v>0</v>
      </c>
      <c r="C131" s="260">
        <f t="shared" si="9"/>
        <v>0</v>
      </c>
      <c r="D131" s="346">
        <f>VLOOKUP(F131,Справочник!$A$2:$C$415,3,FALSE)</f>
        <v>0</v>
      </c>
      <c r="F131" s="362"/>
      <c r="G131" s="363"/>
      <c r="H131" s="366"/>
      <c r="I131" s="365"/>
      <c r="J131" s="364"/>
      <c r="K131" s="364"/>
      <c r="L131" s="366"/>
      <c r="M131" s="366"/>
    </row>
    <row r="132" spans="1:13" ht="15" customHeight="1">
      <c r="A132" s="346" t="str">
        <f t="shared" si="5"/>
        <v xml:space="preserve"> "Hold Own"</v>
      </c>
      <c r="B132" s="260">
        <f t="shared" si="8"/>
        <v>0</v>
      </c>
      <c r="C132" s="260">
        <f t="shared" si="9"/>
        <v>0</v>
      </c>
      <c r="D132" s="346">
        <f>VLOOKUP(F132,Справочник!$A$2:$C$415,3,FALSE)</f>
        <v>0</v>
      </c>
      <c r="F132" s="361"/>
      <c r="G132" s="357"/>
      <c r="H132" s="358"/>
      <c r="I132" s="359"/>
      <c r="J132" s="360"/>
      <c r="K132" s="360"/>
      <c r="L132" s="358"/>
      <c r="M132" s="358"/>
    </row>
    <row r="133" spans="1:13" ht="15" customHeight="1">
      <c r="A133" s="346" t="str">
        <f t="shared" si="5"/>
        <v xml:space="preserve"> "Hold Own"</v>
      </c>
      <c r="B133" s="260">
        <f t="shared" si="8"/>
        <v>0</v>
      </c>
      <c r="C133" s="260">
        <f t="shared" si="9"/>
        <v>0</v>
      </c>
      <c r="D133" s="346">
        <f>VLOOKUP(F133,Справочник!$A$2:$C$415,3,FALSE)</f>
        <v>0</v>
      </c>
      <c r="F133" s="362"/>
      <c r="G133" s="363"/>
      <c r="H133" s="366"/>
      <c r="I133" s="365"/>
      <c r="J133" s="364"/>
      <c r="K133" s="364"/>
      <c r="L133" s="366"/>
      <c r="M133" s="366"/>
    </row>
    <row r="134" spans="1:13" ht="15" customHeight="1">
      <c r="A134" s="346" t="str">
        <f t="shared" si="5"/>
        <v xml:space="preserve"> "Hold Own"</v>
      </c>
      <c r="B134" s="260">
        <f t="shared" si="8"/>
        <v>0</v>
      </c>
      <c r="C134" s="260">
        <f t="shared" si="9"/>
        <v>0</v>
      </c>
      <c r="D134" s="346">
        <f>VLOOKUP(F134,Справочник!$A$2:$C$415,3,FALSE)</f>
        <v>0</v>
      </c>
      <c r="F134" s="362"/>
      <c r="G134" s="363"/>
      <c r="H134" s="366"/>
      <c r="I134" s="365"/>
      <c r="J134" s="364"/>
      <c r="K134" s="364"/>
      <c r="L134" s="366"/>
      <c r="M134" s="366"/>
    </row>
    <row r="135" spans="1:13" ht="15" customHeight="1">
      <c r="A135" s="346" t="str">
        <f t="shared" si="5"/>
        <v xml:space="preserve"> "Hold Own"</v>
      </c>
      <c r="B135" s="260">
        <f t="shared" si="8"/>
        <v>0</v>
      </c>
      <c r="C135" s="260">
        <f t="shared" si="9"/>
        <v>0</v>
      </c>
      <c r="D135" s="346">
        <f>VLOOKUP(F135,Справочник!$A$2:$C$415,3,FALSE)</f>
        <v>0</v>
      </c>
      <c r="F135" s="362"/>
      <c r="G135" s="363"/>
      <c r="H135" s="366"/>
      <c r="I135" s="365"/>
      <c r="J135" s="364"/>
      <c r="K135" s="364"/>
      <c r="L135" s="366"/>
      <c r="M135" s="366"/>
    </row>
    <row r="136" spans="1:13" ht="15" customHeight="1">
      <c r="A136" s="346" t="str">
        <f t="shared" si="5"/>
        <v xml:space="preserve"> "Hold Own"</v>
      </c>
      <c r="B136" s="260">
        <f t="shared" si="8"/>
        <v>0</v>
      </c>
      <c r="C136" s="260">
        <f t="shared" si="9"/>
        <v>0</v>
      </c>
      <c r="D136" s="346">
        <f>VLOOKUP(F136,Справочник!$A$2:$C$415,3,FALSE)</f>
        <v>0</v>
      </c>
      <c r="F136" s="361"/>
      <c r="G136" s="357"/>
      <c r="H136" s="358"/>
      <c r="I136" s="359"/>
      <c r="J136" s="369"/>
      <c r="K136" s="369"/>
      <c r="L136" s="358"/>
      <c r="M136" s="358"/>
    </row>
    <row r="137" spans="1:13" ht="15" customHeight="1">
      <c r="A137" s="346" t="str">
        <f t="shared" si="5"/>
        <v xml:space="preserve"> "Hold Own"</v>
      </c>
      <c r="B137" s="260">
        <f t="shared" si="8"/>
        <v>0</v>
      </c>
      <c r="C137" s="260">
        <f t="shared" si="9"/>
        <v>0</v>
      </c>
      <c r="D137" s="346">
        <f>VLOOKUP(F137,Справочник!$A$2:$C$415,3,FALSE)</f>
        <v>0</v>
      </c>
      <c r="F137" s="362"/>
      <c r="G137" s="363"/>
      <c r="H137" s="366"/>
      <c r="I137" s="365"/>
      <c r="J137" s="367"/>
      <c r="K137" s="367"/>
      <c r="L137" s="366"/>
      <c r="M137" s="366"/>
    </row>
    <row r="138" spans="1:13" ht="15" customHeight="1">
      <c r="A138" s="346" t="str">
        <f t="shared" si="5"/>
        <v xml:space="preserve"> "Hold Own"</v>
      </c>
      <c r="B138" s="260">
        <f t="shared" si="8"/>
        <v>0</v>
      </c>
      <c r="C138" s="260">
        <f t="shared" si="9"/>
        <v>0</v>
      </c>
      <c r="D138" s="346">
        <f>VLOOKUP(F138,Справочник!$A$2:$C$415,3,FALSE)</f>
        <v>0</v>
      </c>
      <c r="F138" s="361"/>
      <c r="G138" s="357"/>
      <c r="H138" s="358"/>
      <c r="I138" s="359"/>
      <c r="J138" s="360"/>
      <c r="K138" s="360"/>
      <c r="L138" s="358"/>
      <c r="M138" s="358"/>
    </row>
    <row r="139" spans="1:13" ht="15" customHeight="1">
      <c r="A139" s="346" t="str">
        <f t="shared" ref="A139:A171" si="10">A138</f>
        <v xml:space="preserve"> "Hold Own"</v>
      </c>
      <c r="B139" s="260">
        <f t="shared" si="8"/>
        <v>0</v>
      </c>
      <c r="C139" s="260">
        <f t="shared" si="9"/>
        <v>0</v>
      </c>
      <c r="D139" s="346">
        <f>VLOOKUP(F139,Справочник!$A$2:$C$415,3,FALSE)</f>
        <v>0</v>
      </c>
      <c r="F139" s="362"/>
      <c r="G139" s="363"/>
      <c r="H139" s="366"/>
      <c r="I139" s="365"/>
      <c r="J139" s="364"/>
      <c r="K139" s="364"/>
      <c r="L139" s="366"/>
      <c r="M139" s="366"/>
    </row>
    <row r="140" spans="1:13" ht="15" customHeight="1">
      <c r="A140" s="346" t="str">
        <f t="shared" si="10"/>
        <v xml:space="preserve"> "Hold Own"</v>
      </c>
      <c r="B140" s="260">
        <f t="shared" si="8"/>
        <v>0</v>
      </c>
      <c r="C140" s="260">
        <f t="shared" si="9"/>
        <v>0</v>
      </c>
      <c r="D140" s="346">
        <f>VLOOKUP(F140,Справочник!$A$2:$C$415,3,FALSE)</f>
        <v>0</v>
      </c>
      <c r="F140" s="362"/>
      <c r="G140" s="363"/>
      <c r="H140" s="366"/>
      <c r="I140" s="365"/>
      <c r="J140" s="364"/>
      <c r="K140" s="364"/>
      <c r="L140" s="366"/>
      <c r="M140" s="366"/>
    </row>
    <row r="141" spans="1:13" ht="15" customHeight="1">
      <c r="A141" s="346" t="str">
        <f t="shared" si="10"/>
        <v xml:space="preserve"> "Hold Own"</v>
      </c>
      <c r="B141" s="260">
        <f t="shared" si="8"/>
        <v>0</v>
      </c>
      <c r="C141" s="260">
        <f t="shared" si="9"/>
        <v>0</v>
      </c>
      <c r="D141" s="346">
        <f>VLOOKUP(F141,Справочник!$A$2:$C$415,3,FALSE)</f>
        <v>0</v>
      </c>
      <c r="F141" s="362"/>
      <c r="G141" s="363"/>
      <c r="H141" s="366"/>
      <c r="I141" s="365"/>
      <c r="J141" s="364"/>
      <c r="K141" s="364"/>
      <c r="L141" s="366"/>
      <c r="M141" s="366"/>
    </row>
    <row r="142" spans="1:13" ht="15" customHeight="1">
      <c r="A142" s="346" t="str">
        <f t="shared" si="10"/>
        <v xml:space="preserve"> "Hold Own"</v>
      </c>
      <c r="B142" s="260">
        <f t="shared" si="8"/>
        <v>0</v>
      </c>
      <c r="C142" s="260">
        <f t="shared" si="9"/>
        <v>0</v>
      </c>
      <c r="D142" s="346">
        <f>VLOOKUP(F142,Справочник!$A$2:$C$415,3,FALSE)</f>
        <v>0</v>
      </c>
      <c r="F142" s="362"/>
      <c r="G142" s="363"/>
      <c r="H142" s="366"/>
      <c r="I142" s="365"/>
      <c r="J142" s="364"/>
      <c r="K142" s="364"/>
      <c r="L142" s="366"/>
      <c r="M142" s="366"/>
    </row>
    <row r="143" spans="1:13" ht="15" customHeight="1">
      <c r="A143" s="346" t="str">
        <f t="shared" si="10"/>
        <v xml:space="preserve"> "Hold Own"</v>
      </c>
      <c r="B143" s="260">
        <f t="shared" si="8"/>
        <v>0</v>
      </c>
      <c r="C143" s="260">
        <f t="shared" si="9"/>
        <v>0</v>
      </c>
      <c r="D143" s="346">
        <f>VLOOKUP(F143,Справочник!$A$2:$C$415,3,FALSE)</f>
        <v>0</v>
      </c>
      <c r="F143" s="362"/>
      <c r="G143" s="363"/>
      <c r="H143" s="366"/>
      <c r="I143" s="365"/>
      <c r="J143" s="364"/>
      <c r="K143" s="364"/>
      <c r="L143" s="366"/>
      <c r="M143" s="366"/>
    </row>
    <row r="144" spans="1:13" ht="15" customHeight="1">
      <c r="A144" s="346" t="str">
        <f t="shared" si="10"/>
        <v xml:space="preserve"> "Hold Own"</v>
      </c>
      <c r="B144" s="260">
        <f t="shared" si="8"/>
        <v>0</v>
      </c>
      <c r="C144" s="260">
        <f t="shared" si="9"/>
        <v>0</v>
      </c>
      <c r="D144" s="346">
        <f>VLOOKUP(F144,Справочник!$A$2:$C$415,3,FALSE)</f>
        <v>0</v>
      </c>
      <c r="F144" s="362"/>
      <c r="G144" s="363"/>
      <c r="H144" s="366"/>
      <c r="I144" s="365"/>
      <c r="J144" s="364"/>
      <c r="K144" s="364"/>
      <c r="L144" s="366"/>
      <c r="M144" s="366"/>
    </row>
    <row r="145" spans="1:13" ht="15" customHeight="1">
      <c r="A145" s="346" t="str">
        <f t="shared" si="10"/>
        <v xml:space="preserve"> "Hold Own"</v>
      </c>
      <c r="B145" s="260">
        <f t="shared" si="8"/>
        <v>0</v>
      </c>
      <c r="C145" s="260">
        <f t="shared" si="9"/>
        <v>0</v>
      </c>
      <c r="D145" s="346">
        <f>VLOOKUP(F145,Справочник!$A$2:$C$415,3,FALSE)</f>
        <v>0</v>
      </c>
      <c r="F145" s="361"/>
      <c r="G145" s="357"/>
      <c r="H145" s="358"/>
      <c r="I145" s="359"/>
      <c r="J145" s="360"/>
      <c r="K145" s="360"/>
      <c r="L145" s="369"/>
      <c r="M145" s="358"/>
    </row>
    <row r="146" spans="1:13" ht="15" customHeight="1">
      <c r="A146" s="346" t="str">
        <f t="shared" si="10"/>
        <v xml:space="preserve"> "Hold Own"</v>
      </c>
      <c r="B146" s="260">
        <f t="shared" si="8"/>
        <v>0</v>
      </c>
      <c r="C146" s="260">
        <f t="shared" si="9"/>
        <v>0</v>
      </c>
      <c r="D146" s="346">
        <f>VLOOKUP(F146,Справочник!$A$2:$C$415,3,FALSE)</f>
        <v>0</v>
      </c>
      <c r="F146" s="361"/>
      <c r="G146" s="357"/>
      <c r="H146" s="358"/>
      <c r="I146" s="359"/>
      <c r="J146" s="369"/>
      <c r="K146" s="369"/>
      <c r="L146" s="358"/>
      <c r="M146" s="358"/>
    </row>
    <row r="147" spans="1:13" ht="15" customHeight="1">
      <c r="A147" s="346" t="str">
        <f t="shared" si="10"/>
        <v xml:space="preserve"> "Hold Own"</v>
      </c>
      <c r="B147" s="260">
        <f t="shared" si="8"/>
        <v>0</v>
      </c>
      <c r="C147" s="260">
        <f t="shared" si="9"/>
        <v>0</v>
      </c>
      <c r="D147" s="346">
        <f>VLOOKUP(F147,Справочник!$A$2:$C$415,3,FALSE)</f>
        <v>0</v>
      </c>
      <c r="F147" s="362"/>
      <c r="G147" s="363"/>
      <c r="H147" s="366"/>
      <c r="I147" s="365"/>
      <c r="J147" s="364"/>
      <c r="K147" s="364"/>
      <c r="L147" s="366"/>
      <c r="M147" s="366"/>
    </row>
    <row r="148" spans="1:13" ht="15" customHeight="1">
      <c r="A148" s="346" t="str">
        <f t="shared" si="10"/>
        <v xml:space="preserve"> "Hold Own"</v>
      </c>
      <c r="B148" s="260">
        <f t="shared" si="8"/>
        <v>0</v>
      </c>
      <c r="C148" s="260">
        <f t="shared" si="9"/>
        <v>0</v>
      </c>
      <c r="D148" s="346">
        <f>VLOOKUP(F148,Справочник!$A$2:$C$415,3,FALSE)</f>
        <v>0</v>
      </c>
      <c r="F148" s="362"/>
      <c r="G148" s="363"/>
      <c r="H148" s="366"/>
      <c r="I148" s="365"/>
      <c r="J148" s="364"/>
      <c r="K148" s="364"/>
      <c r="L148" s="367"/>
      <c r="M148" s="366"/>
    </row>
    <row r="149" spans="1:13" ht="15" customHeight="1">
      <c r="A149" s="346" t="str">
        <f t="shared" si="10"/>
        <v xml:space="preserve"> "Hold Own"</v>
      </c>
      <c r="B149" s="260">
        <f t="shared" si="8"/>
        <v>0</v>
      </c>
      <c r="C149" s="260">
        <f t="shared" si="9"/>
        <v>0</v>
      </c>
      <c r="D149" s="346">
        <f>VLOOKUP(F149,Справочник!$A$2:$C$415,3,FALSE)</f>
        <v>0</v>
      </c>
      <c r="F149" s="362"/>
      <c r="G149" s="363"/>
      <c r="H149" s="366"/>
      <c r="I149" s="365"/>
      <c r="J149" s="364"/>
      <c r="K149" s="364"/>
      <c r="L149" s="366"/>
      <c r="M149" s="366"/>
    </row>
    <row r="150" spans="1:13" ht="15" customHeight="1">
      <c r="A150" s="346" t="str">
        <f t="shared" si="10"/>
        <v xml:space="preserve"> "Hold Own"</v>
      </c>
      <c r="B150" s="260">
        <f t="shared" si="8"/>
        <v>0</v>
      </c>
      <c r="C150" s="260">
        <f t="shared" si="9"/>
        <v>0</v>
      </c>
      <c r="D150" s="346">
        <f>VLOOKUP(F150,Справочник!$A$2:$C$415,3,FALSE)</f>
        <v>0</v>
      </c>
      <c r="F150" s="362"/>
      <c r="G150" s="363"/>
      <c r="H150" s="366"/>
      <c r="I150" s="365"/>
      <c r="J150" s="364"/>
      <c r="K150" s="364"/>
      <c r="L150" s="366"/>
      <c r="M150" s="366"/>
    </row>
    <row r="151" spans="1:13" ht="15" customHeight="1">
      <c r="A151" s="346" t="str">
        <f t="shared" si="10"/>
        <v xml:space="preserve"> "Hold Own"</v>
      </c>
      <c r="B151" s="260">
        <f t="shared" si="8"/>
        <v>0</v>
      </c>
      <c r="C151" s="260">
        <f t="shared" si="9"/>
        <v>0</v>
      </c>
      <c r="D151" s="346">
        <f>VLOOKUP(F151,Справочник!$A$2:$C$415,3,FALSE)</f>
        <v>0</v>
      </c>
      <c r="F151" s="361"/>
      <c r="G151" s="357"/>
      <c r="H151" s="358"/>
      <c r="I151" s="359"/>
      <c r="J151" s="360"/>
      <c r="K151" s="360"/>
      <c r="L151" s="358"/>
      <c r="M151" s="358"/>
    </row>
    <row r="152" spans="1:13" ht="15" customHeight="1">
      <c r="A152" s="346" t="str">
        <f t="shared" si="10"/>
        <v xml:space="preserve"> "Hold Own"</v>
      </c>
      <c r="B152" s="260">
        <f t="shared" si="8"/>
        <v>0</v>
      </c>
      <c r="C152" s="260">
        <f t="shared" si="9"/>
        <v>0</v>
      </c>
      <c r="D152" s="346">
        <f>VLOOKUP(F152,Справочник!$A$2:$C$415,3,FALSE)</f>
        <v>0</v>
      </c>
      <c r="F152" s="362"/>
      <c r="G152" s="363"/>
      <c r="H152" s="366"/>
      <c r="I152" s="365"/>
      <c r="J152" s="364"/>
      <c r="K152" s="364"/>
      <c r="L152" s="366"/>
      <c r="M152" s="366"/>
    </row>
    <row r="153" spans="1:13" ht="15" customHeight="1">
      <c r="A153" s="346" t="str">
        <f t="shared" si="10"/>
        <v xml:space="preserve"> "Hold Own"</v>
      </c>
      <c r="B153" s="260">
        <f t="shared" si="8"/>
        <v>0</v>
      </c>
      <c r="C153" s="260">
        <f t="shared" si="9"/>
        <v>0</v>
      </c>
      <c r="D153" s="346">
        <f>VLOOKUP(F153,Справочник!$A$2:$C$415,3,FALSE)</f>
        <v>0</v>
      </c>
      <c r="F153" s="362"/>
      <c r="G153" s="363"/>
      <c r="H153" s="366"/>
      <c r="I153" s="365"/>
      <c r="J153" s="364"/>
      <c r="K153" s="364"/>
      <c r="L153" s="366"/>
      <c r="M153" s="366"/>
    </row>
    <row r="154" spans="1:13" ht="15" customHeight="1">
      <c r="A154" s="346" t="str">
        <f t="shared" si="10"/>
        <v xml:space="preserve"> "Hold Own"</v>
      </c>
      <c r="B154" s="260">
        <f t="shared" si="8"/>
        <v>0</v>
      </c>
      <c r="C154" s="260">
        <f t="shared" si="9"/>
        <v>0</v>
      </c>
      <c r="D154" s="346">
        <f>VLOOKUP(F154,Справочник!$A$2:$C$415,3,FALSE)</f>
        <v>0</v>
      </c>
      <c r="F154" s="361"/>
      <c r="G154" s="357"/>
      <c r="H154" s="358"/>
      <c r="I154" s="359"/>
      <c r="J154" s="360"/>
      <c r="K154" s="360"/>
      <c r="L154" s="358"/>
      <c r="M154" s="358"/>
    </row>
    <row r="155" spans="1:13" ht="15" customHeight="1">
      <c r="A155" s="346" t="str">
        <f t="shared" si="10"/>
        <v xml:space="preserve"> "Hold Own"</v>
      </c>
      <c r="B155" s="260">
        <f t="shared" si="8"/>
        <v>0</v>
      </c>
      <c r="C155" s="260">
        <f t="shared" si="9"/>
        <v>0</v>
      </c>
      <c r="D155" s="346">
        <f>VLOOKUP(F155,Справочник!$A$2:$C$415,3,FALSE)</f>
        <v>0</v>
      </c>
      <c r="F155" s="362"/>
      <c r="G155" s="363"/>
      <c r="H155" s="366"/>
      <c r="I155" s="365"/>
      <c r="J155" s="364"/>
      <c r="K155" s="364"/>
      <c r="L155" s="366"/>
      <c r="M155" s="366"/>
    </row>
    <row r="156" spans="1:13" ht="15" customHeight="1">
      <c r="A156" s="346" t="str">
        <f t="shared" si="10"/>
        <v xml:space="preserve"> "Hold Own"</v>
      </c>
      <c r="B156" s="260">
        <f t="shared" si="8"/>
        <v>0</v>
      </c>
      <c r="C156" s="260">
        <f t="shared" si="9"/>
        <v>0</v>
      </c>
      <c r="D156" s="346">
        <f>VLOOKUP(F156,Справочник!$A$2:$C$415,3,FALSE)</f>
        <v>0</v>
      </c>
      <c r="F156" s="362"/>
      <c r="G156" s="363"/>
      <c r="H156" s="366"/>
      <c r="I156" s="365"/>
      <c r="J156" s="364"/>
      <c r="K156" s="364"/>
      <c r="L156" s="366"/>
      <c r="M156" s="366"/>
    </row>
    <row r="157" spans="1:13" ht="15" customHeight="1">
      <c r="A157" s="346" t="str">
        <f t="shared" si="10"/>
        <v xml:space="preserve"> "Hold Own"</v>
      </c>
      <c r="B157" s="260">
        <f t="shared" si="8"/>
        <v>0</v>
      </c>
      <c r="C157" s="260">
        <f t="shared" si="9"/>
        <v>0</v>
      </c>
      <c r="D157" s="346">
        <f>VLOOKUP(F157,Справочник!$A$2:$C$415,3,FALSE)</f>
        <v>0</v>
      </c>
      <c r="F157" s="361"/>
      <c r="G157" s="357"/>
      <c r="H157" s="358"/>
      <c r="I157" s="359"/>
      <c r="J157" s="360"/>
      <c r="K157" s="360"/>
      <c r="L157" s="358"/>
      <c r="M157" s="358"/>
    </row>
    <row r="158" spans="1:13" ht="15" customHeight="1">
      <c r="A158" s="346" t="str">
        <f t="shared" si="10"/>
        <v xml:space="preserve"> "Hold Own"</v>
      </c>
      <c r="B158" s="260">
        <f t="shared" si="8"/>
        <v>0</v>
      </c>
      <c r="C158" s="260">
        <f t="shared" si="9"/>
        <v>0</v>
      </c>
      <c r="D158" s="346">
        <f>VLOOKUP(F158,Справочник!$A$2:$C$415,3,FALSE)</f>
        <v>0</v>
      </c>
      <c r="F158" s="362"/>
      <c r="G158" s="363"/>
      <c r="H158" s="366"/>
      <c r="I158" s="365"/>
      <c r="J158" s="364"/>
      <c r="K158" s="364"/>
      <c r="L158" s="366"/>
      <c r="M158" s="366"/>
    </row>
    <row r="159" spans="1:13" ht="15" customHeight="1">
      <c r="A159" s="346" t="str">
        <f t="shared" si="10"/>
        <v xml:space="preserve"> "Hold Own"</v>
      </c>
      <c r="B159" s="260">
        <f t="shared" si="8"/>
        <v>0</v>
      </c>
      <c r="C159" s="260">
        <f t="shared" si="9"/>
        <v>0</v>
      </c>
      <c r="D159" s="346">
        <f>VLOOKUP(F159,Справочник!$A$2:$C$415,3,FALSE)</f>
        <v>0</v>
      </c>
      <c r="F159" s="362"/>
      <c r="G159" s="363"/>
      <c r="H159" s="366"/>
      <c r="I159" s="365"/>
      <c r="J159" s="364"/>
      <c r="K159" s="364"/>
      <c r="L159" s="366"/>
      <c r="M159" s="366"/>
    </row>
    <row r="160" spans="1:13" ht="15" customHeight="1">
      <c r="A160" s="346" t="str">
        <f t="shared" si="10"/>
        <v xml:space="preserve"> "Hold Own"</v>
      </c>
      <c r="B160" s="260">
        <f t="shared" si="8"/>
        <v>0</v>
      </c>
      <c r="C160" s="260">
        <f t="shared" si="9"/>
        <v>0</v>
      </c>
      <c r="D160" s="346">
        <f>VLOOKUP(F160,Справочник!$A$2:$C$415,3,FALSE)</f>
        <v>0</v>
      </c>
      <c r="F160" s="362"/>
      <c r="G160" s="363"/>
      <c r="H160" s="366"/>
      <c r="I160" s="365"/>
      <c r="J160" s="364"/>
      <c r="K160" s="364"/>
      <c r="L160" s="366"/>
      <c r="M160" s="366"/>
    </row>
    <row r="161" spans="1:13" ht="15" customHeight="1">
      <c r="A161" s="346" t="str">
        <f t="shared" si="10"/>
        <v xml:space="preserve"> "Hold Own"</v>
      </c>
      <c r="B161" s="260">
        <f t="shared" si="8"/>
        <v>0</v>
      </c>
      <c r="C161" s="260">
        <f t="shared" si="9"/>
        <v>0</v>
      </c>
      <c r="D161" s="346">
        <f>VLOOKUP(F161,Справочник!$A$2:$C$415,3,FALSE)</f>
        <v>0</v>
      </c>
      <c r="F161" s="361"/>
      <c r="G161" s="357"/>
      <c r="H161" s="358"/>
      <c r="I161" s="359"/>
      <c r="J161" s="360"/>
      <c r="K161" s="360"/>
      <c r="L161" s="358"/>
      <c r="M161" s="358"/>
    </row>
    <row r="162" spans="1:13" ht="15" customHeight="1">
      <c r="A162" s="346" t="str">
        <f t="shared" si="10"/>
        <v xml:space="preserve"> "Hold Own"</v>
      </c>
      <c r="B162" s="260">
        <f t="shared" si="8"/>
        <v>0</v>
      </c>
      <c r="C162" s="260">
        <f t="shared" si="9"/>
        <v>0</v>
      </c>
      <c r="D162" s="346">
        <f>VLOOKUP(F162,Справочник!$A$2:$C$415,3,FALSE)</f>
        <v>0</v>
      </c>
      <c r="F162" s="362"/>
      <c r="G162" s="363"/>
      <c r="H162" s="366"/>
      <c r="I162" s="365"/>
      <c r="J162" s="364"/>
      <c r="K162" s="364"/>
      <c r="L162" s="366"/>
      <c r="M162" s="366"/>
    </row>
    <row r="163" spans="1:13" ht="15" customHeight="1">
      <c r="A163" s="346" t="str">
        <f t="shared" si="10"/>
        <v xml:space="preserve"> "Hold Own"</v>
      </c>
      <c r="B163" s="260">
        <f t="shared" si="8"/>
        <v>0</v>
      </c>
      <c r="C163" s="260">
        <f t="shared" si="9"/>
        <v>0</v>
      </c>
      <c r="D163" s="346">
        <f>VLOOKUP(F163,Справочник!$A$2:$C$415,3,FALSE)</f>
        <v>0</v>
      </c>
      <c r="F163" s="362"/>
      <c r="G163" s="363"/>
      <c r="H163" s="366"/>
      <c r="I163" s="365"/>
      <c r="J163" s="364"/>
      <c r="K163" s="364"/>
      <c r="L163" s="366"/>
      <c r="M163" s="366"/>
    </row>
    <row r="164" spans="1:13" ht="15" customHeight="1">
      <c r="A164" s="346" t="str">
        <f t="shared" si="10"/>
        <v xml:space="preserve"> "Hold Own"</v>
      </c>
      <c r="B164" s="260">
        <f t="shared" si="8"/>
        <v>0</v>
      </c>
      <c r="C164" s="260">
        <f t="shared" si="9"/>
        <v>0</v>
      </c>
      <c r="D164" s="346">
        <f>VLOOKUP(F164,Справочник!$A$2:$C$415,3,FALSE)</f>
        <v>0</v>
      </c>
      <c r="F164" s="362"/>
      <c r="G164" s="363"/>
      <c r="H164" s="366"/>
      <c r="I164" s="365"/>
      <c r="J164" s="364"/>
      <c r="K164" s="364"/>
      <c r="L164" s="366"/>
      <c r="M164" s="366"/>
    </row>
    <row r="165" spans="1:13" ht="15" customHeight="1">
      <c r="A165" s="346" t="str">
        <f t="shared" si="10"/>
        <v xml:space="preserve"> "Hold Own"</v>
      </c>
      <c r="B165" s="260">
        <f t="shared" si="8"/>
        <v>0</v>
      </c>
      <c r="C165" s="260">
        <f t="shared" si="9"/>
        <v>0</v>
      </c>
      <c r="D165" s="346">
        <f>VLOOKUP(F165,Справочник!$A$2:$C$415,3,FALSE)</f>
        <v>0</v>
      </c>
      <c r="F165" s="362"/>
      <c r="G165" s="363"/>
      <c r="H165" s="366"/>
      <c r="I165" s="365"/>
      <c r="J165" s="364"/>
      <c r="K165" s="364"/>
      <c r="L165" s="366"/>
      <c r="M165" s="366"/>
    </row>
    <row r="166" spans="1:13" ht="15" customHeight="1">
      <c r="A166" s="346" t="str">
        <f t="shared" si="10"/>
        <v xml:space="preserve"> "Hold Own"</v>
      </c>
      <c r="B166" s="260">
        <f t="shared" si="8"/>
        <v>0</v>
      </c>
      <c r="C166" s="260">
        <f t="shared" si="9"/>
        <v>0</v>
      </c>
      <c r="D166" s="346">
        <f>VLOOKUP(F166,Справочник!$A$2:$C$415,3,FALSE)</f>
        <v>0</v>
      </c>
      <c r="F166" s="362"/>
      <c r="G166" s="363"/>
      <c r="H166" s="366"/>
      <c r="I166" s="365"/>
      <c r="J166" s="364"/>
      <c r="K166" s="364"/>
      <c r="L166" s="366"/>
      <c r="M166" s="366"/>
    </row>
    <row r="167" spans="1:13" ht="15" customHeight="1">
      <c r="A167" s="346" t="str">
        <f t="shared" si="10"/>
        <v xml:space="preserve"> "Hold Own"</v>
      </c>
      <c r="B167" s="260">
        <f t="shared" si="8"/>
        <v>0</v>
      </c>
      <c r="C167" s="260">
        <f t="shared" si="9"/>
        <v>0</v>
      </c>
      <c r="D167" s="346">
        <f>VLOOKUP(F167,Справочник!$A$2:$C$415,3,FALSE)</f>
        <v>0</v>
      </c>
      <c r="F167" s="361"/>
      <c r="G167" s="357"/>
      <c r="H167" s="358"/>
      <c r="I167" s="359"/>
      <c r="J167" s="360"/>
      <c r="K167" s="360"/>
      <c r="L167" s="358"/>
      <c r="M167" s="358"/>
    </row>
    <row r="168" spans="1:13" ht="15" customHeight="1">
      <c r="A168" s="346" t="str">
        <f t="shared" si="10"/>
        <v xml:space="preserve"> "Hold Own"</v>
      </c>
      <c r="B168" s="260">
        <f t="shared" si="8"/>
        <v>0</v>
      </c>
      <c r="C168" s="260">
        <f t="shared" si="9"/>
        <v>0</v>
      </c>
      <c r="D168" s="346">
        <f>VLOOKUP(F168,Справочник!$A$2:$C$415,3,FALSE)</f>
        <v>0</v>
      </c>
      <c r="F168" s="362"/>
      <c r="G168" s="363"/>
      <c r="H168" s="366"/>
      <c r="I168" s="365"/>
      <c r="J168" s="364"/>
      <c r="K168" s="364"/>
      <c r="L168" s="366"/>
      <c r="M168" s="366"/>
    </row>
    <row r="169" spans="1:13" ht="15" customHeight="1">
      <c r="A169" s="346" t="str">
        <f t="shared" si="10"/>
        <v xml:space="preserve"> "Hold Own"</v>
      </c>
      <c r="B169" s="260">
        <f t="shared" si="8"/>
        <v>0</v>
      </c>
      <c r="C169" s="260">
        <f t="shared" si="9"/>
        <v>0</v>
      </c>
      <c r="D169" s="346">
        <f>VLOOKUP(F169,Справочник!$A$2:$C$415,3,FALSE)</f>
        <v>0</v>
      </c>
      <c r="F169" s="361"/>
      <c r="G169" s="357"/>
      <c r="H169" s="358"/>
      <c r="I169" s="359"/>
      <c r="J169" s="360"/>
      <c r="K169" s="360"/>
      <c r="L169" s="358"/>
      <c r="M169" s="358"/>
    </row>
    <row r="170" spans="1:13" ht="15" customHeight="1">
      <c r="A170" s="346" t="str">
        <f t="shared" si="10"/>
        <v xml:space="preserve"> "Hold Own"</v>
      </c>
      <c r="B170" s="260">
        <f t="shared" si="8"/>
        <v>0</v>
      </c>
      <c r="C170" s="260">
        <f t="shared" si="9"/>
        <v>0</v>
      </c>
      <c r="D170" s="346">
        <f>VLOOKUP(F170,Справочник!$A$2:$C$415,3,FALSE)</f>
        <v>0</v>
      </c>
      <c r="F170" s="362"/>
      <c r="G170" s="363"/>
      <c r="H170" s="366"/>
      <c r="I170" s="365"/>
      <c r="J170" s="364"/>
      <c r="K170" s="364"/>
      <c r="L170" s="366"/>
      <c r="M170" s="366"/>
    </row>
    <row r="171" spans="1:13" ht="15" customHeight="1">
      <c r="A171" s="346" t="str">
        <f t="shared" si="10"/>
        <v xml:space="preserve"> "Hold Own"</v>
      </c>
      <c r="B171" s="260">
        <f t="shared" si="8"/>
        <v>0</v>
      </c>
      <c r="C171" s="260">
        <f t="shared" si="9"/>
        <v>0</v>
      </c>
      <c r="D171" s="346">
        <f>VLOOKUP(F171,Справочник!$A$2:$C$415,3,FALSE)</f>
        <v>0</v>
      </c>
      <c r="F171" s="353"/>
      <c r="G171" s="353"/>
      <c r="H171" s="370"/>
      <c r="I171" s="370"/>
      <c r="J171" s="370"/>
      <c r="K171" s="370"/>
      <c r="L171" s="370"/>
      <c r="M171" s="370"/>
    </row>
    <row r="172" spans="1:13" ht="15" customHeight="1">
      <c r="F172" s="352"/>
      <c r="G172" s="352"/>
      <c r="H172" s="352"/>
      <c r="I172" s="352"/>
      <c r="J172" s="352"/>
      <c r="K172" s="352"/>
      <c r="L172" s="352"/>
      <c r="M172" s="352"/>
    </row>
    <row r="173" spans="1:13" ht="15" customHeight="1">
      <c r="F173" s="351"/>
      <c r="G173" s="351"/>
      <c r="H173" s="351"/>
      <c r="I173" s="351"/>
      <c r="J173" s="351"/>
      <c r="K173" s="351"/>
      <c r="L173" s="351"/>
      <c r="M173" s="351"/>
    </row>
    <row r="174" spans="1:13" ht="15" customHeight="1">
      <c r="F174" s="354"/>
      <c r="G174" s="354"/>
      <c r="H174" s="355"/>
      <c r="I174" s="355"/>
      <c r="J174" s="352"/>
      <c r="K174" s="352"/>
      <c r="L174" s="352"/>
      <c r="M174" s="352"/>
    </row>
    <row r="175" spans="1:13" ht="15" customHeight="1">
      <c r="F175" s="352"/>
      <c r="G175" s="352"/>
      <c r="H175" s="356"/>
      <c r="I175" s="356"/>
      <c r="J175" s="352"/>
      <c r="K175" s="352"/>
      <c r="L175" s="352"/>
      <c r="M175" s="352"/>
    </row>
    <row r="176" spans="1:13" ht="15" customHeight="1">
      <c r="F176" s="351"/>
      <c r="G176" s="351"/>
      <c r="H176" s="351"/>
      <c r="I176" s="351"/>
      <c r="J176" s="351"/>
      <c r="K176" s="351"/>
      <c r="L176" s="351"/>
      <c r="M176" s="351"/>
    </row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autoFilter ref="A7:M171">
    <filterColumn colId="6" showButton="0"/>
  </autoFilter>
  <mergeCells count="11">
    <mergeCell ref="J6:K6"/>
    <mergeCell ref="L6:M6"/>
    <mergeCell ref="F6:F7"/>
    <mergeCell ref="G6:G7"/>
    <mergeCell ref="F111:G111"/>
    <mergeCell ref="F71:G71"/>
    <mergeCell ref="B2:C2"/>
    <mergeCell ref="B3:C3"/>
    <mergeCell ref="B4:C4"/>
    <mergeCell ref="H6:I6"/>
    <mergeCell ref="F98:G9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6"/>
  <sheetViews>
    <sheetView topLeftCell="F43" workbookViewId="0">
      <selection activeCell="I72" sqref="I72"/>
    </sheetView>
  </sheetViews>
  <sheetFormatPr defaultRowHeight="15" outlineLevelCol="1"/>
  <cols>
    <col min="1" max="1" width="26.42578125" style="467" customWidth="1" outlineLevel="1"/>
    <col min="2" max="2" width="23.85546875" style="138" customWidth="1" outlineLevel="1"/>
    <col min="3" max="3" width="22.85546875" style="138" customWidth="1" outlineLevel="1"/>
    <col min="4" max="5" width="9.140625" style="467" customWidth="1" outlineLevel="1"/>
    <col min="6" max="6" width="10.5703125" style="137" customWidth="1"/>
    <col min="7" max="7" width="74" style="137" bestFit="1" customWidth="1"/>
    <col min="8" max="8" width="15.85546875" style="137" bestFit="1" customWidth="1"/>
    <col min="9" max="9" width="16.42578125" style="137" bestFit="1" customWidth="1"/>
    <col min="10" max="12" width="15.85546875" style="137" bestFit="1" customWidth="1"/>
    <col min="13" max="13" width="16.42578125" style="137" bestFit="1" customWidth="1"/>
    <col min="14" max="16384" width="9.140625" style="467"/>
  </cols>
  <sheetData>
    <row r="1" spans="1:13">
      <c r="F1" s="371"/>
      <c r="G1" s="343"/>
      <c r="H1" s="343"/>
      <c r="I1" s="343"/>
      <c r="J1" s="343"/>
      <c r="K1" s="343"/>
      <c r="L1" s="343"/>
      <c r="M1" s="343"/>
    </row>
    <row r="2" spans="1:13" ht="15.75">
      <c r="B2" s="672"/>
      <c r="C2" s="672"/>
      <c r="F2" s="481" t="s">
        <v>737</v>
      </c>
      <c r="G2" s="482"/>
      <c r="H2" s="347"/>
      <c r="I2" s="347"/>
      <c r="J2" s="347"/>
      <c r="K2" s="347"/>
      <c r="L2" s="347"/>
      <c r="M2" s="347"/>
    </row>
    <row r="3" spans="1:13">
      <c r="B3" s="673"/>
      <c r="C3" s="673"/>
      <c r="F3" s="348"/>
      <c r="G3" s="348"/>
      <c r="H3" s="348"/>
      <c r="I3" s="348"/>
      <c r="J3" s="348"/>
      <c r="K3" s="348"/>
      <c r="L3" s="348"/>
      <c r="M3" s="348"/>
    </row>
    <row r="4" spans="1:13">
      <c r="B4" s="674"/>
      <c r="C4" s="674"/>
      <c r="F4" s="349" t="s">
        <v>359</v>
      </c>
      <c r="G4" s="349"/>
      <c r="H4" s="349"/>
      <c r="I4" s="349"/>
      <c r="J4" s="349"/>
      <c r="K4" s="349"/>
      <c r="L4" s="349"/>
      <c r="M4" s="349"/>
    </row>
    <row r="5" spans="1:13" ht="15.75" thickBot="1">
      <c r="B5" s="257"/>
      <c r="C5" s="257"/>
      <c r="F5" s="343"/>
      <c r="G5" s="343"/>
      <c r="H5" s="343"/>
      <c r="I5" s="343"/>
      <c r="J5" s="343"/>
      <c r="K5" s="343"/>
      <c r="L5" s="343"/>
      <c r="M5" s="343"/>
    </row>
    <row r="6" spans="1:13">
      <c r="B6" s="313" t="s">
        <v>361</v>
      </c>
      <c r="C6" s="314" t="s">
        <v>363</v>
      </c>
      <c r="F6" s="677" t="s">
        <v>360</v>
      </c>
      <c r="G6" s="675" t="s">
        <v>78</v>
      </c>
      <c r="H6" s="675" t="s">
        <v>361</v>
      </c>
      <c r="I6" s="675"/>
      <c r="J6" s="675" t="s">
        <v>367</v>
      </c>
      <c r="K6" s="675"/>
      <c r="L6" s="675" t="s">
        <v>363</v>
      </c>
      <c r="M6" s="675"/>
    </row>
    <row r="7" spans="1:13" ht="15.75" thickBot="1">
      <c r="B7" s="258" t="s">
        <v>364</v>
      </c>
      <c r="C7" s="259" t="s">
        <v>364</v>
      </c>
      <c r="F7" s="677"/>
      <c r="G7" s="675"/>
      <c r="H7" s="468" t="s">
        <v>364</v>
      </c>
      <c r="I7" s="468" t="s">
        <v>365</v>
      </c>
      <c r="J7" s="468" t="s">
        <v>364</v>
      </c>
      <c r="K7" s="468" t="s">
        <v>365</v>
      </c>
      <c r="L7" s="468" t="s">
        <v>364</v>
      </c>
      <c r="M7" s="468" t="s">
        <v>365</v>
      </c>
    </row>
    <row r="8" spans="1:13">
      <c r="A8" s="316" t="s">
        <v>741</v>
      </c>
      <c r="B8" s="260">
        <f t="shared" ref="B8:B71" si="0">IF(ISBLANK(H8)=FALSE,H8,-I8)</f>
        <v>715406782.14999998</v>
      </c>
      <c r="C8" s="260">
        <f>IF(ISBLANK(L8)=FALSE,L8,-M8)</f>
        <v>702802768.25</v>
      </c>
      <c r="F8" s="440">
        <v>1000</v>
      </c>
      <c r="G8" s="437" t="s">
        <v>72</v>
      </c>
      <c r="H8" s="439">
        <v>715406782.14999998</v>
      </c>
      <c r="I8" s="438"/>
      <c r="J8" s="439">
        <v>2611566332.8999996</v>
      </c>
      <c r="K8" s="439">
        <v>2624170346.8000002</v>
      </c>
      <c r="L8" s="439">
        <v>702802768.25</v>
      </c>
      <c r="M8" s="438"/>
    </row>
    <row r="9" spans="1:13">
      <c r="A9" s="467" t="str">
        <f>A8</f>
        <v>"Penson Group"</v>
      </c>
      <c r="B9" s="260">
        <f t="shared" si="0"/>
        <v>512356255</v>
      </c>
      <c r="C9" s="260">
        <f>IF(ISBLANK(L9)=FALSE,L9,-M9)</f>
        <v>546134065</v>
      </c>
      <c r="D9" s="467" t="str">
        <f>VLOOKUP(F9,Справочник!$A$2:$C$415,3,FALSE)</f>
        <v>Денежные средства и их эквиваленты</v>
      </c>
      <c r="F9" s="441">
        <v>1010</v>
      </c>
      <c r="G9" s="442" t="s">
        <v>80</v>
      </c>
      <c r="H9" s="443">
        <v>512356255</v>
      </c>
      <c r="I9" s="444"/>
      <c r="J9" s="443">
        <v>330048455</v>
      </c>
      <c r="K9" s="443">
        <v>296270645</v>
      </c>
      <c r="L9" s="443">
        <v>546134065</v>
      </c>
      <c r="M9" s="444"/>
    </row>
    <row r="10" spans="1:13">
      <c r="A10" s="467" t="str">
        <f>A9</f>
        <v>"Penson Group"</v>
      </c>
      <c r="B10" s="260">
        <f t="shared" si="0"/>
        <v>-41010975.009999998</v>
      </c>
      <c r="C10" s="260">
        <f t="shared" ref="C10:C73" si="1">IF(ISBLANK(L10)=FALSE,L10,-M10)</f>
        <v>-2311850.5099999998</v>
      </c>
      <c r="D10" s="467">
        <f>VLOOKUP(F10,Справочник!$A$2:$C$415,3,FALSE)</f>
        <v>0</v>
      </c>
      <c r="F10" s="445">
        <v>1020</v>
      </c>
      <c r="G10" s="446" t="s">
        <v>81</v>
      </c>
      <c r="H10" s="452">
        <v>-41010975.009999998</v>
      </c>
      <c r="I10" s="447"/>
      <c r="J10" s="448">
        <v>968442400.48000002</v>
      </c>
      <c r="K10" s="448">
        <v>929743275.98000002</v>
      </c>
      <c r="L10" s="452">
        <v>-2311850.5099999998</v>
      </c>
      <c r="M10" s="447"/>
    </row>
    <row r="11" spans="1:13">
      <c r="A11" s="467" t="str">
        <f t="shared" ref="A11:A74" si="2">A10</f>
        <v>"Penson Group"</v>
      </c>
      <c r="B11" s="260">
        <f t="shared" si="0"/>
        <v>-41010975.009999998</v>
      </c>
      <c r="C11" s="260">
        <f t="shared" si="1"/>
        <v>-2311850.5099999998</v>
      </c>
      <c r="D11" s="467" t="str">
        <f>VLOOKUP(F11,Справочник!$A$2:$C$415,3,FALSE)</f>
        <v>Денежные средства и их эквиваленты</v>
      </c>
      <c r="F11" s="449">
        <v>1021</v>
      </c>
      <c r="G11" s="442" t="s">
        <v>81</v>
      </c>
      <c r="H11" s="451">
        <v>-41010975.009999998</v>
      </c>
      <c r="I11" s="444"/>
      <c r="J11" s="443">
        <v>928254806.5</v>
      </c>
      <c r="K11" s="443">
        <v>889555682</v>
      </c>
      <c r="L11" s="451">
        <v>-2311850.5099999998</v>
      </c>
      <c r="M11" s="444"/>
    </row>
    <row r="12" spans="1:13">
      <c r="A12" s="467" t="str">
        <f t="shared" si="2"/>
        <v>"Penson Group"</v>
      </c>
      <c r="B12" s="260">
        <f t="shared" si="0"/>
        <v>0</v>
      </c>
      <c r="C12" s="260">
        <f t="shared" si="1"/>
        <v>0</v>
      </c>
      <c r="D12" s="467" t="str">
        <f>VLOOKUP(F12,Справочник!$A$2:$C$415,3,FALSE)</f>
        <v>Денежные средства и их эквиваленты</v>
      </c>
      <c r="F12" s="449">
        <v>1022</v>
      </c>
      <c r="G12" s="442" t="s">
        <v>82</v>
      </c>
      <c r="H12" s="444"/>
      <c r="I12" s="444"/>
      <c r="J12" s="443">
        <v>40187593.979999997</v>
      </c>
      <c r="K12" s="443">
        <v>40187593.979999997</v>
      </c>
      <c r="L12" s="444"/>
      <c r="M12" s="444"/>
    </row>
    <row r="13" spans="1:13">
      <c r="A13" s="467" t="str">
        <f t="shared" si="2"/>
        <v>"Penson Group"</v>
      </c>
      <c r="B13" s="260">
        <f t="shared" si="0"/>
        <v>157014402.16</v>
      </c>
      <c r="C13" s="260">
        <f t="shared" si="1"/>
        <v>72141657.120000005</v>
      </c>
      <c r="D13" s="467" t="str">
        <f>VLOOKUP(F13,Справочник!$A$2:$C$415,3,FALSE)</f>
        <v>Денежные средства и их эквиваленты</v>
      </c>
      <c r="F13" s="441">
        <v>1030</v>
      </c>
      <c r="G13" s="442" t="s">
        <v>83</v>
      </c>
      <c r="H13" s="443">
        <v>157014402.16</v>
      </c>
      <c r="I13" s="444"/>
      <c r="J13" s="443">
        <v>1096603057.4200001</v>
      </c>
      <c r="K13" s="443">
        <v>1181475802.46</v>
      </c>
      <c r="L13" s="443">
        <v>72141657.120000005</v>
      </c>
      <c r="M13" s="444"/>
    </row>
    <row r="14" spans="1:13">
      <c r="A14" s="467" t="str">
        <f t="shared" si="2"/>
        <v>"Penson Group"</v>
      </c>
      <c r="B14" s="260">
        <f t="shared" si="0"/>
        <v>87047100</v>
      </c>
      <c r="C14" s="260">
        <f t="shared" si="1"/>
        <v>86838896.640000001</v>
      </c>
      <c r="D14" s="467" t="str">
        <f>VLOOKUP(F14,Справочник!$A$2:$C$415,3,FALSE)</f>
        <v>Денежные средства и их эквиваленты</v>
      </c>
      <c r="F14" s="441">
        <v>1050</v>
      </c>
      <c r="G14" s="442" t="s">
        <v>85</v>
      </c>
      <c r="H14" s="443">
        <v>87047100</v>
      </c>
      <c r="I14" s="444"/>
      <c r="J14" s="443">
        <v>216472420</v>
      </c>
      <c r="K14" s="443">
        <v>216680623.36000001</v>
      </c>
      <c r="L14" s="443">
        <v>86838896.640000001</v>
      </c>
      <c r="M14" s="444"/>
    </row>
    <row r="15" spans="1:13">
      <c r="A15" s="467" t="str">
        <f t="shared" si="2"/>
        <v>"Penson Group"</v>
      </c>
      <c r="B15" s="260">
        <f t="shared" si="0"/>
        <v>-69802453</v>
      </c>
      <c r="C15" s="260">
        <f t="shared" si="1"/>
        <v>-62155633.560000002</v>
      </c>
      <c r="D15" s="467">
        <f>VLOOKUP(F15,Справочник!$A$2:$C$415,3,FALSE)</f>
        <v>0</v>
      </c>
      <c r="F15" s="440">
        <v>1200</v>
      </c>
      <c r="G15" s="437" t="s">
        <v>93</v>
      </c>
      <c r="H15" s="450">
        <v>-69802453</v>
      </c>
      <c r="I15" s="438"/>
      <c r="J15" s="439">
        <v>27988541.399999999</v>
      </c>
      <c r="K15" s="439">
        <v>20341721.960000001</v>
      </c>
      <c r="L15" s="450">
        <v>-62155633.560000002</v>
      </c>
      <c r="M15" s="438"/>
    </row>
    <row r="16" spans="1:13">
      <c r="A16" s="467" t="str">
        <f t="shared" si="2"/>
        <v>"Penson Group"</v>
      </c>
      <c r="B16" s="260">
        <f t="shared" si="0"/>
        <v>9367547</v>
      </c>
      <c r="C16" s="260">
        <f t="shared" si="1"/>
        <v>8964881</v>
      </c>
      <c r="D16" s="467" t="str">
        <f>VLOOKUP(F16,Справочник!$A$2:$C$415,3,FALSE)</f>
        <v>Краткосрочная торговая и прочая дебиторская задолженность</v>
      </c>
      <c r="F16" s="441">
        <v>1210</v>
      </c>
      <c r="G16" s="442" t="s">
        <v>94</v>
      </c>
      <c r="H16" s="443">
        <v>9367547</v>
      </c>
      <c r="I16" s="444"/>
      <c r="J16" s="443">
        <v>589349</v>
      </c>
      <c r="K16" s="443">
        <v>992015</v>
      </c>
      <c r="L16" s="443">
        <v>8964881</v>
      </c>
      <c r="M16" s="444"/>
    </row>
    <row r="17" spans="1:13" ht="24">
      <c r="A17" s="467" t="str">
        <f t="shared" si="2"/>
        <v>"Penson Group"</v>
      </c>
      <c r="B17" s="260">
        <f t="shared" si="0"/>
        <v>40000000</v>
      </c>
      <c r="C17" s="260">
        <f t="shared" si="1"/>
        <v>40000000</v>
      </c>
      <c r="D17" s="467" t="str">
        <f>VLOOKUP(F17,Справочник!$A$2:$C$415,3,FALSE)</f>
        <v>Краткосрочная торговая и прочая дебиторская задолженность</v>
      </c>
      <c r="F17" s="441">
        <v>1230</v>
      </c>
      <c r="G17" s="442" t="s">
        <v>96</v>
      </c>
      <c r="H17" s="443">
        <v>40000000</v>
      </c>
      <c r="I17" s="444"/>
      <c r="J17" s="444"/>
      <c r="K17" s="444"/>
      <c r="L17" s="443">
        <v>40000000</v>
      </c>
      <c r="M17" s="444"/>
    </row>
    <row r="18" spans="1:13">
      <c r="A18" s="467" t="str">
        <f t="shared" si="2"/>
        <v>"Penson Group"</v>
      </c>
      <c r="B18" s="260">
        <f t="shared" si="0"/>
        <v>0</v>
      </c>
      <c r="C18" s="260">
        <f t="shared" si="1"/>
        <v>8049485.4400000004</v>
      </c>
      <c r="D18" s="467">
        <f>VLOOKUP(F18,Справочник!$A$2:$C$415,3,FALSE)</f>
        <v>0</v>
      </c>
      <c r="F18" s="445">
        <v>1250</v>
      </c>
      <c r="G18" s="446" t="s">
        <v>98</v>
      </c>
      <c r="H18" s="447"/>
      <c r="I18" s="447"/>
      <c r="J18" s="448">
        <v>27220925</v>
      </c>
      <c r="K18" s="448">
        <v>19171439.559999999</v>
      </c>
      <c r="L18" s="448">
        <v>8049485.4400000004</v>
      </c>
      <c r="M18" s="447"/>
    </row>
    <row r="19" spans="1:13">
      <c r="A19" s="467" t="str">
        <f t="shared" si="2"/>
        <v>"Penson Group"</v>
      </c>
      <c r="B19" s="260">
        <f t="shared" si="0"/>
        <v>0</v>
      </c>
      <c r="C19" s="260">
        <f t="shared" si="1"/>
        <v>8049485.4400000004</v>
      </c>
      <c r="D19" s="467" t="str">
        <f>VLOOKUP(F19,Справочник!$A$2:$C$415,3,FALSE)</f>
        <v>Краткосрочная торговая и прочая дебиторская задолженность</v>
      </c>
      <c r="F19" s="449">
        <v>1251</v>
      </c>
      <c r="G19" s="442" t="s">
        <v>99</v>
      </c>
      <c r="H19" s="444"/>
      <c r="I19" s="444"/>
      <c r="J19" s="443">
        <v>27220925</v>
      </c>
      <c r="K19" s="443">
        <v>19171439.559999999</v>
      </c>
      <c r="L19" s="443">
        <v>8049485.4400000004</v>
      </c>
      <c r="M19" s="444"/>
    </row>
    <row r="20" spans="1:13">
      <c r="A20" s="467" t="str">
        <f t="shared" si="2"/>
        <v>"Penson Group"</v>
      </c>
      <c r="B20" s="260">
        <f t="shared" si="0"/>
        <v>0</v>
      </c>
      <c r="C20" s="260">
        <f t="shared" si="1"/>
        <v>0</v>
      </c>
      <c r="D20" s="467" t="str">
        <f>VLOOKUP(F20,Справочник!$A$2:$C$415,3,FALSE)</f>
        <v>Краткосрочная торговая и прочая дебиторская задолженность</v>
      </c>
      <c r="F20" s="441">
        <v>1270</v>
      </c>
      <c r="G20" s="442" t="s">
        <v>104</v>
      </c>
      <c r="H20" s="444"/>
      <c r="I20" s="444"/>
      <c r="J20" s="443">
        <v>178267.4</v>
      </c>
      <c r="K20" s="443">
        <v>178267.4</v>
      </c>
      <c r="L20" s="444"/>
      <c r="M20" s="444"/>
    </row>
    <row r="21" spans="1:13">
      <c r="A21" s="467" t="str">
        <f t="shared" si="2"/>
        <v>"Penson Group"</v>
      </c>
      <c r="B21" s="260">
        <f t="shared" si="0"/>
        <v>-119170000</v>
      </c>
      <c r="C21" s="260">
        <f t="shared" si="1"/>
        <v>-119170000</v>
      </c>
      <c r="D21" s="467" t="str">
        <f>VLOOKUP(F21,Справочник!$A$2:$C$415,3,FALSE)</f>
        <v>Краткосрочная торговая и прочая дебиторская задолженность</v>
      </c>
      <c r="F21" s="441">
        <v>1290</v>
      </c>
      <c r="G21" s="442" t="s">
        <v>109</v>
      </c>
      <c r="H21" s="444"/>
      <c r="I21" s="443">
        <v>119170000</v>
      </c>
      <c r="J21" s="444"/>
      <c r="K21" s="444"/>
      <c r="L21" s="444"/>
      <c r="M21" s="443">
        <v>119170000</v>
      </c>
    </row>
    <row r="22" spans="1:13">
      <c r="A22" s="467" t="str">
        <f t="shared" si="2"/>
        <v>"Penson Group"</v>
      </c>
      <c r="B22" s="260">
        <f t="shared" si="0"/>
        <v>33744971.5</v>
      </c>
      <c r="C22" s="260">
        <f t="shared" si="1"/>
        <v>10589671.390000001</v>
      </c>
      <c r="D22" s="467">
        <f>VLOOKUP(F22,Справочник!$A$2:$C$415,3,FALSE)</f>
        <v>0</v>
      </c>
      <c r="F22" s="440">
        <v>1300</v>
      </c>
      <c r="G22" s="437" t="s">
        <v>110</v>
      </c>
      <c r="H22" s="439">
        <v>33744971.5</v>
      </c>
      <c r="I22" s="438"/>
      <c r="J22" s="439">
        <v>32012564.550000001</v>
      </c>
      <c r="K22" s="439">
        <v>55167864.659999996</v>
      </c>
      <c r="L22" s="439">
        <v>10589671.390000001</v>
      </c>
      <c r="M22" s="438"/>
    </row>
    <row r="23" spans="1:13">
      <c r="A23" s="467" t="str">
        <f t="shared" si="2"/>
        <v>"Penson Group"</v>
      </c>
      <c r="B23" s="260">
        <f t="shared" si="0"/>
        <v>46850971.5</v>
      </c>
      <c r="C23" s="260">
        <f t="shared" si="1"/>
        <v>23695671.390000001</v>
      </c>
      <c r="D23" s="467" t="str">
        <f>VLOOKUP(F23,Справочник!$A$2:$C$415,3,FALSE)</f>
        <v>Запасы</v>
      </c>
      <c r="F23" s="441">
        <v>1311</v>
      </c>
      <c r="G23" s="442" t="s">
        <v>111</v>
      </c>
      <c r="H23" s="443">
        <v>46850971.5</v>
      </c>
      <c r="I23" s="444"/>
      <c r="J23" s="443">
        <v>32012564.550000001</v>
      </c>
      <c r="K23" s="443">
        <v>55167864.659999996</v>
      </c>
      <c r="L23" s="443">
        <v>23695671.390000001</v>
      </c>
      <c r="M23" s="444"/>
    </row>
    <row r="24" spans="1:13">
      <c r="A24" s="467" t="str">
        <f t="shared" si="2"/>
        <v>"Penson Group"</v>
      </c>
      <c r="B24" s="260">
        <f t="shared" si="0"/>
        <v>-13106000</v>
      </c>
      <c r="C24" s="260">
        <f t="shared" si="1"/>
        <v>-13106000</v>
      </c>
      <c r="D24" s="467">
        <f>VLOOKUP(F24,Справочник!$A$2:$C$415,3,FALSE)</f>
        <v>0</v>
      </c>
      <c r="F24" s="445">
        <v>1360</v>
      </c>
      <c r="G24" s="446" t="s">
        <v>120</v>
      </c>
      <c r="H24" s="447"/>
      <c r="I24" s="448">
        <v>13106000</v>
      </c>
      <c r="J24" s="447"/>
      <c r="K24" s="447"/>
      <c r="L24" s="447"/>
      <c r="M24" s="448">
        <v>13106000</v>
      </c>
    </row>
    <row r="25" spans="1:13">
      <c r="A25" s="467" t="str">
        <f t="shared" si="2"/>
        <v>"Penson Group"</v>
      </c>
      <c r="B25" s="260">
        <f t="shared" si="0"/>
        <v>-13106000</v>
      </c>
      <c r="C25" s="260">
        <f t="shared" si="1"/>
        <v>-13106000</v>
      </c>
      <c r="D25" s="467" t="str">
        <f>VLOOKUP(F25,Справочник!$A$2:$C$415,3,FALSE)</f>
        <v>Запасы</v>
      </c>
      <c r="F25" s="449">
        <v>1361</v>
      </c>
      <c r="G25" s="442" t="s">
        <v>121</v>
      </c>
      <c r="H25" s="444"/>
      <c r="I25" s="443">
        <v>13106000</v>
      </c>
      <c r="J25" s="444"/>
      <c r="K25" s="444"/>
      <c r="L25" s="444"/>
      <c r="M25" s="443">
        <v>13106000</v>
      </c>
    </row>
    <row r="26" spans="1:13">
      <c r="A26" s="467" t="str">
        <f t="shared" si="2"/>
        <v>"Penson Group"</v>
      </c>
      <c r="B26" s="260">
        <f t="shared" si="0"/>
        <v>34388258.850000001</v>
      </c>
      <c r="C26" s="260">
        <f t="shared" si="1"/>
        <v>118233446.76000001</v>
      </c>
      <c r="D26" s="467">
        <f>VLOOKUP(F26,Справочник!$A$2:$C$415,3,FALSE)</f>
        <v>0</v>
      </c>
      <c r="F26" s="440">
        <v>1600</v>
      </c>
      <c r="G26" s="437" t="s">
        <v>13</v>
      </c>
      <c r="H26" s="439">
        <v>34388258.850000001</v>
      </c>
      <c r="I26" s="438"/>
      <c r="J26" s="439">
        <v>195354692.19999999</v>
      </c>
      <c r="K26" s="439">
        <v>111509504.29000001</v>
      </c>
      <c r="L26" s="439">
        <v>118233446.76000001</v>
      </c>
      <c r="M26" s="438"/>
    </row>
    <row r="27" spans="1:13">
      <c r="A27" s="467" t="str">
        <f t="shared" si="2"/>
        <v>"Penson Group"</v>
      </c>
      <c r="B27" s="260">
        <f t="shared" si="0"/>
        <v>30690238.719999999</v>
      </c>
      <c r="C27" s="260">
        <f t="shared" si="1"/>
        <v>113917998.79000001</v>
      </c>
      <c r="D27" s="467" t="str">
        <f>VLOOKUP(F27,Справочник!$A$2:$C$415,3,FALSE)</f>
        <v>Прочие краткосрочные активы</v>
      </c>
      <c r="F27" s="441">
        <v>1610</v>
      </c>
      <c r="G27" s="442" t="s">
        <v>128</v>
      </c>
      <c r="H27" s="443">
        <v>30690238.719999999</v>
      </c>
      <c r="I27" s="444"/>
      <c r="J27" s="443">
        <v>190789332.24000001</v>
      </c>
      <c r="K27" s="443">
        <v>107561572.17</v>
      </c>
      <c r="L27" s="443">
        <v>113917998.79000001</v>
      </c>
      <c r="M27" s="444"/>
    </row>
    <row r="28" spans="1:13">
      <c r="A28" s="467" t="str">
        <f t="shared" si="2"/>
        <v>"Penson Group"</v>
      </c>
      <c r="B28" s="260">
        <f t="shared" si="0"/>
        <v>3698020.13</v>
      </c>
      <c r="C28" s="260">
        <f t="shared" si="1"/>
        <v>4315447.97</v>
      </c>
      <c r="D28" s="467" t="str">
        <f>VLOOKUP(F28,Справочник!$A$2:$C$415,3,FALSE)</f>
        <v>Прочие краткосрочные активы</v>
      </c>
      <c r="F28" s="441">
        <v>1620</v>
      </c>
      <c r="G28" s="442" t="s">
        <v>129</v>
      </c>
      <c r="H28" s="443">
        <v>3698020.13</v>
      </c>
      <c r="I28" s="444"/>
      <c r="J28" s="443">
        <v>4565359.96</v>
      </c>
      <c r="K28" s="443">
        <v>3947932.12</v>
      </c>
      <c r="L28" s="443">
        <v>4315447.97</v>
      </c>
      <c r="M28" s="444"/>
    </row>
    <row r="29" spans="1:13">
      <c r="A29" s="467" t="str">
        <f t="shared" si="2"/>
        <v>"Penson Group"</v>
      </c>
      <c r="B29" s="260">
        <f t="shared" si="0"/>
        <v>603000</v>
      </c>
      <c r="C29" s="260">
        <f t="shared" si="1"/>
        <v>603000</v>
      </c>
      <c r="D29" s="467">
        <f>VLOOKUP(F29,Справочник!$A$2:$C$415,3,FALSE)</f>
        <v>0</v>
      </c>
      <c r="F29" s="440">
        <v>2000</v>
      </c>
      <c r="G29" s="437" t="s">
        <v>17</v>
      </c>
      <c r="H29" s="439">
        <v>603000</v>
      </c>
      <c r="I29" s="438"/>
      <c r="J29" s="438"/>
      <c r="K29" s="438"/>
      <c r="L29" s="439">
        <v>603000</v>
      </c>
      <c r="M29" s="438"/>
    </row>
    <row r="30" spans="1:13">
      <c r="A30" s="467" t="str">
        <f>A29</f>
        <v>"Penson Group"</v>
      </c>
      <c r="B30" s="260">
        <f t="shared" si="0"/>
        <v>603000</v>
      </c>
      <c r="C30" s="260">
        <f t="shared" si="1"/>
        <v>603000</v>
      </c>
      <c r="D30" s="467" t="str">
        <f>VLOOKUP(F30,Справочник!$A$2:$C$415,3,FALSE)</f>
        <v>Финансовые активы, имеющиеся в наличии для продажи</v>
      </c>
      <c r="F30" s="441">
        <v>2041</v>
      </c>
      <c r="G30" s="442" t="s">
        <v>134</v>
      </c>
      <c r="H30" s="443">
        <v>603000</v>
      </c>
      <c r="I30" s="444"/>
      <c r="J30" s="444"/>
      <c r="K30" s="444"/>
      <c r="L30" s="443">
        <v>603000</v>
      </c>
      <c r="M30" s="444"/>
    </row>
    <row r="31" spans="1:13">
      <c r="A31" s="467" t="str">
        <f t="shared" si="2"/>
        <v>"Penson Group"</v>
      </c>
      <c r="B31" s="260">
        <f t="shared" si="0"/>
        <v>128680112</v>
      </c>
      <c r="C31" s="260">
        <f t="shared" si="1"/>
        <v>128680112</v>
      </c>
      <c r="D31" s="467">
        <f>VLOOKUP(F31,Справочник!$A$2:$C$415,3,FALSE)</f>
        <v>0</v>
      </c>
      <c r="F31" s="440">
        <v>2100</v>
      </c>
      <c r="G31" s="437" t="s">
        <v>15</v>
      </c>
      <c r="H31" s="439">
        <v>128680112</v>
      </c>
      <c r="I31" s="438"/>
      <c r="J31" s="438"/>
      <c r="K31" s="438"/>
      <c r="L31" s="439">
        <v>128680112</v>
      </c>
      <c r="M31" s="438"/>
    </row>
    <row r="32" spans="1:13" ht="24">
      <c r="A32" s="467" t="str">
        <f t="shared" si="2"/>
        <v>"Penson Group"</v>
      </c>
      <c r="B32" s="260">
        <f t="shared" si="0"/>
        <v>128680112</v>
      </c>
      <c r="C32" s="260">
        <f t="shared" si="1"/>
        <v>128680112</v>
      </c>
      <c r="D32" s="467" t="str">
        <f>VLOOKUP(F32,Справочник!$A$2:$C$415,3,FALSE)</f>
        <v>Долгосрочная торговая и прочая дебиторская задолженность</v>
      </c>
      <c r="F32" s="441">
        <v>2130</v>
      </c>
      <c r="G32" s="442" t="s">
        <v>137</v>
      </c>
      <c r="H32" s="443">
        <v>128680112</v>
      </c>
      <c r="I32" s="444"/>
      <c r="J32" s="444"/>
      <c r="K32" s="444"/>
      <c r="L32" s="443">
        <v>128680112</v>
      </c>
      <c r="M32" s="444"/>
    </row>
    <row r="33" spans="1:13">
      <c r="A33" s="467" t="str">
        <f t="shared" si="2"/>
        <v>"Penson Group"</v>
      </c>
      <c r="B33" s="260">
        <f t="shared" si="0"/>
        <v>82470000</v>
      </c>
      <c r="C33" s="260">
        <f t="shared" si="1"/>
        <v>82470000</v>
      </c>
      <c r="D33" s="467">
        <f>VLOOKUP(F33,Справочник!$A$2:$C$415,3,FALSE)</f>
        <v>0</v>
      </c>
      <c r="F33" s="440">
        <v>2200</v>
      </c>
      <c r="G33" s="437" t="s">
        <v>147</v>
      </c>
      <c r="H33" s="439">
        <v>82470000</v>
      </c>
      <c r="I33" s="438"/>
      <c r="J33" s="438"/>
      <c r="K33" s="438"/>
      <c r="L33" s="439">
        <v>82470000</v>
      </c>
      <c r="M33" s="438"/>
    </row>
    <row r="34" spans="1:13">
      <c r="A34" s="467" t="str">
        <f t="shared" si="2"/>
        <v>"Penson Group"</v>
      </c>
      <c r="B34" s="260">
        <f t="shared" si="0"/>
        <v>82470000</v>
      </c>
      <c r="C34" s="260">
        <f t="shared" si="1"/>
        <v>82470000</v>
      </c>
      <c r="D34" s="467" t="str">
        <f>VLOOKUP(F34,Справочник!$A$2:$C$415,3,FALSE)</f>
        <v>Инвестиции, учитываемые методом долевого участия</v>
      </c>
      <c r="F34" s="441">
        <v>2210</v>
      </c>
      <c r="G34" s="442" t="s">
        <v>148</v>
      </c>
      <c r="H34" s="443">
        <v>82470000</v>
      </c>
      <c r="I34" s="444"/>
      <c r="J34" s="444"/>
      <c r="K34" s="444"/>
      <c r="L34" s="443">
        <v>82470000</v>
      </c>
      <c r="M34" s="444"/>
    </row>
    <row r="35" spans="1:13">
      <c r="A35" s="467" t="str">
        <f t="shared" si="2"/>
        <v>"Penson Group"</v>
      </c>
      <c r="B35" s="260">
        <f t="shared" si="0"/>
        <v>134587981.66</v>
      </c>
      <c r="C35" s="260">
        <f t="shared" si="1"/>
        <v>179501182.44</v>
      </c>
      <c r="D35" s="467">
        <f>VLOOKUP(F35,Справочник!$A$2:$C$415,3,FALSE)</f>
        <v>0</v>
      </c>
      <c r="F35" s="440">
        <v>2400</v>
      </c>
      <c r="G35" s="437" t="s">
        <v>21</v>
      </c>
      <c r="H35" s="439">
        <v>134587981.66</v>
      </c>
      <c r="I35" s="438"/>
      <c r="J35" s="439">
        <v>71188789.390000001</v>
      </c>
      <c r="K35" s="439">
        <v>26275588.609999999</v>
      </c>
      <c r="L35" s="439">
        <v>179501182.44</v>
      </c>
      <c r="M35" s="438"/>
    </row>
    <row r="36" spans="1:13">
      <c r="A36" s="467" t="str">
        <f t="shared" si="2"/>
        <v>"Penson Group"</v>
      </c>
      <c r="B36" s="260">
        <f t="shared" si="0"/>
        <v>165734801.37</v>
      </c>
      <c r="C36" s="260">
        <f t="shared" si="1"/>
        <v>230629334.56999999</v>
      </c>
      <c r="D36" s="467" t="str">
        <f>VLOOKUP(F36,Справочник!$A$2:$C$415,3,FALSE)</f>
        <v>Основные средства</v>
      </c>
      <c r="F36" s="441">
        <v>2410</v>
      </c>
      <c r="G36" s="442" t="s">
        <v>21</v>
      </c>
      <c r="H36" s="443">
        <v>165734801.37</v>
      </c>
      <c r="I36" s="444"/>
      <c r="J36" s="443">
        <v>69893695.200000003</v>
      </c>
      <c r="K36" s="443">
        <v>4999162</v>
      </c>
      <c r="L36" s="443">
        <v>230629334.56999999</v>
      </c>
      <c r="M36" s="444"/>
    </row>
    <row r="37" spans="1:13">
      <c r="A37" s="467" t="str">
        <f t="shared" si="2"/>
        <v>"Penson Group"</v>
      </c>
      <c r="B37" s="260">
        <f t="shared" si="0"/>
        <v>-31146819.710000001</v>
      </c>
      <c r="C37" s="260">
        <f t="shared" si="1"/>
        <v>-51128152.130000003</v>
      </c>
      <c r="D37" s="467" t="str">
        <f>VLOOKUP(F37,Справочник!$A$2:$C$415,3,FALSE)</f>
        <v>Основные средства</v>
      </c>
      <c r="F37" s="441">
        <v>2420</v>
      </c>
      <c r="G37" s="442" t="s">
        <v>152</v>
      </c>
      <c r="H37" s="444"/>
      <c r="I37" s="443">
        <v>31146819.710000001</v>
      </c>
      <c r="J37" s="443">
        <v>1295094.19</v>
      </c>
      <c r="K37" s="443">
        <v>21276426.609999999</v>
      </c>
      <c r="L37" s="444"/>
      <c r="M37" s="443">
        <v>51128152.130000003</v>
      </c>
    </row>
    <row r="38" spans="1:13">
      <c r="A38" s="467" t="str">
        <f t="shared" si="2"/>
        <v>"Penson Group"</v>
      </c>
      <c r="B38" s="260">
        <f t="shared" si="0"/>
        <v>3300178.73</v>
      </c>
      <c r="C38" s="260">
        <f t="shared" si="1"/>
        <v>2702662.79</v>
      </c>
      <c r="D38" s="467">
        <f>VLOOKUP(F38,Справочник!$A$2:$C$415,3,FALSE)</f>
        <v>0</v>
      </c>
      <c r="F38" s="440">
        <v>2700</v>
      </c>
      <c r="G38" s="437" t="s">
        <v>75</v>
      </c>
      <c r="H38" s="439">
        <v>3300178.73</v>
      </c>
      <c r="I38" s="438"/>
      <c r="J38" s="438"/>
      <c r="K38" s="439">
        <v>597515.93999999994</v>
      </c>
      <c r="L38" s="439">
        <v>2702662.79</v>
      </c>
      <c r="M38" s="438"/>
    </row>
    <row r="39" spans="1:13">
      <c r="A39" s="467" t="str">
        <f t="shared" si="2"/>
        <v>"Penson Group"</v>
      </c>
      <c r="B39" s="260">
        <f t="shared" si="0"/>
        <v>4096240</v>
      </c>
      <c r="C39" s="260">
        <f t="shared" si="1"/>
        <v>4096240</v>
      </c>
      <c r="D39" s="467" t="str">
        <f>VLOOKUP(F39,Справочник!$A$2:$C$415,3,FALSE)</f>
        <v>Нематериальные активы</v>
      </c>
      <c r="F39" s="441">
        <v>2730</v>
      </c>
      <c r="G39" s="442" t="s">
        <v>161</v>
      </c>
      <c r="H39" s="443">
        <v>4096240</v>
      </c>
      <c r="I39" s="444"/>
      <c r="J39" s="444"/>
      <c r="K39" s="444"/>
      <c r="L39" s="443">
        <v>4096240</v>
      </c>
      <c r="M39" s="444"/>
    </row>
    <row r="40" spans="1:13">
      <c r="A40" s="467" t="str">
        <f t="shared" si="2"/>
        <v>"Penson Group"</v>
      </c>
      <c r="B40" s="260">
        <f t="shared" si="0"/>
        <v>-796061.27</v>
      </c>
      <c r="C40" s="260">
        <f t="shared" si="1"/>
        <v>-1393577.21</v>
      </c>
      <c r="D40" s="467" t="str">
        <f>VLOOKUP(F40,Справочник!$A$2:$C$415,3,FALSE)</f>
        <v>Нематериальные активы</v>
      </c>
      <c r="F40" s="441">
        <v>2740</v>
      </c>
      <c r="G40" s="442" t="s">
        <v>162</v>
      </c>
      <c r="H40" s="444"/>
      <c r="I40" s="443">
        <v>796061.27</v>
      </c>
      <c r="J40" s="444"/>
      <c r="K40" s="443">
        <v>597515.93999999994</v>
      </c>
      <c r="L40" s="444"/>
      <c r="M40" s="443">
        <v>1393577.21</v>
      </c>
    </row>
    <row r="41" spans="1:13">
      <c r="A41" s="467" t="str">
        <f t="shared" si="2"/>
        <v>"Penson Group"</v>
      </c>
      <c r="B41" s="260">
        <f t="shared" si="0"/>
        <v>52993521.469999999</v>
      </c>
      <c r="C41" s="260">
        <f t="shared" si="1"/>
        <v>52866681.469999999</v>
      </c>
      <c r="D41" s="467">
        <f>VLOOKUP(F41,Справочник!$A$2:$C$415,3,FALSE)</f>
        <v>0</v>
      </c>
      <c r="F41" s="440">
        <v>2900</v>
      </c>
      <c r="G41" s="437" t="s">
        <v>166</v>
      </c>
      <c r="H41" s="439">
        <v>52993521.469999999</v>
      </c>
      <c r="I41" s="438"/>
      <c r="J41" s="450">
        <v>-126840</v>
      </c>
      <c r="K41" s="438"/>
      <c r="L41" s="439">
        <v>52866681.469999999</v>
      </c>
      <c r="M41" s="438"/>
    </row>
    <row r="42" spans="1:13">
      <c r="A42" s="467" t="str">
        <f t="shared" si="2"/>
        <v>"Penson Group"</v>
      </c>
      <c r="B42" s="260">
        <f t="shared" si="0"/>
        <v>52993521.469999999</v>
      </c>
      <c r="C42" s="260">
        <f t="shared" si="1"/>
        <v>52866681.469999999</v>
      </c>
      <c r="D42" s="467">
        <f>VLOOKUP(F42,Справочник!$A$2:$C$415,3,FALSE)</f>
        <v>0</v>
      </c>
      <c r="F42" s="445">
        <v>2930</v>
      </c>
      <c r="G42" s="446" t="s">
        <v>23</v>
      </c>
      <c r="H42" s="448">
        <v>52993521.469999999</v>
      </c>
      <c r="I42" s="447"/>
      <c r="J42" s="452">
        <v>-126840</v>
      </c>
      <c r="K42" s="447"/>
      <c r="L42" s="448">
        <v>52866681.469999999</v>
      </c>
      <c r="M42" s="447"/>
    </row>
    <row r="43" spans="1:13">
      <c r="A43" s="467" t="str">
        <f t="shared" si="2"/>
        <v>"Penson Group"</v>
      </c>
      <c r="B43" s="260">
        <f t="shared" si="0"/>
        <v>52993521.469999999</v>
      </c>
      <c r="C43" s="260">
        <f t="shared" si="1"/>
        <v>52866681.469999999</v>
      </c>
      <c r="D43" s="467" t="str">
        <f>VLOOKUP(F43,Справочник!$A$2:$C$415,3,FALSE)</f>
        <v>Прочие долгосрочные активы</v>
      </c>
      <c r="F43" s="449">
        <v>2931</v>
      </c>
      <c r="G43" s="442" t="s">
        <v>23</v>
      </c>
      <c r="H43" s="443">
        <v>52993521.469999999</v>
      </c>
      <c r="I43" s="444"/>
      <c r="J43" s="451">
        <v>-126840</v>
      </c>
      <c r="K43" s="444"/>
      <c r="L43" s="443">
        <v>52866681.469999999</v>
      </c>
      <c r="M43" s="444"/>
    </row>
    <row r="44" spans="1:13">
      <c r="A44" s="467" t="str">
        <f t="shared" si="2"/>
        <v>"Penson Group"</v>
      </c>
      <c r="B44" s="260">
        <f t="shared" si="0"/>
        <v>-82728842.930000007</v>
      </c>
      <c r="C44" s="260">
        <f t="shared" si="1"/>
        <v>-88366477.930000007</v>
      </c>
      <c r="D44" s="467">
        <f>VLOOKUP(F44,Справочник!$A$2:$C$415,3,FALSE)</f>
        <v>0</v>
      </c>
      <c r="F44" s="440">
        <v>3100</v>
      </c>
      <c r="G44" s="437" t="s">
        <v>33</v>
      </c>
      <c r="H44" s="438"/>
      <c r="I44" s="439">
        <v>82728842.930000007</v>
      </c>
      <c r="J44" s="439">
        <v>276893574</v>
      </c>
      <c r="K44" s="439">
        <v>282531209</v>
      </c>
      <c r="L44" s="438"/>
      <c r="M44" s="439">
        <v>88366477.930000007</v>
      </c>
    </row>
    <row r="45" spans="1:13">
      <c r="A45" s="467" t="str">
        <f t="shared" si="2"/>
        <v>"Penson Group"</v>
      </c>
      <c r="B45" s="260">
        <f t="shared" si="0"/>
        <v>1113</v>
      </c>
      <c r="C45" s="260">
        <f t="shared" si="1"/>
        <v>1113</v>
      </c>
      <c r="D45" s="467" t="str">
        <f>VLOOKUP(F45,Справочник!$A$2:$C$415,3,FALSE)</f>
        <v xml:space="preserve">Текущие налоговые обязательства по подоходному налогу </v>
      </c>
      <c r="F45" s="441">
        <v>3110</v>
      </c>
      <c r="G45" s="442" t="s">
        <v>177</v>
      </c>
      <c r="H45" s="444"/>
      <c r="I45" s="451">
        <v>-1113</v>
      </c>
      <c r="J45" s="444"/>
      <c r="K45" s="444"/>
      <c r="L45" s="444"/>
      <c r="M45" s="451">
        <v>-1113</v>
      </c>
    </row>
    <row r="46" spans="1:13">
      <c r="A46" s="467" t="str">
        <f t="shared" si="2"/>
        <v>"Penson Group"</v>
      </c>
      <c r="B46" s="260">
        <f t="shared" si="0"/>
        <v>-1122676</v>
      </c>
      <c r="C46" s="260">
        <f t="shared" si="1"/>
        <v>-1161282</v>
      </c>
      <c r="D46" s="467" t="str">
        <f>VLOOKUP(F46,Справочник!$A$2:$C$415,3,FALSE)</f>
        <v>Прочие краткосрочные обязательства</v>
      </c>
      <c r="F46" s="441">
        <v>3120</v>
      </c>
      <c r="G46" s="442" t="s">
        <v>178</v>
      </c>
      <c r="H46" s="444"/>
      <c r="I46" s="443">
        <v>1122676</v>
      </c>
      <c r="J46" s="443">
        <v>9815614</v>
      </c>
      <c r="K46" s="443">
        <v>9854220</v>
      </c>
      <c r="L46" s="444"/>
      <c r="M46" s="443">
        <v>1161282</v>
      </c>
    </row>
    <row r="47" spans="1:13">
      <c r="A47" s="467" t="str">
        <f t="shared" si="2"/>
        <v>"Penson Group"</v>
      </c>
      <c r="B47" s="260">
        <f t="shared" si="0"/>
        <v>-681582</v>
      </c>
      <c r="C47" s="260">
        <f t="shared" si="1"/>
        <v>-706916</v>
      </c>
      <c r="D47" s="467" t="str">
        <f>VLOOKUP(F47,Справочник!$A$2:$C$415,3,FALSE)</f>
        <v>Прочие краткосрочные обязательства</v>
      </c>
      <c r="F47" s="441">
        <v>3150</v>
      </c>
      <c r="G47" s="442" t="s">
        <v>180</v>
      </c>
      <c r="H47" s="444"/>
      <c r="I47" s="443">
        <v>681582</v>
      </c>
      <c r="J47" s="443">
        <v>6084099</v>
      </c>
      <c r="K47" s="443">
        <v>6109433</v>
      </c>
      <c r="L47" s="444"/>
      <c r="M47" s="443">
        <v>706916</v>
      </c>
    </row>
    <row r="48" spans="1:13">
      <c r="A48" s="467" t="str">
        <f t="shared" si="2"/>
        <v>"Penson Group"</v>
      </c>
      <c r="B48" s="260">
        <f t="shared" si="0"/>
        <v>0</v>
      </c>
      <c r="C48" s="260">
        <f t="shared" si="1"/>
        <v>0</v>
      </c>
      <c r="D48" s="467" t="str">
        <f>VLOOKUP(F48,Справочник!$A$2:$C$415,3,FALSE)</f>
        <v>Прочие краткосрочные обязательства</v>
      </c>
      <c r="F48" s="441">
        <v>3160</v>
      </c>
      <c r="G48" s="442" t="s">
        <v>181</v>
      </c>
      <c r="H48" s="444"/>
      <c r="I48" s="444"/>
      <c r="J48" s="443">
        <v>87532</v>
      </c>
      <c r="K48" s="443">
        <v>87532</v>
      </c>
      <c r="L48" s="444"/>
      <c r="M48" s="444"/>
    </row>
    <row r="49" spans="1:13">
      <c r="A49" s="467" t="str">
        <f t="shared" si="2"/>
        <v>"Penson Group"</v>
      </c>
      <c r="B49" s="260">
        <f t="shared" si="0"/>
        <v>0</v>
      </c>
      <c r="C49" s="260">
        <f t="shared" si="1"/>
        <v>43626</v>
      </c>
      <c r="D49" s="467" t="str">
        <f>VLOOKUP(F49,Справочник!$A$2:$C$415,3,FALSE)</f>
        <v>Прочие краткосрочные обязательства</v>
      </c>
      <c r="F49" s="441">
        <v>3170</v>
      </c>
      <c r="G49" s="442" t="s">
        <v>182</v>
      </c>
      <c r="H49" s="444"/>
      <c r="I49" s="444"/>
      <c r="J49" s="443">
        <v>852654</v>
      </c>
      <c r="K49" s="443">
        <v>809028</v>
      </c>
      <c r="L49" s="444"/>
      <c r="M49" s="451">
        <v>-43626</v>
      </c>
    </row>
    <row r="50" spans="1:13">
      <c r="A50" s="467" t="str">
        <f t="shared" si="2"/>
        <v>"Penson Group"</v>
      </c>
      <c r="B50" s="260">
        <f t="shared" si="0"/>
        <v>0</v>
      </c>
      <c r="C50" s="260">
        <f t="shared" si="1"/>
        <v>0</v>
      </c>
      <c r="D50" s="467" t="str">
        <f>VLOOKUP(F50,Справочник!$A$2:$C$415,3,FALSE)</f>
        <v>Прочие краткосрочные обязательства</v>
      </c>
      <c r="F50" s="441">
        <v>3180</v>
      </c>
      <c r="G50" s="442" t="s">
        <v>183</v>
      </c>
      <c r="H50" s="444"/>
      <c r="I50" s="444"/>
      <c r="J50" s="443">
        <v>194870</v>
      </c>
      <c r="K50" s="443">
        <v>194870</v>
      </c>
      <c r="L50" s="444"/>
      <c r="M50" s="444"/>
    </row>
    <row r="51" spans="1:13">
      <c r="A51" s="467" t="str">
        <f t="shared" si="2"/>
        <v>"Penson Group"</v>
      </c>
      <c r="B51" s="260">
        <f t="shared" si="0"/>
        <v>-103323</v>
      </c>
      <c r="C51" s="260">
        <f t="shared" si="1"/>
        <v>-75216</v>
      </c>
      <c r="D51" s="467" t="str">
        <f>VLOOKUP(F51,Справочник!$A$2:$C$415,3,FALSE)</f>
        <v>Прочие краткосрочные обязательства</v>
      </c>
      <c r="F51" s="441">
        <v>3190</v>
      </c>
      <c r="G51" s="442" t="s">
        <v>184</v>
      </c>
      <c r="H51" s="444"/>
      <c r="I51" s="443">
        <v>103323</v>
      </c>
      <c r="J51" s="443">
        <v>6082325</v>
      </c>
      <c r="K51" s="443">
        <v>6054218</v>
      </c>
      <c r="L51" s="444"/>
      <c r="M51" s="443">
        <v>75216</v>
      </c>
    </row>
    <row r="52" spans="1:13">
      <c r="A52" s="467" t="str">
        <f t="shared" si="2"/>
        <v>"Penson Group"</v>
      </c>
      <c r="B52" s="260">
        <f t="shared" si="0"/>
        <v>-80569966.930000007</v>
      </c>
      <c r="C52" s="260">
        <f t="shared" si="1"/>
        <v>-86197766.930000007</v>
      </c>
      <c r="D52" s="467" t="str">
        <f>VLOOKUP(F52,Справочник!$A$2:$C$415,3,FALSE)</f>
        <v>Прочие краткосрочные обязательства</v>
      </c>
      <c r="F52" s="441">
        <v>3190</v>
      </c>
      <c r="G52" s="442" t="s">
        <v>742</v>
      </c>
      <c r="H52" s="444"/>
      <c r="I52" s="443">
        <v>80569966.930000007</v>
      </c>
      <c r="J52" s="443">
        <v>252984000</v>
      </c>
      <c r="K52" s="443">
        <v>258611800</v>
      </c>
      <c r="L52" s="444"/>
      <c r="M52" s="443">
        <v>86197766.930000007</v>
      </c>
    </row>
    <row r="53" spans="1:13">
      <c r="A53" s="467" t="str">
        <f t="shared" si="2"/>
        <v>"Penson Group"</v>
      </c>
      <c r="B53" s="260">
        <f t="shared" si="0"/>
        <v>-252408</v>
      </c>
      <c r="C53" s="260">
        <f t="shared" si="1"/>
        <v>-270036</v>
      </c>
      <c r="D53" s="467" t="str">
        <f>VLOOKUP(F53,Справочник!$A$2:$C$415,3,FALSE)</f>
        <v>Прочие краткосрочные обязательства</v>
      </c>
      <c r="F53" s="441">
        <v>3190</v>
      </c>
      <c r="G53" s="442" t="s">
        <v>743</v>
      </c>
      <c r="H53" s="444"/>
      <c r="I53" s="443">
        <v>252408</v>
      </c>
      <c r="J53" s="443">
        <v>792480</v>
      </c>
      <c r="K53" s="443">
        <v>810108</v>
      </c>
      <c r="L53" s="444"/>
      <c r="M53" s="443">
        <v>270036</v>
      </c>
    </row>
    <row r="54" spans="1:13">
      <c r="A54" s="467" t="str">
        <f t="shared" si="2"/>
        <v>"Penson Group"</v>
      </c>
      <c r="B54" s="260">
        <f t="shared" si="0"/>
        <v>-1653807.2</v>
      </c>
      <c r="C54" s="260">
        <f t="shared" si="1"/>
        <v>-1703904.25</v>
      </c>
      <c r="D54" s="467">
        <f>VLOOKUP(F54,Справочник!$A$2:$C$415,3,FALSE)</f>
        <v>0</v>
      </c>
      <c r="F54" s="440">
        <v>3200</v>
      </c>
      <c r="G54" s="437" t="s">
        <v>185</v>
      </c>
      <c r="H54" s="438"/>
      <c r="I54" s="439">
        <v>1653807.2</v>
      </c>
      <c r="J54" s="439">
        <v>15026424.859999999</v>
      </c>
      <c r="K54" s="439">
        <v>15076521.91</v>
      </c>
      <c r="L54" s="438"/>
      <c r="M54" s="439">
        <v>1703904.25</v>
      </c>
    </row>
    <row r="55" spans="1:13">
      <c r="A55" s="467" t="str">
        <f t="shared" si="2"/>
        <v>"Penson Group"</v>
      </c>
      <c r="B55" s="260">
        <f t="shared" si="0"/>
        <v>-513254.2</v>
      </c>
      <c r="C55" s="260">
        <f t="shared" si="1"/>
        <v>-530941.25</v>
      </c>
      <c r="D55" s="467" t="str">
        <f>VLOOKUP(F55,Справочник!$A$2:$C$415,3,FALSE)</f>
        <v>Прочие краткосрочные обязательства</v>
      </c>
      <c r="F55" s="441">
        <v>3210</v>
      </c>
      <c r="G55" s="442" t="s">
        <v>186</v>
      </c>
      <c r="H55" s="444"/>
      <c r="I55" s="443">
        <v>513254.2</v>
      </c>
      <c r="J55" s="443">
        <v>4663555.8600000003</v>
      </c>
      <c r="K55" s="443">
        <v>4681242.91</v>
      </c>
      <c r="L55" s="444"/>
      <c r="M55" s="443">
        <v>530941.25</v>
      </c>
    </row>
    <row r="56" spans="1:13">
      <c r="A56" s="467" t="str">
        <f t="shared" si="2"/>
        <v>"Penson Group"</v>
      </c>
      <c r="B56" s="260">
        <f t="shared" si="0"/>
        <v>-1140553</v>
      </c>
      <c r="C56" s="260">
        <f t="shared" si="1"/>
        <v>-1172963</v>
      </c>
      <c r="D56" s="467" t="str">
        <f>VLOOKUP(F56,Справочник!$A$2:$C$415,3,FALSE)</f>
        <v>Прочие краткосрочные обязательства</v>
      </c>
      <c r="F56" s="441">
        <v>3220</v>
      </c>
      <c r="G56" s="442" t="s">
        <v>187</v>
      </c>
      <c r="H56" s="444"/>
      <c r="I56" s="443">
        <v>1140553</v>
      </c>
      <c r="J56" s="443">
        <v>10362869</v>
      </c>
      <c r="K56" s="443">
        <v>10395279</v>
      </c>
      <c r="L56" s="444"/>
      <c r="M56" s="443">
        <v>1172963</v>
      </c>
    </row>
    <row r="57" spans="1:13">
      <c r="A57" s="467" t="str">
        <f t="shared" si="2"/>
        <v>"Penson Group"</v>
      </c>
      <c r="B57" s="260">
        <f t="shared" si="0"/>
        <v>-5206945.18</v>
      </c>
      <c r="C57" s="260">
        <f t="shared" si="1"/>
        <v>-21402734.539999999</v>
      </c>
      <c r="D57" s="467">
        <f>VLOOKUP(F57,Справочник!$A$2:$C$415,3,FALSE)</f>
        <v>0</v>
      </c>
      <c r="F57" s="440">
        <v>3300</v>
      </c>
      <c r="G57" s="437" t="s">
        <v>76</v>
      </c>
      <c r="H57" s="438"/>
      <c r="I57" s="439">
        <v>5206945.18</v>
      </c>
      <c r="J57" s="439">
        <v>295506117.00999999</v>
      </c>
      <c r="K57" s="439">
        <v>311701906.37</v>
      </c>
      <c r="L57" s="438"/>
      <c r="M57" s="439">
        <v>21402734.539999999</v>
      </c>
    </row>
    <row r="58" spans="1:13">
      <c r="A58" s="467" t="str">
        <f t="shared" si="2"/>
        <v>"Penson Group"</v>
      </c>
      <c r="B58" s="260">
        <f t="shared" si="0"/>
        <v>-11806563.18</v>
      </c>
      <c r="C58" s="260">
        <f t="shared" si="1"/>
        <v>-33303380.66</v>
      </c>
      <c r="D58" s="467" t="str">
        <f>VLOOKUP(F58,Справочник!$A$2:$C$415,3,FALSE)</f>
        <v>Краткосрочная торговая и прочая кредиторская задолженность</v>
      </c>
      <c r="F58" s="441">
        <v>3310</v>
      </c>
      <c r="G58" s="442" t="s">
        <v>190</v>
      </c>
      <c r="H58" s="444"/>
      <c r="I58" s="443">
        <v>11806563.18</v>
      </c>
      <c r="J58" s="443">
        <v>180298301.88999999</v>
      </c>
      <c r="K58" s="443">
        <v>201795119.37</v>
      </c>
      <c r="L58" s="444"/>
      <c r="M58" s="443">
        <v>33303380.66</v>
      </c>
    </row>
    <row r="59" spans="1:13">
      <c r="A59" s="467" t="str">
        <f t="shared" si="2"/>
        <v>"Penson Group"</v>
      </c>
      <c r="B59" s="260">
        <f t="shared" si="0"/>
        <v>0</v>
      </c>
      <c r="C59" s="260">
        <f t="shared" si="1"/>
        <v>0</v>
      </c>
      <c r="D59" s="467" t="str">
        <f>VLOOKUP(F59,Справочник!$A$2:$C$415,3,FALSE)</f>
        <v>Вознаграждения работникам</v>
      </c>
      <c r="F59" s="441">
        <v>3350</v>
      </c>
      <c r="G59" s="442" t="s">
        <v>194</v>
      </c>
      <c r="H59" s="444"/>
      <c r="I59" s="444"/>
      <c r="J59" s="443">
        <v>108627649</v>
      </c>
      <c r="K59" s="443">
        <v>108627649</v>
      </c>
      <c r="L59" s="444"/>
      <c r="M59" s="444"/>
    </row>
    <row r="60" spans="1:13">
      <c r="A60" s="467" t="str">
        <f t="shared" si="2"/>
        <v>"Penson Group"</v>
      </c>
      <c r="B60" s="260">
        <f t="shared" si="0"/>
        <v>6599618</v>
      </c>
      <c r="C60" s="260">
        <f t="shared" si="1"/>
        <v>11900646.119999999</v>
      </c>
      <c r="D60" s="467">
        <f>VLOOKUP(F60,Справочник!$A$2:$C$415,3,FALSE)</f>
        <v>0</v>
      </c>
      <c r="F60" s="445">
        <v>3390</v>
      </c>
      <c r="G60" s="446" t="s">
        <v>198</v>
      </c>
      <c r="H60" s="447"/>
      <c r="I60" s="452">
        <v>-6599618</v>
      </c>
      <c r="J60" s="448">
        <v>6580166.1200000001</v>
      </c>
      <c r="K60" s="448">
        <v>1279138</v>
      </c>
      <c r="L60" s="447"/>
      <c r="M60" s="452">
        <v>-11900646.119999999</v>
      </c>
    </row>
    <row r="61" spans="1:13">
      <c r="A61" s="467" t="str">
        <f t="shared" si="2"/>
        <v>"Penson Group"</v>
      </c>
      <c r="B61" s="260">
        <f t="shared" si="0"/>
        <v>0</v>
      </c>
      <c r="C61" s="260">
        <f t="shared" si="1"/>
        <v>-6993.35</v>
      </c>
      <c r="D61" s="467" t="str">
        <f>VLOOKUP(F61,Справочник!$A$2:$C$415,3,FALSE)</f>
        <v>Краткосрочная торговая и прочая кредиторская задолженность</v>
      </c>
      <c r="F61" s="449">
        <v>3395</v>
      </c>
      <c r="G61" s="442" t="s">
        <v>203</v>
      </c>
      <c r="H61" s="444"/>
      <c r="I61" s="444"/>
      <c r="J61" s="443">
        <v>33358.65</v>
      </c>
      <c r="K61" s="443">
        <v>40352</v>
      </c>
      <c r="L61" s="444"/>
      <c r="M61" s="443">
        <v>6993.35</v>
      </c>
    </row>
    <row r="62" spans="1:13">
      <c r="A62" s="467" t="str">
        <f t="shared" si="2"/>
        <v>"Penson Group"</v>
      </c>
      <c r="B62" s="260">
        <f t="shared" si="0"/>
        <v>-28050</v>
      </c>
      <c r="C62" s="260">
        <f t="shared" si="1"/>
        <v>-28050</v>
      </c>
      <c r="D62" s="467" t="str">
        <f>VLOOKUP(F62,Справочник!$A$2:$C$415,3,FALSE)</f>
        <v>Краткосрочная торговая и прочая кредиторская задолженность</v>
      </c>
      <c r="F62" s="449">
        <v>3396</v>
      </c>
      <c r="G62" s="442" t="s">
        <v>204</v>
      </c>
      <c r="H62" s="444"/>
      <c r="I62" s="443">
        <v>28050</v>
      </c>
      <c r="J62" s="444"/>
      <c r="K62" s="444"/>
      <c r="L62" s="444"/>
      <c r="M62" s="443">
        <v>28050</v>
      </c>
    </row>
    <row r="63" spans="1:13">
      <c r="A63" s="467" t="str">
        <f t="shared" si="2"/>
        <v>"Penson Group"</v>
      </c>
      <c r="B63" s="260">
        <f t="shared" si="0"/>
        <v>6627668</v>
      </c>
      <c r="C63" s="260">
        <f t="shared" si="1"/>
        <v>11935689.470000001</v>
      </c>
      <c r="D63" s="467" t="str">
        <f>VLOOKUP(F63,Справочник!$A$2:$C$415,3,FALSE)</f>
        <v>Краткосрочная торговая и прочая кредиторская задолженность</v>
      </c>
      <c r="F63" s="449">
        <v>3397</v>
      </c>
      <c r="G63" s="442" t="s">
        <v>198</v>
      </c>
      <c r="H63" s="444"/>
      <c r="I63" s="451">
        <v>-6627668</v>
      </c>
      <c r="J63" s="443">
        <v>6546807.4699999997</v>
      </c>
      <c r="K63" s="443">
        <v>1238786</v>
      </c>
      <c r="L63" s="444"/>
      <c r="M63" s="451">
        <v>-11935689.470000001</v>
      </c>
    </row>
    <row r="64" spans="1:13">
      <c r="A64" s="467" t="str">
        <f t="shared" si="2"/>
        <v>"Penson Group"</v>
      </c>
      <c r="B64" s="260">
        <f t="shared" si="0"/>
        <v>0</v>
      </c>
      <c r="C64" s="260">
        <f t="shared" si="1"/>
        <v>-260445.82</v>
      </c>
      <c r="D64" s="467">
        <f>VLOOKUP(F64,Справочник!$A$2:$C$415,3,FALSE)</f>
        <v>0</v>
      </c>
      <c r="F64" s="440">
        <v>3400</v>
      </c>
      <c r="G64" s="437" t="s">
        <v>39</v>
      </c>
      <c r="H64" s="438"/>
      <c r="I64" s="438"/>
      <c r="J64" s="439">
        <v>6322566.5499999998</v>
      </c>
      <c r="K64" s="439">
        <v>6583012.3700000001</v>
      </c>
      <c r="L64" s="438"/>
      <c r="M64" s="439">
        <v>260445.82</v>
      </c>
    </row>
    <row r="65" spans="1:13">
      <c r="A65" s="467" t="str">
        <f t="shared" si="2"/>
        <v>"Penson Group"</v>
      </c>
      <c r="B65" s="260">
        <f t="shared" si="0"/>
        <v>0</v>
      </c>
      <c r="C65" s="260">
        <f t="shared" si="1"/>
        <v>-260445.82</v>
      </c>
      <c r="D65" s="467" t="str">
        <f>VLOOKUP(F65,Справочник!$A$2:$C$415,3,FALSE)</f>
        <v>Краткосрочные резервы</v>
      </c>
      <c r="F65" s="441">
        <v>3430</v>
      </c>
      <c r="G65" s="442" t="s">
        <v>207</v>
      </c>
      <c r="H65" s="444"/>
      <c r="I65" s="444"/>
      <c r="J65" s="443">
        <v>6322566.5499999998</v>
      </c>
      <c r="K65" s="443">
        <v>6583012.3700000001</v>
      </c>
      <c r="L65" s="444"/>
      <c r="M65" s="443">
        <v>260445.82</v>
      </c>
    </row>
    <row r="66" spans="1:13">
      <c r="A66" s="467" t="str">
        <f t="shared" si="2"/>
        <v>"Penson Group"</v>
      </c>
      <c r="B66" s="260">
        <f t="shared" si="0"/>
        <v>-25732754</v>
      </c>
      <c r="C66" s="260">
        <f t="shared" si="1"/>
        <v>-67835596.590000004</v>
      </c>
      <c r="D66" s="467">
        <f>VLOOKUP(F66,Справочник!$A$2:$C$415,3,FALSE)</f>
        <v>0</v>
      </c>
      <c r="F66" s="440">
        <v>3500</v>
      </c>
      <c r="G66" s="437" t="s">
        <v>209</v>
      </c>
      <c r="H66" s="438"/>
      <c r="I66" s="439">
        <v>25732754</v>
      </c>
      <c r="J66" s="439">
        <v>1000</v>
      </c>
      <c r="K66" s="439">
        <v>42103842.590000004</v>
      </c>
      <c r="L66" s="438"/>
      <c r="M66" s="439">
        <v>67835596.590000004</v>
      </c>
    </row>
    <row r="67" spans="1:13">
      <c r="A67" s="467" t="str">
        <f t="shared" si="2"/>
        <v>"Penson Group"</v>
      </c>
      <c r="B67" s="260">
        <f t="shared" si="0"/>
        <v>-25732754</v>
      </c>
      <c r="C67" s="260">
        <f t="shared" si="1"/>
        <v>-67835596.590000004</v>
      </c>
      <c r="D67" s="467" t="str">
        <f>VLOOKUP(F67,Справочник!$A$2:$C$415,3,FALSE)</f>
        <v>Прочие краткосрочные обязательства</v>
      </c>
      <c r="F67" s="441">
        <v>3510</v>
      </c>
      <c r="G67" s="442" t="s">
        <v>210</v>
      </c>
      <c r="H67" s="444"/>
      <c r="I67" s="443">
        <v>25732754</v>
      </c>
      <c r="J67" s="443">
        <v>1000</v>
      </c>
      <c r="K67" s="443">
        <v>42103842.590000004</v>
      </c>
      <c r="L67" s="444"/>
      <c r="M67" s="443">
        <v>67835596.590000004</v>
      </c>
    </row>
    <row r="68" spans="1:13">
      <c r="A68" s="467" t="str">
        <f t="shared" si="2"/>
        <v>"Penson Group"</v>
      </c>
      <c r="B68" s="260">
        <f t="shared" si="0"/>
        <v>-10843410.16</v>
      </c>
      <c r="C68" s="260">
        <f t="shared" si="1"/>
        <v>-17071017.719999999</v>
      </c>
      <c r="D68" s="467">
        <f>VLOOKUP(F68,Справочник!$A$2:$C$415,3,FALSE)</f>
        <v>0</v>
      </c>
      <c r="F68" s="440">
        <v>4100</v>
      </c>
      <c r="G68" s="437" t="s">
        <v>43</v>
      </c>
      <c r="H68" s="438"/>
      <c r="I68" s="439">
        <v>10843410.16</v>
      </c>
      <c r="J68" s="439">
        <v>14190422.4</v>
      </c>
      <c r="K68" s="439">
        <v>20418029.960000001</v>
      </c>
      <c r="L68" s="438"/>
      <c r="M68" s="439">
        <v>17071017.719999999</v>
      </c>
    </row>
    <row r="69" spans="1:13">
      <c r="A69" s="467" t="str">
        <f t="shared" si="2"/>
        <v>"Penson Group"</v>
      </c>
      <c r="B69" s="260">
        <f t="shared" si="0"/>
        <v>-9720974.6699999999</v>
      </c>
      <c r="C69" s="260">
        <f t="shared" si="1"/>
        <v>-13993728.84</v>
      </c>
      <c r="D69" s="467" t="str">
        <f>VLOOKUP(F69,Справочник!$A$2:$C$415,3,FALSE)</f>
        <v>Долгосрочная торговая и прочая кредиторская задолженность</v>
      </c>
      <c r="F69" s="441">
        <v>4150</v>
      </c>
      <c r="G69" s="442" t="s">
        <v>222</v>
      </c>
      <c r="H69" s="444"/>
      <c r="I69" s="443">
        <v>9720974.6699999999</v>
      </c>
      <c r="J69" s="443">
        <v>12682245.83</v>
      </c>
      <c r="K69" s="443">
        <v>16955000</v>
      </c>
      <c r="L69" s="444"/>
      <c r="M69" s="443">
        <v>13993728.84</v>
      </c>
    </row>
    <row r="70" spans="1:13">
      <c r="A70" s="467" t="str">
        <f t="shared" si="2"/>
        <v>"Penson Group"</v>
      </c>
      <c r="B70" s="260">
        <f t="shared" si="0"/>
        <v>-1122435.49</v>
      </c>
      <c r="C70" s="260">
        <f t="shared" si="1"/>
        <v>-3077288.88</v>
      </c>
      <c r="D70" s="467" t="str">
        <f>VLOOKUP(F70,Справочник!$A$2:$C$415,3,FALSE)</f>
        <v>Долгосрочная торговая и прочая кредиторская задолженность</v>
      </c>
      <c r="F70" s="441">
        <v>4160</v>
      </c>
      <c r="G70" s="442" t="s">
        <v>223</v>
      </c>
      <c r="H70" s="444"/>
      <c r="I70" s="443">
        <v>1122435.49</v>
      </c>
      <c r="J70" s="443">
        <v>1508176.57</v>
      </c>
      <c r="K70" s="443">
        <v>3463029.96</v>
      </c>
      <c r="L70" s="444"/>
      <c r="M70" s="443">
        <v>3077288.88</v>
      </c>
    </row>
    <row r="71" spans="1:13">
      <c r="A71" s="467" t="str">
        <f t="shared" si="2"/>
        <v>"Penson Group"</v>
      </c>
      <c r="B71" s="260">
        <f t="shared" si="0"/>
        <v>-801955000</v>
      </c>
      <c r="C71" s="260">
        <f t="shared" si="1"/>
        <v>-801955000</v>
      </c>
      <c r="D71" s="467">
        <f>VLOOKUP(F71,Справочник!$A$2:$C$415,3,FALSE)</f>
        <v>0</v>
      </c>
      <c r="F71" s="440">
        <v>5000</v>
      </c>
      <c r="G71" s="437" t="s">
        <v>45</v>
      </c>
      <c r="H71" s="438"/>
      <c r="I71" s="439">
        <v>801955000</v>
      </c>
      <c r="J71" s="438"/>
      <c r="K71" s="438"/>
      <c r="L71" s="438"/>
      <c r="M71" s="439">
        <v>801955000</v>
      </c>
    </row>
    <row r="72" spans="1:13">
      <c r="A72" s="467" t="str">
        <f t="shared" si="2"/>
        <v>"Penson Group"</v>
      </c>
      <c r="B72" s="260">
        <f t="shared" ref="B72:B135" si="3">IF(ISBLANK(H72)=FALSE,H72,-I72)</f>
        <v>-801955000</v>
      </c>
      <c r="C72" s="260">
        <f t="shared" si="1"/>
        <v>-801955000</v>
      </c>
      <c r="D72" s="467" t="str">
        <f>VLOOKUP(F72,Справочник!$A$2:$C$415,3,FALSE)</f>
        <v>Уставный (акционерный) капитал</v>
      </c>
      <c r="F72" s="441">
        <v>5030</v>
      </c>
      <c r="G72" s="442" t="s">
        <v>242</v>
      </c>
      <c r="H72" s="444"/>
      <c r="I72" s="443">
        <v>801955000</v>
      </c>
      <c r="J72" s="444"/>
      <c r="K72" s="444"/>
      <c r="L72" s="444"/>
      <c r="M72" s="443">
        <v>801955000</v>
      </c>
    </row>
    <row r="73" spans="1:13">
      <c r="A73" s="467" t="str">
        <f t="shared" si="2"/>
        <v>"Penson Group"</v>
      </c>
      <c r="B73" s="260">
        <f t="shared" si="3"/>
        <v>-188251593.88999999</v>
      </c>
      <c r="C73" s="260">
        <f t="shared" si="1"/>
        <v>-217698714.69</v>
      </c>
      <c r="D73" s="467">
        <f>VLOOKUP(F73,Справочник!$A$2:$C$415,3,FALSE)</f>
        <v>0</v>
      </c>
      <c r="F73" s="440">
        <v>5500</v>
      </c>
      <c r="G73" s="437" t="s">
        <v>253</v>
      </c>
      <c r="H73" s="438"/>
      <c r="I73" s="439">
        <v>188251593.88999999</v>
      </c>
      <c r="J73" s="438"/>
      <c r="K73" s="439">
        <v>29447120.800000001</v>
      </c>
      <c r="L73" s="438"/>
      <c r="M73" s="439">
        <v>217698714.69</v>
      </c>
    </row>
    <row r="74" spans="1:13">
      <c r="A74" s="467" t="str">
        <f t="shared" si="2"/>
        <v>"Penson Group"</v>
      </c>
      <c r="B74" s="260">
        <f t="shared" si="3"/>
        <v>-114815651.20999999</v>
      </c>
      <c r="C74" s="260">
        <f t="shared" ref="C74:C137" si="4">IF(ISBLANK(L74)=FALSE,L74,-M74)</f>
        <v>-144262772.00999999</v>
      </c>
      <c r="D74" s="467" t="str">
        <f>VLOOKUP(F74,Справочник!$A$2:$C$415,3,FALSE)</f>
        <v>Нераспределенная прибыль (непокрытый убыток)</v>
      </c>
      <c r="F74" s="441">
        <v>5510</v>
      </c>
      <c r="G74" s="442" t="s">
        <v>254</v>
      </c>
      <c r="H74" s="444"/>
      <c r="I74" s="443">
        <v>114815651.20999999</v>
      </c>
      <c r="J74" s="444"/>
      <c r="K74" s="443">
        <v>29447120.800000001</v>
      </c>
      <c r="L74" s="444"/>
      <c r="M74" s="443">
        <v>144262772.00999999</v>
      </c>
    </row>
    <row r="75" spans="1:13">
      <c r="A75" s="467" t="str">
        <f t="shared" ref="A75:A138" si="5">A74</f>
        <v>"Penson Group"</v>
      </c>
      <c r="B75" s="260">
        <f t="shared" si="3"/>
        <v>-73435942.680000007</v>
      </c>
      <c r="C75" s="260">
        <f t="shared" si="4"/>
        <v>-73435942.680000007</v>
      </c>
      <c r="D75" s="467" t="str">
        <f>VLOOKUP(F75,Справочник!$A$2:$C$415,3,FALSE)</f>
        <v>Нераспределенная прибыль (непокрытый убыток)</v>
      </c>
      <c r="F75" s="441">
        <v>5520</v>
      </c>
      <c r="G75" s="442" t="s">
        <v>255</v>
      </c>
      <c r="H75" s="444"/>
      <c r="I75" s="443">
        <v>73435942.680000007</v>
      </c>
      <c r="J75" s="444"/>
      <c r="K75" s="444"/>
      <c r="L75" s="444"/>
      <c r="M75" s="443">
        <v>73435942.680000007</v>
      </c>
    </row>
    <row r="76" spans="1:13">
      <c r="A76" s="467" t="str">
        <f t="shared" si="5"/>
        <v>"Penson Group"</v>
      </c>
      <c r="B76" s="260">
        <f t="shared" si="3"/>
        <v>0</v>
      </c>
      <c r="C76" s="260">
        <f t="shared" si="4"/>
        <v>0</v>
      </c>
      <c r="D76" s="467">
        <f>VLOOKUP(F76,Справочник!$A$2:$C$415,3,FALSE)</f>
        <v>0</v>
      </c>
      <c r="F76" s="440">
        <v>5600</v>
      </c>
      <c r="G76" s="437" t="s">
        <v>256</v>
      </c>
      <c r="H76" s="438"/>
      <c r="I76" s="438"/>
      <c r="J76" s="439">
        <v>635419009.66999996</v>
      </c>
      <c r="K76" s="439">
        <v>635419009.66999996</v>
      </c>
      <c r="L76" s="438"/>
      <c r="M76" s="438"/>
    </row>
    <row r="77" spans="1:13">
      <c r="A77" s="467" t="str">
        <f t="shared" si="5"/>
        <v>"Penson Group"</v>
      </c>
      <c r="B77" s="260">
        <f t="shared" si="3"/>
        <v>0</v>
      </c>
      <c r="C77" s="260">
        <f t="shared" si="4"/>
        <v>0</v>
      </c>
      <c r="D77" s="467" t="str">
        <f>VLOOKUP(F77,Справочник!$A$2:$C$415,3,FALSE)</f>
        <v>Нераспределенная прибыль (непокрытый убыток)</v>
      </c>
      <c r="F77" s="441">
        <v>5610</v>
      </c>
      <c r="G77" s="442" t="s">
        <v>256</v>
      </c>
      <c r="H77" s="444"/>
      <c r="I77" s="444"/>
      <c r="J77" s="443">
        <v>635419009.66999996</v>
      </c>
      <c r="K77" s="443">
        <v>635419009.66999996</v>
      </c>
      <c r="L77" s="444"/>
      <c r="M77" s="444"/>
    </row>
    <row r="78" spans="1:13">
      <c r="A78" s="467" t="str">
        <f t="shared" si="5"/>
        <v>"Penson Group"</v>
      </c>
      <c r="B78" s="260">
        <f t="shared" si="3"/>
        <v>0</v>
      </c>
      <c r="C78" s="260">
        <f t="shared" si="4"/>
        <v>0</v>
      </c>
      <c r="D78" s="467">
        <f>VLOOKUP(F78,Справочник!$A$2:$C$415,3,FALSE)</f>
        <v>0</v>
      </c>
      <c r="F78" s="440">
        <v>6000</v>
      </c>
      <c r="G78" s="437" t="s">
        <v>257</v>
      </c>
      <c r="H78" s="438"/>
      <c r="I78" s="438"/>
      <c r="J78" s="439">
        <v>696349187.39999998</v>
      </c>
      <c r="K78" s="439">
        <v>696349187.39999998</v>
      </c>
      <c r="L78" s="438"/>
      <c r="M78" s="438"/>
    </row>
    <row r="79" spans="1:13">
      <c r="A79" s="467" t="str">
        <f t="shared" si="5"/>
        <v>"Penson Group"</v>
      </c>
      <c r="B79" s="260">
        <f t="shared" si="3"/>
        <v>0</v>
      </c>
      <c r="C79" s="260">
        <f t="shared" si="4"/>
        <v>0</v>
      </c>
      <c r="D79" s="467" t="str">
        <f>VLOOKUP(F79,Справочник!$A$2:$C$415,3,FALSE)</f>
        <v>Выручка</v>
      </c>
      <c r="F79" s="441">
        <v>6010</v>
      </c>
      <c r="G79" s="442" t="s">
        <v>744</v>
      </c>
      <c r="H79" s="444"/>
      <c r="I79" s="444"/>
      <c r="J79" s="443">
        <v>696167020</v>
      </c>
      <c r="K79" s="443">
        <v>696167020</v>
      </c>
      <c r="L79" s="444"/>
      <c r="M79" s="444"/>
    </row>
    <row r="80" spans="1:13">
      <c r="A80" s="467" t="str">
        <f t="shared" si="5"/>
        <v>"Penson Group"</v>
      </c>
      <c r="B80" s="260">
        <f t="shared" si="3"/>
        <v>0</v>
      </c>
      <c r="C80" s="260">
        <f t="shared" si="4"/>
        <v>0</v>
      </c>
      <c r="D80" s="467" t="str">
        <f>VLOOKUP(F80,Справочник!$A$2:$C$415,3,FALSE)</f>
        <v>Выручка</v>
      </c>
      <c r="F80" s="441">
        <v>6011</v>
      </c>
      <c r="G80" s="442" t="s">
        <v>745</v>
      </c>
      <c r="H80" s="444"/>
      <c r="I80" s="444"/>
      <c r="J80" s="443">
        <v>182167.4</v>
      </c>
      <c r="K80" s="443">
        <v>182167.4</v>
      </c>
      <c r="L80" s="444"/>
      <c r="M80" s="444"/>
    </row>
    <row r="81" spans="1:13">
      <c r="A81" s="467" t="str">
        <f t="shared" si="5"/>
        <v>"Penson Group"</v>
      </c>
      <c r="B81" s="260">
        <f t="shared" si="3"/>
        <v>0</v>
      </c>
      <c r="C81" s="260">
        <f t="shared" si="4"/>
        <v>0</v>
      </c>
      <c r="D81" s="467">
        <f>VLOOKUP(F81,Справочник!$A$2:$C$415,3,FALSE)</f>
        <v>0</v>
      </c>
      <c r="F81" s="440">
        <v>6100</v>
      </c>
      <c r="G81" s="437" t="s">
        <v>71</v>
      </c>
      <c r="H81" s="438"/>
      <c r="I81" s="438"/>
      <c r="J81" s="439">
        <v>1382690.63</v>
      </c>
      <c r="K81" s="439">
        <v>1382690.63</v>
      </c>
      <c r="L81" s="438"/>
      <c r="M81" s="438"/>
    </row>
    <row r="82" spans="1:13">
      <c r="A82" s="467" t="str">
        <f t="shared" si="5"/>
        <v>"Penson Group"</v>
      </c>
      <c r="B82" s="260">
        <f t="shared" si="3"/>
        <v>0</v>
      </c>
      <c r="C82" s="260">
        <f t="shared" si="4"/>
        <v>0</v>
      </c>
      <c r="D82" s="467" t="str">
        <f>VLOOKUP(F82,Справочник!$A$2:$C$415,3,FALSE)</f>
        <v>Доходы по финансированию</v>
      </c>
      <c r="F82" s="441">
        <v>6110</v>
      </c>
      <c r="G82" s="442" t="s">
        <v>260</v>
      </c>
      <c r="H82" s="444"/>
      <c r="I82" s="444"/>
      <c r="J82" s="443">
        <v>1382690.63</v>
      </c>
      <c r="K82" s="443">
        <v>1382690.63</v>
      </c>
      <c r="L82" s="444"/>
      <c r="M82" s="444"/>
    </row>
    <row r="83" spans="1:13">
      <c r="A83" s="467" t="str">
        <f t="shared" si="5"/>
        <v>"Penson Group"</v>
      </c>
      <c r="B83" s="260">
        <f t="shared" si="3"/>
        <v>0</v>
      </c>
      <c r="C83" s="260">
        <f t="shared" si="4"/>
        <v>0</v>
      </c>
      <c r="D83" s="467">
        <f>VLOOKUP(F83,Справочник!$A$2:$C$415,3,FALSE)</f>
        <v>0</v>
      </c>
      <c r="F83" s="440">
        <v>6200</v>
      </c>
      <c r="G83" s="437" t="s">
        <v>266</v>
      </c>
      <c r="H83" s="438"/>
      <c r="I83" s="438"/>
      <c r="J83" s="439">
        <v>8490306.6400000006</v>
      </c>
      <c r="K83" s="439">
        <v>8490306.6400000006</v>
      </c>
      <c r="L83" s="438"/>
      <c r="M83" s="438"/>
    </row>
    <row r="84" spans="1:13">
      <c r="A84" s="467" t="str">
        <f t="shared" si="5"/>
        <v>"Penson Group"</v>
      </c>
      <c r="B84" s="260">
        <f t="shared" si="3"/>
        <v>0</v>
      </c>
      <c r="C84" s="260">
        <f t="shared" si="4"/>
        <v>0</v>
      </c>
      <c r="D84" s="467" t="str">
        <f>VLOOKUP(F84,Справочник!$A$2:$C$415,3,FALSE)</f>
        <v>Доходы от выбытия активов</v>
      </c>
      <c r="F84" s="441">
        <v>6210</v>
      </c>
      <c r="G84" s="442" t="s">
        <v>267</v>
      </c>
      <c r="H84" s="444"/>
      <c r="I84" s="444"/>
      <c r="J84" s="443">
        <v>6935000</v>
      </c>
      <c r="K84" s="443">
        <v>6935000</v>
      </c>
      <c r="L84" s="444"/>
      <c r="M84" s="444"/>
    </row>
    <row r="85" spans="1:13">
      <c r="A85" s="467" t="str">
        <f t="shared" si="5"/>
        <v>"Penson Group"</v>
      </c>
      <c r="B85" s="260">
        <f t="shared" si="3"/>
        <v>0</v>
      </c>
      <c r="C85" s="260">
        <f t="shared" si="4"/>
        <v>0</v>
      </c>
      <c r="D85" s="467" t="str">
        <f>VLOOKUP(F85,Справочник!$A$2:$C$415,3,FALSE)</f>
        <v>Доходы от курсовой разницы</v>
      </c>
      <c r="F85" s="441">
        <v>6250</v>
      </c>
      <c r="G85" s="442" t="s">
        <v>271</v>
      </c>
      <c r="H85" s="444"/>
      <c r="I85" s="444"/>
      <c r="J85" s="443">
        <v>1438306.64</v>
      </c>
      <c r="K85" s="443">
        <v>1438306.64</v>
      </c>
      <c r="L85" s="444"/>
      <c r="M85" s="444"/>
    </row>
    <row r="86" spans="1:13">
      <c r="A86" s="467" t="str">
        <f t="shared" si="5"/>
        <v>"Penson Group"</v>
      </c>
      <c r="B86" s="260">
        <f t="shared" si="3"/>
        <v>0</v>
      </c>
      <c r="C86" s="260">
        <f t="shared" si="4"/>
        <v>0</v>
      </c>
      <c r="D86" s="467" t="str">
        <f>VLOOKUP(F86,Справочник!$A$2:$C$415,3,FALSE)</f>
        <v>Доходы от операционной аренды</v>
      </c>
      <c r="F86" s="441">
        <v>6260</v>
      </c>
      <c r="G86" s="442" t="s">
        <v>272</v>
      </c>
      <c r="H86" s="444"/>
      <c r="I86" s="444"/>
      <c r="J86" s="443">
        <v>117000</v>
      </c>
      <c r="K86" s="443">
        <v>117000</v>
      </c>
      <c r="L86" s="444"/>
      <c r="M86" s="444"/>
    </row>
    <row r="87" spans="1:13">
      <c r="A87" s="467" t="str">
        <f t="shared" si="5"/>
        <v>"Penson Group"</v>
      </c>
      <c r="B87" s="260">
        <f t="shared" si="3"/>
        <v>0</v>
      </c>
      <c r="C87" s="260">
        <f t="shared" si="4"/>
        <v>0</v>
      </c>
      <c r="D87" s="467">
        <f>VLOOKUP(F87,Справочник!$A$2:$C$415,3,FALSE)</f>
        <v>0</v>
      </c>
      <c r="F87" s="440">
        <v>7000</v>
      </c>
      <c r="G87" s="437" t="s">
        <v>279</v>
      </c>
      <c r="H87" s="438"/>
      <c r="I87" s="438"/>
      <c r="J87" s="439">
        <v>122669817.19</v>
      </c>
      <c r="K87" s="439">
        <v>122669817.19</v>
      </c>
      <c r="L87" s="438"/>
      <c r="M87" s="438"/>
    </row>
    <row r="88" spans="1:13">
      <c r="A88" s="467" t="str">
        <f t="shared" si="5"/>
        <v>"Penson Group"</v>
      </c>
      <c r="B88" s="260">
        <f t="shared" si="3"/>
        <v>0</v>
      </c>
      <c r="C88" s="260">
        <f t="shared" si="4"/>
        <v>0</v>
      </c>
      <c r="D88" s="467" t="str">
        <f>VLOOKUP(F88,Справочник!$A$2:$C$415,3,FALSE)</f>
        <v>Себестоимость реализованных товаров и услуг</v>
      </c>
      <c r="F88" s="441">
        <v>7010</v>
      </c>
      <c r="G88" s="442" t="s">
        <v>279</v>
      </c>
      <c r="H88" s="444"/>
      <c r="I88" s="444"/>
      <c r="J88" s="443">
        <v>4081029.95</v>
      </c>
      <c r="K88" s="443">
        <v>4081029.95</v>
      </c>
      <c r="L88" s="444"/>
      <c r="M88" s="444"/>
    </row>
    <row r="89" spans="1:13">
      <c r="A89" s="467" t="str">
        <f t="shared" si="5"/>
        <v>"Penson Group"</v>
      </c>
      <c r="B89" s="260">
        <f t="shared" si="3"/>
        <v>0</v>
      </c>
      <c r="C89" s="260">
        <f t="shared" si="4"/>
        <v>0</v>
      </c>
      <c r="D89" s="467" t="str">
        <f>VLOOKUP(F89,Справочник!$A$2:$C$415,3,FALSE)</f>
        <v>Себестоимость реализованных товаров и услуг</v>
      </c>
      <c r="F89" s="441">
        <v>7011</v>
      </c>
      <c r="G89" s="442" t="s">
        <v>746</v>
      </c>
      <c r="H89" s="444"/>
      <c r="I89" s="444"/>
      <c r="J89" s="443">
        <v>118588787.23999999</v>
      </c>
      <c r="K89" s="443">
        <v>118588787.23999999</v>
      </c>
      <c r="L89" s="444"/>
      <c r="M89" s="444"/>
    </row>
    <row r="90" spans="1:13">
      <c r="A90" s="467" t="str">
        <f t="shared" si="5"/>
        <v>"Penson Group"</v>
      </c>
      <c r="B90" s="260">
        <f t="shared" si="3"/>
        <v>0</v>
      </c>
      <c r="C90" s="260">
        <f t="shared" si="4"/>
        <v>0</v>
      </c>
      <c r="D90" s="467">
        <f>VLOOKUP(F90,Справочник!$A$2:$C$415,3,FALSE)</f>
        <v>0</v>
      </c>
      <c r="F90" s="440">
        <v>7100</v>
      </c>
      <c r="G90" s="437" t="s">
        <v>280</v>
      </c>
      <c r="H90" s="438"/>
      <c r="I90" s="438"/>
      <c r="J90" s="439">
        <v>379059410.63999999</v>
      </c>
      <c r="K90" s="439">
        <v>379059410.63999999</v>
      </c>
      <c r="L90" s="438"/>
      <c r="M90" s="438"/>
    </row>
    <row r="91" spans="1:13">
      <c r="A91" s="467" t="str">
        <f t="shared" si="5"/>
        <v>"Penson Group"</v>
      </c>
      <c r="B91" s="260">
        <f t="shared" si="3"/>
        <v>0</v>
      </c>
      <c r="C91" s="260">
        <f t="shared" si="4"/>
        <v>0</v>
      </c>
      <c r="D91" s="467" t="str">
        <f>VLOOKUP(F91,Справочник!$A$2:$C$415,3,FALSE)</f>
        <v>Расходы по реализации</v>
      </c>
      <c r="F91" s="441">
        <v>7110</v>
      </c>
      <c r="G91" s="442" t="s">
        <v>747</v>
      </c>
      <c r="H91" s="444"/>
      <c r="I91" s="444"/>
      <c r="J91" s="443">
        <v>379008106.17000002</v>
      </c>
      <c r="K91" s="443">
        <v>379008106.17000002</v>
      </c>
      <c r="L91" s="444"/>
      <c r="M91" s="444"/>
    </row>
    <row r="92" spans="1:13">
      <c r="A92" s="467" t="str">
        <f t="shared" si="5"/>
        <v>"Penson Group"</v>
      </c>
      <c r="B92" s="260">
        <f t="shared" si="3"/>
        <v>0</v>
      </c>
      <c r="C92" s="260">
        <f t="shared" si="4"/>
        <v>0</v>
      </c>
      <c r="D92" s="467" t="str">
        <f>VLOOKUP(F92,Справочник!$A$2:$C$415,3,FALSE)</f>
        <v>Расходы по реализации</v>
      </c>
      <c r="F92" s="441">
        <v>7111</v>
      </c>
      <c r="G92" s="442" t="s">
        <v>748</v>
      </c>
      <c r="H92" s="444"/>
      <c r="I92" s="444"/>
      <c r="J92" s="443">
        <v>51304.47</v>
      </c>
      <c r="K92" s="443">
        <v>51304.47</v>
      </c>
      <c r="L92" s="444"/>
      <c r="M92" s="444"/>
    </row>
    <row r="93" spans="1:13">
      <c r="A93" s="467" t="str">
        <f t="shared" si="5"/>
        <v>"Penson Group"</v>
      </c>
      <c r="B93" s="260">
        <f t="shared" si="3"/>
        <v>0</v>
      </c>
      <c r="C93" s="260">
        <f t="shared" si="4"/>
        <v>0</v>
      </c>
      <c r="D93" s="467">
        <f>VLOOKUP(F93,Справочник!$A$2:$C$415,3,FALSE)</f>
        <v>0</v>
      </c>
      <c r="F93" s="440">
        <v>7200</v>
      </c>
      <c r="G93" s="437" t="s">
        <v>55</v>
      </c>
      <c r="H93" s="438"/>
      <c r="I93" s="438"/>
      <c r="J93" s="439">
        <v>97900443.790000007</v>
      </c>
      <c r="K93" s="439">
        <v>97900443.790000007</v>
      </c>
      <c r="L93" s="438"/>
      <c r="M93" s="438"/>
    </row>
    <row r="94" spans="1:13">
      <c r="A94" s="467" t="str">
        <f t="shared" si="5"/>
        <v>"Penson Group"</v>
      </c>
      <c r="B94" s="260">
        <f t="shared" si="3"/>
        <v>0</v>
      </c>
      <c r="C94" s="260">
        <f t="shared" si="4"/>
        <v>0</v>
      </c>
      <c r="D94" s="467" t="str">
        <f>VLOOKUP(F94,Справочник!$A$2:$C$415,3,FALSE)</f>
        <v>Административные расходы</v>
      </c>
      <c r="F94" s="441">
        <v>7210</v>
      </c>
      <c r="G94" s="442" t="s">
        <v>55</v>
      </c>
      <c r="H94" s="444"/>
      <c r="I94" s="444"/>
      <c r="J94" s="443">
        <v>97850443.790000007</v>
      </c>
      <c r="K94" s="443">
        <v>97850443.790000007</v>
      </c>
      <c r="L94" s="444"/>
      <c r="M94" s="444"/>
    </row>
    <row r="95" spans="1:13">
      <c r="A95" s="467" t="str">
        <f t="shared" si="5"/>
        <v>"Penson Group"</v>
      </c>
      <c r="B95" s="260">
        <f t="shared" si="3"/>
        <v>0</v>
      </c>
      <c r="C95" s="260">
        <f t="shared" si="4"/>
        <v>0</v>
      </c>
      <c r="D95" s="467" t="str">
        <f>VLOOKUP(F95,Справочник!$A$2:$C$415,3,FALSE)</f>
        <v>Административные расходы</v>
      </c>
      <c r="F95" s="441">
        <v>7211</v>
      </c>
      <c r="G95" s="442" t="s">
        <v>749</v>
      </c>
      <c r="H95" s="444"/>
      <c r="I95" s="444"/>
      <c r="J95" s="443">
        <v>50000</v>
      </c>
      <c r="K95" s="443">
        <v>50000</v>
      </c>
      <c r="L95" s="444"/>
      <c r="M95" s="444"/>
    </row>
    <row r="96" spans="1:13">
      <c r="A96" s="467" t="str">
        <f t="shared" si="5"/>
        <v>"Penson Group"</v>
      </c>
      <c r="B96" s="260">
        <f t="shared" si="3"/>
        <v>0</v>
      </c>
      <c r="C96" s="260">
        <f t="shared" si="4"/>
        <v>0</v>
      </c>
      <c r="D96" s="467">
        <f>VLOOKUP(F96,Справочник!$A$2:$C$415,3,FALSE)</f>
        <v>0</v>
      </c>
      <c r="F96" s="440">
        <v>7300</v>
      </c>
      <c r="G96" s="437" t="s">
        <v>281</v>
      </c>
      <c r="H96" s="438"/>
      <c r="I96" s="438"/>
      <c r="J96" s="439">
        <v>1221215.7</v>
      </c>
      <c r="K96" s="439">
        <v>1221215.7</v>
      </c>
      <c r="L96" s="438"/>
      <c r="M96" s="438"/>
    </row>
    <row r="97" spans="1:13">
      <c r="A97" s="467" t="str">
        <f t="shared" si="5"/>
        <v>"Penson Group"</v>
      </c>
      <c r="B97" s="260">
        <f t="shared" si="3"/>
        <v>0</v>
      </c>
      <c r="C97" s="260">
        <f t="shared" si="4"/>
        <v>0</v>
      </c>
      <c r="D97" s="467" t="str">
        <f>VLOOKUP(F97,Справочник!$A$2:$C$415,3,FALSE)</f>
        <v>Расходы по финансированию</v>
      </c>
      <c r="F97" s="441">
        <v>7310</v>
      </c>
      <c r="G97" s="442" t="s">
        <v>282</v>
      </c>
      <c r="H97" s="444"/>
      <c r="I97" s="444"/>
      <c r="J97" s="443">
        <v>1221215.7</v>
      </c>
      <c r="K97" s="443">
        <v>1221215.7</v>
      </c>
      <c r="L97" s="444"/>
      <c r="M97" s="444"/>
    </row>
    <row r="98" spans="1:13">
      <c r="A98" s="467" t="str">
        <f t="shared" si="5"/>
        <v>"Penson Group"</v>
      </c>
      <c r="B98" s="260">
        <f t="shared" si="3"/>
        <v>0</v>
      </c>
      <c r="C98" s="260">
        <f t="shared" si="4"/>
        <v>0</v>
      </c>
      <c r="D98" s="467">
        <f>VLOOKUP(F98,Справочник!$A$2:$C$415,3,FALSE)</f>
        <v>0</v>
      </c>
      <c r="F98" s="440">
        <v>7400</v>
      </c>
      <c r="G98" s="437" t="s">
        <v>286</v>
      </c>
      <c r="H98" s="438"/>
      <c r="I98" s="438"/>
      <c r="J98" s="439">
        <v>5164627.55</v>
      </c>
      <c r="K98" s="439">
        <v>5164627.55</v>
      </c>
      <c r="L98" s="438"/>
      <c r="M98" s="438"/>
    </row>
    <row r="99" spans="1:13">
      <c r="A99" s="467" t="str">
        <f t="shared" si="5"/>
        <v>"Penson Group"</v>
      </c>
      <c r="B99" s="260">
        <f t="shared" si="3"/>
        <v>0</v>
      </c>
      <c r="C99" s="260">
        <f t="shared" si="4"/>
        <v>0</v>
      </c>
      <c r="D99" s="467" t="str">
        <f>VLOOKUP(F99,Справочник!$A$2:$C$415,3,FALSE)</f>
        <v>Расходы по выбытию активов</v>
      </c>
      <c r="F99" s="441">
        <v>7410</v>
      </c>
      <c r="G99" s="442" t="s">
        <v>287</v>
      </c>
      <c r="H99" s="444"/>
      <c r="I99" s="444"/>
      <c r="J99" s="443">
        <v>3704067.81</v>
      </c>
      <c r="K99" s="443">
        <v>3704067.81</v>
      </c>
      <c r="L99" s="444"/>
      <c r="M99" s="444"/>
    </row>
    <row r="100" spans="1:13">
      <c r="A100" s="467" t="str">
        <f t="shared" si="5"/>
        <v>"Penson Group"</v>
      </c>
      <c r="B100" s="260">
        <f t="shared" si="3"/>
        <v>0</v>
      </c>
      <c r="C100" s="260">
        <f t="shared" si="4"/>
        <v>0</v>
      </c>
      <c r="D100" s="467" t="str">
        <f>VLOOKUP(F100,Справочник!$A$2:$C$415,3,FALSE)</f>
        <v>Расходы по курсовой разнице</v>
      </c>
      <c r="F100" s="441">
        <v>7430</v>
      </c>
      <c r="G100" s="442" t="s">
        <v>289</v>
      </c>
      <c r="H100" s="444"/>
      <c r="I100" s="444"/>
      <c r="J100" s="443">
        <v>1226051.3999999999</v>
      </c>
      <c r="K100" s="443">
        <v>1226051.3999999999</v>
      </c>
      <c r="L100" s="444"/>
      <c r="M100" s="444"/>
    </row>
    <row r="101" spans="1:13">
      <c r="A101" s="467" t="str">
        <f t="shared" si="5"/>
        <v>"Penson Group"</v>
      </c>
      <c r="B101" s="260">
        <f t="shared" si="3"/>
        <v>0</v>
      </c>
      <c r="C101" s="260">
        <f t="shared" si="4"/>
        <v>0</v>
      </c>
      <c r="D101" s="467" t="str">
        <f>VLOOKUP(F101,Справочник!$A$2:$C$415,3,FALSE)</f>
        <v>Прочие расходы</v>
      </c>
      <c r="F101" s="441">
        <v>7470</v>
      </c>
      <c r="G101" s="442" t="s">
        <v>286</v>
      </c>
      <c r="H101" s="444"/>
      <c r="I101" s="444"/>
      <c r="J101" s="443">
        <v>234508.34</v>
      </c>
      <c r="K101" s="443">
        <v>234508.34</v>
      </c>
      <c r="L101" s="444"/>
      <c r="M101" s="444"/>
    </row>
    <row r="102" spans="1:13">
      <c r="A102" s="467" t="str">
        <f t="shared" si="5"/>
        <v>"Penson Group"</v>
      </c>
      <c r="B102" s="260">
        <f t="shared" si="3"/>
        <v>1116372353.3599999</v>
      </c>
      <c r="C102" s="260">
        <f t="shared" si="4"/>
        <v>1216293891.54</v>
      </c>
      <c r="D102" s="467" t="e">
        <f>VLOOKUP(F102,Справочник!$A$2:$C$415,3,FALSE)</f>
        <v>#N/A</v>
      </c>
      <c r="F102" s="676" t="s">
        <v>615</v>
      </c>
      <c r="G102" s="676"/>
      <c r="H102" s="453">
        <v>1116372353.3599999</v>
      </c>
      <c r="I102" s="453">
        <v>1116372353.3599999</v>
      </c>
      <c r="J102" s="453">
        <v>5493580894.4699993</v>
      </c>
      <c r="K102" s="453">
        <v>5493580894.4699993</v>
      </c>
      <c r="L102" s="453">
        <v>1216293891.54</v>
      </c>
      <c r="M102" s="453">
        <v>1216293891.54</v>
      </c>
    </row>
    <row r="103" spans="1:13">
      <c r="A103" s="467" t="str">
        <f t="shared" si="5"/>
        <v>"Penson Group"</v>
      </c>
      <c r="B103" s="260">
        <f t="shared" si="3"/>
        <v>0</v>
      </c>
      <c r="C103" s="260">
        <f t="shared" si="4"/>
        <v>0</v>
      </c>
      <c r="D103" s="467">
        <f>VLOOKUP(F103,Справочник!$A$2:$C$415,3,FALSE)</f>
        <v>0</v>
      </c>
      <c r="F103" s="425"/>
      <c r="G103" s="426"/>
      <c r="H103" s="428"/>
      <c r="I103" s="428"/>
      <c r="J103" s="427"/>
      <c r="K103" s="427"/>
      <c r="L103" s="428"/>
      <c r="M103" s="428"/>
    </row>
    <row r="104" spans="1:13">
      <c r="A104" s="467" t="str">
        <f t="shared" si="5"/>
        <v>"Penson Group"</v>
      </c>
      <c r="B104" s="260">
        <f t="shared" si="3"/>
        <v>0</v>
      </c>
      <c r="C104" s="260">
        <f t="shared" si="4"/>
        <v>0</v>
      </c>
      <c r="D104" s="467">
        <f>VLOOKUP(F104,Справочник!$A$2:$C$415,3,FALSE)</f>
        <v>0</v>
      </c>
      <c r="F104" s="424"/>
      <c r="G104" s="421"/>
      <c r="H104" s="422"/>
      <c r="I104" s="422"/>
      <c r="J104" s="423"/>
      <c r="K104" s="423"/>
      <c r="L104" s="422"/>
      <c r="M104" s="422"/>
    </row>
    <row r="105" spans="1:13">
      <c r="A105" s="467" t="str">
        <f t="shared" si="5"/>
        <v>"Penson Group"</v>
      </c>
      <c r="B105" s="260">
        <f t="shared" si="3"/>
        <v>0</v>
      </c>
      <c r="C105" s="260">
        <f t="shared" si="4"/>
        <v>0</v>
      </c>
      <c r="D105" s="467">
        <f>VLOOKUP(F105,Справочник!$A$2:$C$415,3,FALSE)</f>
        <v>0</v>
      </c>
      <c r="F105" s="425"/>
      <c r="G105" s="426"/>
      <c r="H105" s="428"/>
      <c r="I105" s="428"/>
      <c r="J105" s="427"/>
      <c r="K105" s="427"/>
      <c r="L105" s="428"/>
      <c r="M105" s="428"/>
    </row>
    <row r="106" spans="1:13">
      <c r="A106" s="467" t="str">
        <f t="shared" si="5"/>
        <v>"Penson Group"</v>
      </c>
      <c r="B106" s="260">
        <f t="shared" si="3"/>
        <v>0</v>
      </c>
      <c r="C106" s="260">
        <f t="shared" si="4"/>
        <v>0</v>
      </c>
      <c r="D106" s="467">
        <f>VLOOKUP(F106,Справочник!$A$2:$C$415,3,FALSE)</f>
        <v>0</v>
      </c>
      <c r="F106" s="424"/>
      <c r="G106" s="421"/>
      <c r="H106" s="422"/>
      <c r="I106" s="422"/>
      <c r="J106" s="423"/>
      <c r="K106" s="423"/>
      <c r="L106" s="422"/>
      <c r="M106" s="422"/>
    </row>
    <row r="107" spans="1:13">
      <c r="A107" s="467" t="str">
        <f t="shared" si="5"/>
        <v>"Penson Group"</v>
      </c>
      <c r="B107" s="260">
        <f t="shared" si="3"/>
        <v>0</v>
      </c>
      <c r="C107" s="260">
        <f t="shared" si="4"/>
        <v>0</v>
      </c>
      <c r="D107" s="467">
        <f>VLOOKUP(F107,Справочник!$A$2:$C$415,3,FALSE)</f>
        <v>0</v>
      </c>
      <c r="F107" s="425"/>
      <c r="G107" s="426"/>
      <c r="H107" s="428"/>
      <c r="I107" s="428"/>
      <c r="J107" s="427"/>
      <c r="K107" s="427"/>
      <c r="L107" s="428"/>
      <c r="M107" s="428"/>
    </row>
    <row r="108" spans="1:13">
      <c r="A108" s="467" t="str">
        <f t="shared" si="5"/>
        <v>"Penson Group"</v>
      </c>
      <c r="B108" s="260">
        <f t="shared" si="3"/>
        <v>0</v>
      </c>
      <c r="C108" s="260">
        <f t="shared" si="4"/>
        <v>0</v>
      </c>
      <c r="D108" s="467">
        <f>VLOOKUP(F108,Справочник!$A$2:$C$415,3,FALSE)</f>
        <v>0</v>
      </c>
      <c r="F108" s="425"/>
      <c r="G108" s="426"/>
      <c r="H108" s="428"/>
      <c r="I108" s="428"/>
      <c r="J108" s="427"/>
      <c r="K108" s="427"/>
      <c r="L108" s="428"/>
      <c r="M108" s="428"/>
    </row>
    <row r="109" spans="1:13">
      <c r="A109" s="467" t="str">
        <f t="shared" si="5"/>
        <v>"Penson Group"</v>
      </c>
      <c r="B109" s="260">
        <f t="shared" si="3"/>
        <v>0</v>
      </c>
      <c r="C109" s="260">
        <f t="shared" si="4"/>
        <v>0</v>
      </c>
      <c r="D109" s="467">
        <f>VLOOKUP(F109,Справочник!$A$2:$C$415,3,FALSE)</f>
        <v>0</v>
      </c>
      <c r="F109" s="424"/>
      <c r="G109" s="421"/>
      <c r="H109" s="422"/>
      <c r="I109" s="422"/>
      <c r="J109" s="423"/>
      <c r="K109" s="423"/>
      <c r="L109" s="422"/>
      <c r="M109" s="422"/>
    </row>
    <row r="110" spans="1:13">
      <c r="A110" s="467" t="str">
        <f t="shared" si="5"/>
        <v>"Penson Group"</v>
      </c>
      <c r="B110" s="260">
        <f t="shared" si="3"/>
        <v>0</v>
      </c>
      <c r="C110" s="260">
        <f t="shared" si="4"/>
        <v>0</v>
      </c>
      <c r="D110" s="467">
        <f>VLOOKUP(F110,Справочник!$A$2:$C$415,3,FALSE)</f>
        <v>0</v>
      </c>
      <c r="F110" s="425"/>
      <c r="G110" s="426"/>
      <c r="H110" s="428"/>
      <c r="I110" s="428"/>
      <c r="J110" s="427"/>
      <c r="K110" s="427"/>
      <c r="L110" s="428"/>
      <c r="M110" s="428"/>
    </row>
    <row r="111" spans="1:13">
      <c r="A111" s="467" t="str">
        <f t="shared" si="5"/>
        <v>"Penson Group"</v>
      </c>
      <c r="B111" s="260">
        <f t="shared" si="3"/>
        <v>0</v>
      </c>
      <c r="C111" s="260">
        <f t="shared" si="4"/>
        <v>0</v>
      </c>
      <c r="D111" s="467">
        <f>VLOOKUP(F111,Справочник!$A$2:$C$415,3,FALSE)</f>
        <v>0</v>
      </c>
      <c r="F111" s="678"/>
      <c r="G111" s="678"/>
      <c r="H111" s="429"/>
      <c r="I111" s="429"/>
      <c r="J111" s="429"/>
      <c r="K111" s="429"/>
      <c r="L111" s="429"/>
      <c r="M111" s="429"/>
    </row>
    <row r="112" spans="1:13">
      <c r="A112" s="467" t="str">
        <f t="shared" si="5"/>
        <v>"Penson Group"</v>
      </c>
      <c r="B112" s="260">
        <f t="shared" si="3"/>
        <v>0</v>
      </c>
      <c r="C112" s="260">
        <f t="shared" si="4"/>
        <v>0</v>
      </c>
      <c r="D112" s="467">
        <f>VLOOKUP(F112,Справочник!$A$2:$C$415,3,FALSE)</f>
        <v>0</v>
      </c>
      <c r="F112" s="361"/>
      <c r="G112" s="357"/>
      <c r="H112" s="358"/>
      <c r="I112" s="360"/>
      <c r="J112" s="359"/>
      <c r="K112" s="360"/>
      <c r="L112" s="358"/>
      <c r="M112" s="360"/>
    </row>
    <row r="113" spans="1:13">
      <c r="A113" s="467" t="str">
        <f t="shared" si="5"/>
        <v>"Penson Group"</v>
      </c>
      <c r="B113" s="260">
        <f t="shared" si="3"/>
        <v>0</v>
      </c>
      <c r="C113" s="260">
        <f t="shared" si="4"/>
        <v>0</v>
      </c>
      <c r="D113" s="467">
        <f>VLOOKUP(F113,Справочник!$A$2:$C$415,3,FALSE)</f>
        <v>0</v>
      </c>
      <c r="F113" s="372"/>
      <c r="G113" s="373"/>
      <c r="H113" s="374"/>
      <c r="I113" s="376"/>
      <c r="J113" s="375"/>
      <c r="K113" s="376"/>
      <c r="L113" s="374"/>
      <c r="M113" s="376"/>
    </row>
    <row r="114" spans="1:13">
      <c r="A114" s="467" t="str">
        <f t="shared" si="5"/>
        <v>"Penson Group"</v>
      </c>
      <c r="B114" s="260">
        <f t="shared" si="3"/>
        <v>0</v>
      </c>
      <c r="C114" s="260">
        <f t="shared" si="4"/>
        <v>0</v>
      </c>
      <c r="D114" s="467">
        <f>VLOOKUP(F114,Справочник!$A$2:$C$415,3,FALSE)</f>
        <v>0</v>
      </c>
      <c r="F114" s="362"/>
      <c r="G114" s="363"/>
      <c r="H114" s="366"/>
      <c r="I114" s="364"/>
      <c r="J114" s="365"/>
      <c r="K114" s="366"/>
      <c r="L114" s="366"/>
      <c r="M114" s="364"/>
    </row>
    <row r="115" spans="1:13">
      <c r="A115" s="467" t="str">
        <f t="shared" si="5"/>
        <v>"Penson Group"</v>
      </c>
      <c r="B115" s="260">
        <f t="shared" si="3"/>
        <v>0</v>
      </c>
      <c r="C115" s="260">
        <f t="shared" si="4"/>
        <v>0</v>
      </c>
      <c r="D115" s="467">
        <f>VLOOKUP(F115,Справочник!$A$2:$C$415,3,FALSE)</f>
        <v>0</v>
      </c>
      <c r="F115" s="362"/>
      <c r="G115" s="363"/>
      <c r="H115" s="364"/>
      <c r="I115" s="365"/>
      <c r="J115" s="365"/>
      <c r="K115" s="364"/>
      <c r="L115" s="364"/>
      <c r="M115" s="366"/>
    </row>
    <row r="116" spans="1:13">
      <c r="A116" s="467" t="str">
        <f t="shared" si="5"/>
        <v>"Penson Group"</v>
      </c>
      <c r="B116" s="260">
        <f t="shared" si="3"/>
        <v>0</v>
      </c>
      <c r="C116" s="260">
        <f t="shared" si="4"/>
        <v>0</v>
      </c>
      <c r="D116" s="467">
        <f>VLOOKUP(F116,Справочник!$A$2:$C$415,3,FALSE)</f>
        <v>0</v>
      </c>
      <c r="F116" s="361"/>
      <c r="G116" s="357"/>
      <c r="H116" s="358"/>
      <c r="I116" s="360"/>
      <c r="J116" s="360"/>
      <c r="K116" s="358"/>
      <c r="L116" s="358"/>
      <c r="M116" s="360"/>
    </row>
    <row r="117" spans="1:13">
      <c r="A117" s="467" t="str">
        <f t="shared" si="5"/>
        <v>"Penson Group"</v>
      </c>
      <c r="B117" s="260">
        <f t="shared" si="3"/>
        <v>0</v>
      </c>
      <c r="C117" s="260">
        <f t="shared" si="4"/>
        <v>0</v>
      </c>
      <c r="D117" s="467">
        <f>VLOOKUP(F117,Справочник!$A$2:$C$415,3,FALSE)</f>
        <v>0</v>
      </c>
      <c r="F117" s="362"/>
      <c r="G117" s="363"/>
      <c r="H117" s="366"/>
      <c r="I117" s="364"/>
      <c r="J117" s="364"/>
      <c r="K117" s="366"/>
      <c r="L117" s="366"/>
      <c r="M117" s="364"/>
    </row>
    <row r="118" spans="1:13">
      <c r="A118" s="467" t="str">
        <f t="shared" si="5"/>
        <v>"Penson Group"</v>
      </c>
      <c r="B118" s="260">
        <f t="shared" si="3"/>
        <v>0</v>
      </c>
      <c r="C118" s="260">
        <f t="shared" si="4"/>
        <v>0</v>
      </c>
      <c r="D118" s="467">
        <f>VLOOKUP(F118,Справочник!$A$2:$C$415,3,FALSE)</f>
        <v>0</v>
      </c>
      <c r="F118" s="361"/>
      <c r="G118" s="357"/>
      <c r="H118" s="358"/>
      <c r="I118" s="360"/>
      <c r="J118" s="359"/>
      <c r="K118" s="358"/>
      <c r="L118" s="358"/>
      <c r="M118" s="360"/>
    </row>
    <row r="119" spans="1:13">
      <c r="A119" s="467" t="str">
        <f t="shared" si="5"/>
        <v>"Penson Group"</v>
      </c>
      <c r="B119" s="260">
        <f t="shared" si="3"/>
        <v>0</v>
      </c>
      <c r="C119" s="260">
        <f t="shared" si="4"/>
        <v>0</v>
      </c>
      <c r="D119" s="467">
        <f>VLOOKUP(F119,Справочник!$A$2:$C$415,3,FALSE)</f>
        <v>0</v>
      </c>
      <c r="F119" s="362"/>
      <c r="G119" s="363"/>
      <c r="H119" s="366"/>
      <c r="I119" s="364"/>
      <c r="J119" s="365"/>
      <c r="K119" s="366"/>
      <c r="L119" s="366"/>
      <c r="M119" s="364"/>
    </row>
    <row r="120" spans="1:13">
      <c r="A120" s="467" t="str">
        <f t="shared" si="5"/>
        <v>"Penson Group"</v>
      </c>
      <c r="B120" s="260">
        <f t="shared" si="3"/>
        <v>0</v>
      </c>
      <c r="C120" s="260">
        <f t="shared" si="4"/>
        <v>0</v>
      </c>
      <c r="D120" s="467">
        <f>VLOOKUP(F120,Справочник!$A$2:$C$415,3,FALSE)</f>
        <v>0</v>
      </c>
      <c r="F120" s="361"/>
      <c r="G120" s="357"/>
      <c r="H120" s="358"/>
      <c r="I120" s="360"/>
      <c r="J120" s="360"/>
      <c r="K120" s="360"/>
      <c r="L120" s="358"/>
      <c r="M120" s="360"/>
    </row>
    <row r="121" spans="1:13">
      <c r="A121" s="467" t="str">
        <f t="shared" si="5"/>
        <v>"Penson Group"</v>
      </c>
      <c r="B121" s="260">
        <f t="shared" si="3"/>
        <v>0</v>
      </c>
      <c r="C121" s="260">
        <f t="shared" si="4"/>
        <v>0</v>
      </c>
      <c r="D121" s="467">
        <f>VLOOKUP(F121,Справочник!$A$2:$C$415,3,FALSE)</f>
        <v>0</v>
      </c>
      <c r="F121" s="362"/>
      <c r="G121" s="363"/>
      <c r="H121" s="366"/>
      <c r="I121" s="365"/>
      <c r="J121" s="365"/>
      <c r="K121" s="364"/>
      <c r="L121" s="366"/>
      <c r="M121" s="364"/>
    </row>
    <row r="122" spans="1:13">
      <c r="A122" s="467" t="str">
        <f t="shared" si="5"/>
        <v>"Penson Group"</v>
      </c>
      <c r="B122" s="260">
        <f t="shared" si="3"/>
        <v>0</v>
      </c>
      <c r="C122" s="260">
        <f t="shared" si="4"/>
        <v>0</v>
      </c>
      <c r="D122" s="467">
        <f>VLOOKUP(F122,Справочник!$A$2:$C$415,3,FALSE)</f>
        <v>0</v>
      </c>
      <c r="F122" s="362"/>
      <c r="G122" s="363"/>
      <c r="H122" s="366"/>
      <c r="I122" s="365"/>
      <c r="J122" s="364"/>
      <c r="K122" s="364"/>
      <c r="L122" s="366"/>
      <c r="M122" s="364"/>
    </row>
    <row r="123" spans="1:13">
      <c r="A123" s="467" t="str">
        <f t="shared" si="5"/>
        <v>"Penson Group"</v>
      </c>
      <c r="B123" s="260">
        <f t="shared" si="3"/>
        <v>0</v>
      </c>
      <c r="C123" s="260">
        <f t="shared" si="4"/>
        <v>0</v>
      </c>
      <c r="D123" s="467">
        <f>VLOOKUP(F123,Справочник!$A$2:$C$415,3,FALSE)</f>
        <v>0</v>
      </c>
      <c r="F123" s="362"/>
      <c r="G123" s="363"/>
      <c r="H123" s="366"/>
      <c r="I123" s="364"/>
      <c r="J123" s="364"/>
      <c r="K123" s="364"/>
      <c r="L123" s="366"/>
      <c r="M123" s="366"/>
    </row>
    <row r="124" spans="1:13">
      <c r="A124" s="467" t="str">
        <f t="shared" si="5"/>
        <v>"Penson Group"</v>
      </c>
      <c r="B124" s="260">
        <f t="shared" si="3"/>
        <v>0</v>
      </c>
      <c r="C124" s="260">
        <f t="shared" si="4"/>
        <v>0</v>
      </c>
      <c r="D124" s="467">
        <f>VLOOKUP(F124,Справочник!$A$2:$C$415,3,FALSE)</f>
        <v>0</v>
      </c>
      <c r="F124" s="361"/>
      <c r="G124" s="357"/>
      <c r="H124" s="358"/>
      <c r="I124" s="359"/>
      <c r="J124" s="360"/>
      <c r="K124" s="360"/>
      <c r="L124" s="360"/>
      <c r="M124" s="358"/>
    </row>
    <row r="125" spans="1:13">
      <c r="A125" s="467" t="str">
        <f t="shared" si="5"/>
        <v>"Penson Group"</v>
      </c>
      <c r="B125" s="260">
        <f t="shared" si="3"/>
        <v>0</v>
      </c>
      <c r="C125" s="260">
        <f t="shared" si="4"/>
        <v>0</v>
      </c>
      <c r="D125" s="467">
        <f>VLOOKUP(F125,Справочник!$A$2:$C$415,3,FALSE)</f>
        <v>0</v>
      </c>
      <c r="F125" s="362"/>
      <c r="G125" s="363"/>
      <c r="H125" s="366"/>
      <c r="I125" s="365"/>
      <c r="J125" s="364"/>
      <c r="K125" s="364"/>
      <c r="L125" s="364"/>
      <c r="M125" s="366"/>
    </row>
    <row r="126" spans="1:13">
      <c r="A126" s="467" t="str">
        <f t="shared" si="5"/>
        <v>"Penson Group"</v>
      </c>
      <c r="B126" s="260">
        <f t="shared" si="3"/>
        <v>0</v>
      </c>
      <c r="C126" s="260">
        <f t="shared" si="4"/>
        <v>0</v>
      </c>
      <c r="D126" s="467">
        <f>VLOOKUP(F126,Справочник!$A$2:$C$415,3,FALSE)</f>
        <v>0</v>
      </c>
      <c r="F126" s="361"/>
      <c r="G126" s="357"/>
      <c r="H126" s="358"/>
      <c r="I126" s="360"/>
      <c r="J126" s="360"/>
      <c r="K126" s="360"/>
      <c r="L126" s="358"/>
      <c r="M126" s="360"/>
    </row>
    <row r="127" spans="1:13">
      <c r="A127" s="467" t="str">
        <f t="shared" si="5"/>
        <v>"Penson Group"</v>
      </c>
      <c r="B127" s="260">
        <f t="shared" si="3"/>
        <v>0</v>
      </c>
      <c r="C127" s="260">
        <f t="shared" si="4"/>
        <v>0</v>
      </c>
      <c r="D127" s="467">
        <f>VLOOKUP(F127,Справочник!$A$2:$C$415,3,FALSE)</f>
        <v>0</v>
      </c>
      <c r="F127" s="362"/>
      <c r="G127" s="363"/>
      <c r="H127" s="366"/>
      <c r="I127" s="364"/>
      <c r="J127" s="365"/>
      <c r="K127" s="364"/>
      <c r="L127" s="366"/>
      <c r="M127" s="364"/>
    </row>
    <row r="128" spans="1:13">
      <c r="A128" s="467" t="str">
        <f t="shared" si="5"/>
        <v>"Penson Group"</v>
      </c>
      <c r="B128" s="260">
        <f t="shared" si="3"/>
        <v>0</v>
      </c>
      <c r="C128" s="260">
        <f t="shared" si="4"/>
        <v>0</v>
      </c>
      <c r="D128" s="467">
        <f>VLOOKUP(F128,Справочник!$A$2:$C$415,3,FALSE)</f>
        <v>0</v>
      </c>
      <c r="F128" s="362"/>
      <c r="G128" s="363"/>
      <c r="H128" s="366"/>
      <c r="I128" s="365"/>
      <c r="J128" s="368"/>
      <c r="K128" s="366"/>
      <c r="L128" s="366"/>
      <c r="M128" s="364"/>
    </row>
    <row r="129" spans="1:13">
      <c r="A129" s="467" t="str">
        <f t="shared" si="5"/>
        <v>"Penson Group"</v>
      </c>
      <c r="B129" s="260">
        <f t="shared" si="3"/>
        <v>0</v>
      </c>
      <c r="C129" s="260">
        <f t="shared" si="4"/>
        <v>0</v>
      </c>
      <c r="D129" s="467">
        <f>VLOOKUP(F129,Справочник!$A$2:$C$415,3,FALSE)</f>
        <v>0</v>
      </c>
      <c r="F129" s="362"/>
      <c r="G129" s="363"/>
      <c r="H129" s="366"/>
      <c r="I129" s="364"/>
      <c r="J129" s="364"/>
      <c r="K129" s="366"/>
      <c r="L129" s="366"/>
      <c r="M129" s="364"/>
    </row>
    <row r="130" spans="1:13">
      <c r="A130" s="467" t="str">
        <f t="shared" si="5"/>
        <v>"Penson Group"</v>
      </c>
      <c r="B130" s="260">
        <f t="shared" si="3"/>
        <v>0</v>
      </c>
      <c r="C130" s="260">
        <f t="shared" si="4"/>
        <v>0</v>
      </c>
      <c r="D130" s="467">
        <f>VLOOKUP(F130,Справочник!$A$2:$C$415,3,FALSE)</f>
        <v>0</v>
      </c>
      <c r="F130" s="361"/>
      <c r="G130" s="357"/>
      <c r="H130" s="358"/>
      <c r="I130" s="359"/>
      <c r="J130" s="360"/>
      <c r="K130" s="360"/>
      <c r="L130" s="358"/>
      <c r="M130" s="358"/>
    </row>
    <row r="131" spans="1:13">
      <c r="A131" s="467" t="str">
        <f t="shared" si="5"/>
        <v>"Penson Group"</v>
      </c>
      <c r="B131" s="260">
        <f t="shared" si="3"/>
        <v>0</v>
      </c>
      <c r="C131" s="260">
        <f t="shared" si="4"/>
        <v>0</v>
      </c>
      <c r="D131" s="467">
        <f>VLOOKUP(F131,Справочник!$A$2:$C$415,3,FALSE)</f>
        <v>0</v>
      </c>
      <c r="F131" s="362"/>
      <c r="G131" s="363"/>
      <c r="H131" s="366"/>
      <c r="I131" s="365"/>
      <c r="J131" s="364"/>
      <c r="K131" s="364"/>
      <c r="L131" s="366"/>
      <c r="M131" s="366"/>
    </row>
    <row r="132" spans="1:13">
      <c r="A132" s="467" t="str">
        <f t="shared" si="5"/>
        <v>"Penson Group"</v>
      </c>
      <c r="B132" s="260">
        <f t="shared" si="3"/>
        <v>0</v>
      </c>
      <c r="C132" s="260">
        <f t="shared" si="4"/>
        <v>0</v>
      </c>
      <c r="D132" s="467">
        <f>VLOOKUP(F132,Справочник!$A$2:$C$415,3,FALSE)</f>
        <v>0</v>
      </c>
      <c r="F132" s="361"/>
      <c r="G132" s="357"/>
      <c r="H132" s="358"/>
      <c r="I132" s="359"/>
      <c r="J132" s="360"/>
      <c r="K132" s="360"/>
      <c r="L132" s="358"/>
      <c r="M132" s="358"/>
    </row>
    <row r="133" spans="1:13">
      <c r="A133" s="467" t="str">
        <f t="shared" si="5"/>
        <v>"Penson Group"</v>
      </c>
      <c r="B133" s="260">
        <f t="shared" si="3"/>
        <v>0</v>
      </c>
      <c r="C133" s="260">
        <f t="shared" si="4"/>
        <v>0</v>
      </c>
      <c r="D133" s="467">
        <f>VLOOKUP(F133,Справочник!$A$2:$C$415,3,FALSE)</f>
        <v>0</v>
      </c>
      <c r="F133" s="362"/>
      <c r="G133" s="363"/>
      <c r="H133" s="366"/>
      <c r="I133" s="365"/>
      <c r="J133" s="364"/>
      <c r="K133" s="364"/>
      <c r="L133" s="366"/>
      <c r="M133" s="366"/>
    </row>
    <row r="134" spans="1:13">
      <c r="A134" s="467" t="str">
        <f t="shared" si="5"/>
        <v>"Penson Group"</v>
      </c>
      <c r="B134" s="260">
        <f t="shared" si="3"/>
        <v>0</v>
      </c>
      <c r="C134" s="260">
        <f t="shared" si="4"/>
        <v>0</v>
      </c>
      <c r="D134" s="467">
        <f>VLOOKUP(F134,Справочник!$A$2:$C$415,3,FALSE)</f>
        <v>0</v>
      </c>
      <c r="F134" s="362"/>
      <c r="G134" s="363"/>
      <c r="H134" s="366"/>
      <c r="I134" s="365"/>
      <c r="J134" s="364"/>
      <c r="K134" s="364"/>
      <c r="L134" s="366"/>
      <c r="M134" s="366"/>
    </row>
    <row r="135" spans="1:13">
      <c r="A135" s="467" t="str">
        <f t="shared" si="5"/>
        <v>"Penson Group"</v>
      </c>
      <c r="B135" s="260">
        <f t="shared" si="3"/>
        <v>0</v>
      </c>
      <c r="C135" s="260">
        <f t="shared" si="4"/>
        <v>0</v>
      </c>
      <c r="D135" s="467">
        <f>VLOOKUP(F135,Справочник!$A$2:$C$415,3,FALSE)</f>
        <v>0</v>
      </c>
      <c r="F135" s="362"/>
      <c r="G135" s="363"/>
      <c r="H135" s="366"/>
      <c r="I135" s="365"/>
      <c r="J135" s="364"/>
      <c r="K135" s="364"/>
      <c r="L135" s="366"/>
      <c r="M135" s="366"/>
    </row>
    <row r="136" spans="1:13">
      <c r="A136" s="467" t="str">
        <f t="shared" si="5"/>
        <v>"Penson Group"</v>
      </c>
      <c r="B136" s="260">
        <f t="shared" ref="B136:B171" si="6">IF(ISBLANK(H136)=FALSE,H136,-I136)</f>
        <v>0</v>
      </c>
      <c r="C136" s="260">
        <f t="shared" si="4"/>
        <v>0</v>
      </c>
      <c r="D136" s="467">
        <f>VLOOKUP(F136,Справочник!$A$2:$C$415,3,FALSE)</f>
        <v>0</v>
      </c>
      <c r="F136" s="361"/>
      <c r="G136" s="357"/>
      <c r="H136" s="358"/>
      <c r="I136" s="359"/>
      <c r="J136" s="369"/>
      <c r="K136" s="369"/>
      <c r="L136" s="358"/>
      <c r="M136" s="358"/>
    </row>
    <row r="137" spans="1:13">
      <c r="A137" s="467" t="str">
        <f t="shared" si="5"/>
        <v>"Penson Group"</v>
      </c>
      <c r="B137" s="260">
        <f t="shared" si="6"/>
        <v>0</v>
      </c>
      <c r="C137" s="260">
        <f t="shared" si="4"/>
        <v>0</v>
      </c>
      <c r="D137" s="467">
        <f>VLOOKUP(F137,Справочник!$A$2:$C$415,3,FALSE)</f>
        <v>0</v>
      </c>
      <c r="F137" s="362"/>
      <c r="G137" s="363"/>
      <c r="H137" s="366"/>
      <c r="I137" s="365"/>
      <c r="J137" s="367"/>
      <c r="K137" s="367"/>
      <c r="L137" s="366"/>
      <c r="M137" s="366"/>
    </row>
    <row r="138" spans="1:13">
      <c r="A138" s="467" t="str">
        <f t="shared" si="5"/>
        <v>"Penson Group"</v>
      </c>
      <c r="B138" s="260">
        <f t="shared" si="6"/>
        <v>0</v>
      </c>
      <c r="C138" s="260">
        <f t="shared" ref="C138:C171" si="7">IF(ISBLANK(L138)=FALSE,L138,-M138)</f>
        <v>0</v>
      </c>
      <c r="D138" s="467">
        <f>VLOOKUP(F138,Справочник!$A$2:$C$415,3,FALSE)</f>
        <v>0</v>
      </c>
      <c r="F138" s="361"/>
      <c r="G138" s="357"/>
      <c r="H138" s="358"/>
      <c r="I138" s="359"/>
      <c r="J138" s="360"/>
      <c r="K138" s="360"/>
      <c r="L138" s="358"/>
      <c r="M138" s="358"/>
    </row>
    <row r="139" spans="1:13">
      <c r="A139" s="467" t="str">
        <f t="shared" ref="A139:A171" si="8">A138</f>
        <v>"Penson Group"</v>
      </c>
      <c r="B139" s="260">
        <f t="shared" si="6"/>
        <v>0</v>
      </c>
      <c r="C139" s="260">
        <f t="shared" si="7"/>
        <v>0</v>
      </c>
      <c r="D139" s="467">
        <f>VLOOKUP(F139,Справочник!$A$2:$C$415,3,FALSE)</f>
        <v>0</v>
      </c>
      <c r="F139" s="362"/>
      <c r="G139" s="363"/>
      <c r="H139" s="366"/>
      <c r="I139" s="365"/>
      <c r="J139" s="364"/>
      <c r="K139" s="364"/>
      <c r="L139" s="366"/>
      <c r="M139" s="366"/>
    </row>
    <row r="140" spans="1:13">
      <c r="A140" s="467" t="str">
        <f t="shared" si="8"/>
        <v>"Penson Group"</v>
      </c>
      <c r="B140" s="260">
        <f t="shared" si="6"/>
        <v>0</v>
      </c>
      <c r="C140" s="260">
        <f t="shared" si="7"/>
        <v>0</v>
      </c>
      <c r="D140" s="467">
        <f>VLOOKUP(F140,Справочник!$A$2:$C$415,3,FALSE)</f>
        <v>0</v>
      </c>
      <c r="F140" s="362"/>
      <c r="G140" s="363"/>
      <c r="H140" s="366"/>
      <c r="I140" s="365"/>
      <c r="J140" s="364"/>
      <c r="K140" s="364"/>
      <c r="L140" s="366"/>
      <c r="M140" s="366"/>
    </row>
    <row r="141" spans="1:13">
      <c r="A141" s="467" t="str">
        <f t="shared" si="8"/>
        <v>"Penson Group"</v>
      </c>
      <c r="B141" s="260">
        <f t="shared" si="6"/>
        <v>0</v>
      </c>
      <c r="C141" s="260">
        <f t="shared" si="7"/>
        <v>0</v>
      </c>
      <c r="D141" s="467">
        <f>VLOOKUP(F141,Справочник!$A$2:$C$415,3,FALSE)</f>
        <v>0</v>
      </c>
      <c r="F141" s="362"/>
      <c r="G141" s="363"/>
      <c r="H141" s="366"/>
      <c r="I141" s="365"/>
      <c r="J141" s="364"/>
      <c r="K141" s="364"/>
      <c r="L141" s="366"/>
      <c r="M141" s="366"/>
    </row>
    <row r="142" spans="1:13">
      <c r="A142" s="467" t="str">
        <f t="shared" si="8"/>
        <v>"Penson Group"</v>
      </c>
      <c r="B142" s="260">
        <f t="shared" si="6"/>
        <v>0</v>
      </c>
      <c r="C142" s="260">
        <f t="shared" si="7"/>
        <v>0</v>
      </c>
      <c r="D142" s="467">
        <f>VLOOKUP(F142,Справочник!$A$2:$C$415,3,FALSE)</f>
        <v>0</v>
      </c>
      <c r="F142" s="362"/>
      <c r="G142" s="363"/>
      <c r="H142" s="366"/>
      <c r="I142" s="365"/>
      <c r="J142" s="364"/>
      <c r="K142" s="364"/>
      <c r="L142" s="366"/>
      <c r="M142" s="366"/>
    </row>
    <row r="143" spans="1:13">
      <c r="A143" s="467" t="str">
        <f t="shared" si="8"/>
        <v>"Penson Group"</v>
      </c>
      <c r="B143" s="260">
        <f t="shared" si="6"/>
        <v>0</v>
      </c>
      <c r="C143" s="260">
        <f t="shared" si="7"/>
        <v>0</v>
      </c>
      <c r="D143" s="467">
        <f>VLOOKUP(F143,Справочник!$A$2:$C$415,3,FALSE)</f>
        <v>0</v>
      </c>
      <c r="F143" s="362"/>
      <c r="G143" s="363"/>
      <c r="H143" s="366"/>
      <c r="I143" s="365"/>
      <c r="J143" s="364"/>
      <c r="K143" s="364"/>
      <c r="L143" s="366"/>
      <c r="M143" s="366"/>
    </row>
    <row r="144" spans="1:13">
      <c r="A144" s="467" t="str">
        <f t="shared" si="8"/>
        <v>"Penson Group"</v>
      </c>
      <c r="B144" s="260">
        <f t="shared" si="6"/>
        <v>0</v>
      </c>
      <c r="C144" s="260">
        <f t="shared" si="7"/>
        <v>0</v>
      </c>
      <c r="D144" s="467">
        <f>VLOOKUP(F144,Справочник!$A$2:$C$415,3,FALSE)</f>
        <v>0</v>
      </c>
      <c r="F144" s="362"/>
      <c r="G144" s="363"/>
      <c r="H144" s="366"/>
      <c r="I144" s="365"/>
      <c r="J144" s="364"/>
      <c r="K144" s="364"/>
      <c r="L144" s="366"/>
      <c r="M144" s="366"/>
    </row>
    <row r="145" spans="1:13">
      <c r="A145" s="467" t="str">
        <f t="shared" si="8"/>
        <v>"Penson Group"</v>
      </c>
      <c r="B145" s="260">
        <f t="shared" si="6"/>
        <v>0</v>
      </c>
      <c r="C145" s="260">
        <f t="shared" si="7"/>
        <v>0</v>
      </c>
      <c r="D145" s="467">
        <f>VLOOKUP(F145,Справочник!$A$2:$C$415,3,FALSE)</f>
        <v>0</v>
      </c>
      <c r="F145" s="361"/>
      <c r="G145" s="357"/>
      <c r="H145" s="358"/>
      <c r="I145" s="359"/>
      <c r="J145" s="360"/>
      <c r="K145" s="360"/>
      <c r="L145" s="369"/>
      <c r="M145" s="358"/>
    </row>
    <row r="146" spans="1:13">
      <c r="A146" s="467" t="str">
        <f t="shared" si="8"/>
        <v>"Penson Group"</v>
      </c>
      <c r="B146" s="260">
        <f t="shared" si="6"/>
        <v>0</v>
      </c>
      <c r="C146" s="260">
        <f t="shared" si="7"/>
        <v>0</v>
      </c>
      <c r="D146" s="467">
        <f>VLOOKUP(F146,Справочник!$A$2:$C$415,3,FALSE)</f>
        <v>0</v>
      </c>
      <c r="F146" s="361"/>
      <c r="G146" s="357"/>
      <c r="H146" s="358"/>
      <c r="I146" s="359"/>
      <c r="J146" s="369"/>
      <c r="K146" s="369"/>
      <c r="L146" s="358"/>
      <c r="M146" s="358"/>
    </row>
    <row r="147" spans="1:13">
      <c r="A147" s="467" t="str">
        <f t="shared" si="8"/>
        <v>"Penson Group"</v>
      </c>
      <c r="B147" s="260">
        <f t="shared" si="6"/>
        <v>0</v>
      </c>
      <c r="C147" s="260">
        <f t="shared" si="7"/>
        <v>0</v>
      </c>
      <c r="D147" s="467">
        <f>VLOOKUP(F147,Справочник!$A$2:$C$415,3,FALSE)</f>
        <v>0</v>
      </c>
      <c r="F147" s="362"/>
      <c r="G147" s="363"/>
      <c r="H147" s="366"/>
      <c r="I147" s="365"/>
      <c r="J147" s="364"/>
      <c r="K147" s="364"/>
      <c r="L147" s="366"/>
      <c r="M147" s="366"/>
    </row>
    <row r="148" spans="1:13">
      <c r="A148" s="467" t="str">
        <f t="shared" si="8"/>
        <v>"Penson Group"</v>
      </c>
      <c r="B148" s="260">
        <f t="shared" si="6"/>
        <v>0</v>
      </c>
      <c r="C148" s="260">
        <f t="shared" si="7"/>
        <v>0</v>
      </c>
      <c r="D148" s="467">
        <f>VLOOKUP(F148,Справочник!$A$2:$C$415,3,FALSE)</f>
        <v>0</v>
      </c>
      <c r="F148" s="362"/>
      <c r="G148" s="363"/>
      <c r="H148" s="366"/>
      <c r="I148" s="365"/>
      <c r="J148" s="364"/>
      <c r="K148" s="364"/>
      <c r="L148" s="367"/>
      <c r="M148" s="366"/>
    </row>
    <row r="149" spans="1:13">
      <c r="A149" s="467" t="str">
        <f t="shared" si="8"/>
        <v>"Penson Group"</v>
      </c>
      <c r="B149" s="260">
        <f t="shared" si="6"/>
        <v>0</v>
      </c>
      <c r="C149" s="260">
        <f t="shared" si="7"/>
        <v>0</v>
      </c>
      <c r="D149" s="467">
        <f>VLOOKUP(F149,Справочник!$A$2:$C$415,3,FALSE)</f>
        <v>0</v>
      </c>
      <c r="F149" s="362"/>
      <c r="G149" s="363"/>
      <c r="H149" s="366"/>
      <c r="I149" s="365"/>
      <c r="J149" s="364"/>
      <c r="K149" s="364"/>
      <c r="L149" s="366"/>
      <c r="M149" s="366"/>
    </row>
    <row r="150" spans="1:13">
      <c r="A150" s="467" t="str">
        <f t="shared" si="8"/>
        <v>"Penson Group"</v>
      </c>
      <c r="B150" s="260">
        <f t="shared" si="6"/>
        <v>0</v>
      </c>
      <c r="C150" s="260">
        <f t="shared" si="7"/>
        <v>0</v>
      </c>
      <c r="D150" s="467">
        <f>VLOOKUP(F150,Справочник!$A$2:$C$415,3,FALSE)</f>
        <v>0</v>
      </c>
      <c r="F150" s="362"/>
      <c r="G150" s="363"/>
      <c r="H150" s="366"/>
      <c r="I150" s="365"/>
      <c r="J150" s="364"/>
      <c r="K150" s="364"/>
      <c r="L150" s="366"/>
      <c r="M150" s="366"/>
    </row>
    <row r="151" spans="1:13">
      <c r="A151" s="467" t="str">
        <f t="shared" si="8"/>
        <v>"Penson Group"</v>
      </c>
      <c r="B151" s="260">
        <f t="shared" si="6"/>
        <v>0</v>
      </c>
      <c r="C151" s="260">
        <f t="shared" si="7"/>
        <v>0</v>
      </c>
      <c r="D151" s="467">
        <f>VLOOKUP(F151,Справочник!$A$2:$C$415,3,FALSE)</f>
        <v>0</v>
      </c>
      <c r="F151" s="361"/>
      <c r="G151" s="357"/>
      <c r="H151" s="358"/>
      <c r="I151" s="359"/>
      <c r="J151" s="360"/>
      <c r="K151" s="360"/>
      <c r="L151" s="358"/>
      <c r="M151" s="358"/>
    </row>
    <row r="152" spans="1:13">
      <c r="A152" s="467" t="str">
        <f t="shared" si="8"/>
        <v>"Penson Group"</v>
      </c>
      <c r="B152" s="260">
        <f t="shared" si="6"/>
        <v>0</v>
      </c>
      <c r="C152" s="260">
        <f t="shared" si="7"/>
        <v>0</v>
      </c>
      <c r="D152" s="467">
        <f>VLOOKUP(F152,Справочник!$A$2:$C$415,3,FALSE)</f>
        <v>0</v>
      </c>
      <c r="F152" s="362"/>
      <c r="G152" s="363"/>
      <c r="H152" s="366"/>
      <c r="I152" s="365"/>
      <c r="J152" s="364"/>
      <c r="K152" s="364"/>
      <c r="L152" s="366"/>
      <c r="M152" s="366"/>
    </row>
    <row r="153" spans="1:13">
      <c r="A153" s="467" t="str">
        <f t="shared" si="8"/>
        <v>"Penson Group"</v>
      </c>
      <c r="B153" s="260">
        <f t="shared" si="6"/>
        <v>0</v>
      </c>
      <c r="C153" s="260">
        <f t="shared" si="7"/>
        <v>0</v>
      </c>
      <c r="D153" s="467">
        <f>VLOOKUP(F153,Справочник!$A$2:$C$415,3,FALSE)</f>
        <v>0</v>
      </c>
      <c r="F153" s="362"/>
      <c r="G153" s="363"/>
      <c r="H153" s="366"/>
      <c r="I153" s="365"/>
      <c r="J153" s="364"/>
      <c r="K153" s="364"/>
      <c r="L153" s="366"/>
      <c r="M153" s="366"/>
    </row>
    <row r="154" spans="1:13">
      <c r="A154" s="467" t="str">
        <f t="shared" si="8"/>
        <v>"Penson Group"</v>
      </c>
      <c r="B154" s="260">
        <f t="shared" si="6"/>
        <v>0</v>
      </c>
      <c r="C154" s="260">
        <f t="shared" si="7"/>
        <v>0</v>
      </c>
      <c r="D154" s="467">
        <f>VLOOKUP(F154,Справочник!$A$2:$C$415,3,FALSE)</f>
        <v>0</v>
      </c>
      <c r="F154" s="361"/>
      <c r="G154" s="357"/>
      <c r="H154" s="358"/>
      <c r="I154" s="359"/>
      <c r="J154" s="360"/>
      <c r="K154" s="360"/>
      <c r="L154" s="358"/>
      <c r="M154" s="358"/>
    </row>
    <row r="155" spans="1:13">
      <c r="A155" s="467" t="str">
        <f t="shared" si="8"/>
        <v>"Penson Group"</v>
      </c>
      <c r="B155" s="260">
        <f t="shared" si="6"/>
        <v>0</v>
      </c>
      <c r="C155" s="260">
        <f t="shared" si="7"/>
        <v>0</v>
      </c>
      <c r="D155" s="467">
        <f>VLOOKUP(F155,Справочник!$A$2:$C$415,3,FALSE)</f>
        <v>0</v>
      </c>
      <c r="F155" s="362"/>
      <c r="G155" s="363"/>
      <c r="H155" s="366"/>
      <c r="I155" s="365"/>
      <c r="J155" s="364"/>
      <c r="K155" s="364"/>
      <c r="L155" s="366"/>
      <c r="M155" s="366"/>
    </row>
    <row r="156" spans="1:13">
      <c r="A156" s="467" t="str">
        <f t="shared" si="8"/>
        <v>"Penson Group"</v>
      </c>
      <c r="B156" s="260">
        <f t="shared" si="6"/>
        <v>0</v>
      </c>
      <c r="C156" s="260">
        <f t="shared" si="7"/>
        <v>0</v>
      </c>
      <c r="D156" s="467">
        <f>VLOOKUP(F156,Справочник!$A$2:$C$415,3,FALSE)</f>
        <v>0</v>
      </c>
      <c r="F156" s="362"/>
      <c r="G156" s="363"/>
      <c r="H156" s="366"/>
      <c r="I156" s="365"/>
      <c r="J156" s="364"/>
      <c r="K156" s="364"/>
      <c r="L156" s="366"/>
      <c r="M156" s="366"/>
    </row>
    <row r="157" spans="1:13">
      <c r="A157" s="467" t="str">
        <f t="shared" si="8"/>
        <v>"Penson Group"</v>
      </c>
      <c r="B157" s="260">
        <f t="shared" si="6"/>
        <v>0</v>
      </c>
      <c r="C157" s="260">
        <f t="shared" si="7"/>
        <v>0</v>
      </c>
      <c r="D157" s="467">
        <f>VLOOKUP(F157,Справочник!$A$2:$C$415,3,FALSE)</f>
        <v>0</v>
      </c>
      <c r="F157" s="361"/>
      <c r="G157" s="357"/>
      <c r="H157" s="358"/>
      <c r="I157" s="359"/>
      <c r="J157" s="360"/>
      <c r="K157" s="360"/>
      <c r="L157" s="358"/>
      <c r="M157" s="358"/>
    </row>
    <row r="158" spans="1:13">
      <c r="A158" s="467" t="str">
        <f t="shared" si="8"/>
        <v>"Penson Group"</v>
      </c>
      <c r="B158" s="260">
        <f t="shared" si="6"/>
        <v>0</v>
      </c>
      <c r="C158" s="260">
        <f t="shared" si="7"/>
        <v>0</v>
      </c>
      <c r="D158" s="467">
        <f>VLOOKUP(F158,Справочник!$A$2:$C$415,3,FALSE)</f>
        <v>0</v>
      </c>
      <c r="F158" s="362"/>
      <c r="G158" s="363"/>
      <c r="H158" s="366"/>
      <c r="I158" s="365"/>
      <c r="J158" s="364"/>
      <c r="K158" s="364"/>
      <c r="L158" s="366"/>
      <c r="M158" s="366"/>
    </row>
    <row r="159" spans="1:13">
      <c r="A159" s="467" t="str">
        <f t="shared" si="8"/>
        <v>"Penson Group"</v>
      </c>
      <c r="B159" s="260">
        <f t="shared" si="6"/>
        <v>0</v>
      </c>
      <c r="C159" s="260">
        <f t="shared" si="7"/>
        <v>0</v>
      </c>
      <c r="D159" s="467">
        <f>VLOOKUP(F159,Справочник!$A$2:$C$415,3,FALSE)</f>
        <v>0</v>
      </c>
      <c r="F159" s="362"/>
      <c r="G159" s="363"/>
      <c r="H159" s="366"/>
      <c r="I159" s="365"/>
      <c r="J159" s="364"/>
      <c r="K159" s="364"/>
      <c r="L159" s="366"/>
      <c r="M159" s="366"/>
    </row>
    <row r="160" spans="1:13">
      <c r="A160" s="467" t="str">
        <f t="shared" si="8"/>
        <v>"Penson Group"</v>
      </c>
      <c r="B160" s="260">
        <f t="shared" si="6"/>
        <v>0</v>
      </c>
      <c r="C160" s="260">
        <f t="shared" si="7"/>
        <v>0</v>
      </c>
      <c r="D160" s="467">
        <f>VLOOKUP(F160,Справочник!$A$2:$C$415,3,FALSE)</f>
        <v>0</v>
      </c>
      <c r="F160" s="362"/>
      <c r="G160" s="363"/>
      <c r="H160" s="366"/>
      <c r="I160" s="365"/>
      <c r="J160" s="364"/>
      <c r="K160" s="364"/>
      <c r="L160" s="366"/>
      <c r="M160" s="366"/>
    </row>
    <row r="161" spans="1:13">
      <c r="A161" s="467" t="str">
        <f t="shared" si="8"/>
        <v>"Penson Group"</v>
      </c>
      <c r="B161" s="260">
        <f t="shared" si="6"/>
        <v>0</v>
      </c>
      <c r="C161" s="260">
        <f t="shared" si="7"/>
        <v>0</v>
      </c>
      <c r="D161" s="467">
        <f>VLOOKUP(F161,Справочник!$A$2:$C$415,3,FALSE)</f>
        <v>0</v>
      </c>
      <c r="F161" s="361"/>
      <c r="G161" s="357"/>
      <c r="H161" s="358"/>
      <c r="I161" s="359"/>
      <c r="J161" s="360"/>
      <c r="K161" s="360"/>
      <c r="L161" s="358"/>
      <c r="M161" s="358"/>
    </row>
    <row r="162" spans="1:13">
      <c r="A162" s="467" t="str">
        <f t="shared" si="8"/>
        <v>"Penson Group"</v>
      </c>
      <c r="B162" s="260">
        <f t="shared" si="6"/>
        <v>0</v>
      </c>
      <c r="C162" s="260">
        <f t="shared" si="7"/>
        <v>0</v>
      </c>
      <c r="D162" s="467">
        <f>VLOOKUP(F162,Справочник!$A$2:$C$415,3,FALSE)</f>
        <v>0</v>
      </c>
      <c r="F162" s="362"/>
      <c r="G162" s="363"/>
      <c r="H162" s="366"/>
      <c r="I162" s="365"/>
      <c r="J162" s="364"/>
      <c r="K162" s="364"/>
      <c r="L162" s="366"/>
      <c r="M162" s="366"/>
    </row>
    <row r="163" spans="1:13">
      <c r="A163" s="467" t="str">
        <f t="shared" si="8"/>
        <v>"Penson Group"</v>
      </c>
      <c r="B163" s="260">
        <f t="shared" si="6"/>
        <v>0</v>
      </c>
      <c r="C163" s="260">
        <f t="shared" si="7"/>
        <v>0</v>
      </c>
      <c r="D163" s="467">
        <f>VLOOKUP(F163,Справочник!$A$2:$C$415,3,FALSE)</f>
        <v>0</v>
      </c>
      <c r="F163" s="362"/>
      <c r="G163" s="363"/>
      <c r="H163" s="366"/>
      <c r="I163" s="365"/>
      <c r="J163" s="364"/>
      <c r="K163" s="364"/>
      <c r="L163" s="366"/>
      <c r="M163" s="366"/>
    </row>
    <row r="164" spans="1:13">
      <c r="A164" s="467" t="str">
        <f t="shared" si="8"/>
        <v>"Penson Group"</v>
      </c>
      <c r="B164" s="260">
        <f t="shared" si="6"/>
        <v>0</v>
      </c>
      <c r="C164" s="260">
        <f t="shared" si="7"/>
        <v>0</v>
      </c>
      <c r="D164" s="467">
        <f>VLOOKUP(F164,Справочник!$A$2:$C$415,3,FALSE)</f>
        <v>0</v>
      </c>
      <c r="F164" s="362"/>
      <c r="G164" s="363"/>
      <c r="H164" s="366"/>
      <c r="I164" s="365"/>
      <c r="J164" s="364"/>
      <c r="K164" s="364"/>
      <c r="L164" s="366"/>
      <c r="M164" s="366"/>
    </row>
    <row r="165" spans="1:13">
      <c r="A165" s="467" t="str">
        <f t="shared" si="8"/>
        <v>"Penson Group"</v>
      </c>
      <c r="B165" s="260">
        <f t="shared" si="6"/>
        <v>0</v>
      </c>
      <c r="C165" s="260">
        <f t="shared" si="7"/>
        <v>0</v>
      </c>
      <c r="D165" s="467">
        <f>VLOOKUP(F165,Справочник!$A$2:$C$415,3,FALSE)</f>
        <v>0</v>
      </c>
      <c r="F165" s="362"/>
      <c r="G165" s="363"/>
      <c r="H165" s="366"/>
      <c r="I165" s="365"/>
      <c r="J165" s="364"/>
      <c r="K165" s="364"/>
      <c r="L165" s="366"/>
      <c r="M165" s="366"/>
    </row>
    <row r="166" spans="1:13">
      <c r="A166" s="467" t="str">
        <f t="shared" si="8"/>
        <v>"Penson Group"</v>
      </c>
      <c r="B166" s="260">
        <f t="shared" si="6"/>
        <v>0</v>
      </c>
      <c r="C166" s="260">
        <f t="shared" si="7"/>
        <v>0</v>
      </c>
      <c r="D166" s="467">
        <f>VLOOKUP(F166,Справочник!$A$2:$C$415,3,FALSE)</f>
        <v>0</v>
      </c>
      <c r="F166" s="362"/>
      <c r="G166" s="363"/>
      <c r="H166" s="366"/>
      <c r="I166" s="365"/>
      <c r="J166" s="364"/>
      <c r="K166" s="364"/>
      <c r="L166" s="366"/>
      <c r="M166" s="366"/>
    </row>
    <row r="167" spans="1:13">
      <c r="A167" s="467" t="str">
        <f t="shared" si="8"/>
        <v>"Penson Group"</v>
      </c>
      <c r="B167" s="260">
        <f t="shared" si="6"/>
        <v>0</v>
      </c>
      <c r="C167" s="260">
        <f t="shared" si="7"/>
        <v>0</v>
      </c>
      <c r="D167" s="467">
        <f>VLOOKUP(F167,Справочник!$A$2:$C$415,3,FALSE)</f>
        <v>0</v>
      </c>
      <c r="F167" s="361"/>
      <c r="G167" s="357"/>
      <c r="H167" s="358"/>
      <c r="I167" s="359"/>
      <c r="J167" s="360"/>
      <c r="K167" s="360"/>
      <c r="L167" s="358"/>
      <c r="M167" s="358"/>
    </row>
    <row r="168" spans="1:13">
      <c r="A168" s="467" t="str">
        <f t="shared" si="8"/>
        <v>"Penson Group"</v>
      </c>
      <c r="B168" s="260">
        <f t="shared" si="6"/>
        <v>0</v>
      </c>
      <c r="C168" s="260">
        <f t="shared" si="7"/>
        <v>0</v>
      </c>
      <c r="D168" s="467">
        <f>VLOOKUP(F168,Справочник!$A$2:$C$415,3,FALSE)</f>
        <v>0</v>
      </c>
      <c r="F168" s="362"/>
      <c r="G168" s="363"/>
      <c r="H168" s="366"/>
      <c r="I168" s="365"/>
      <c r="J168" s="364"/>
      <c r="K168" s="364"/>
      <c r="L168" s="366"/>
      <c r="M168" s="366"/>
    </row>
    <row r="169" spans="1:13">
      <c r="A169" s="467" t="str">
        <f t="shared" si="8"/>
        <v>"Penson Group"</v>
      </c>
      <c r="B169" s="260">
        <f t="shared" si="6"/>
        <v>0</v>
      </c>
      <c r="C169" s="260">
        <f t="shared" si="7"/>
        <v>0</v>
      </c>
      <c r="D169" s="467">
        <f>VLOOKUP(F169,Справочник!$A$2:$C$415,3,FALSE)</f>
        <v>0</v>
      </c>
      <c r="F169" s="361"/>
      <c r="G169" s="357"/>
      <c r="H169" s="358"/>
      <c r="I169" s="359"/>
      <c r="J169" s="360"/>
      <c r="K169" s="360"/>
      <c r="L169" s="358"/>
      <c r="M169" s="358"/>
    </row>
    <row r="170" spans="1:13">
      <c r="A170" s="467" t="str">
        <f t="shared" si="8"/>
        <v>"Penson Group"</v>
      </c>
      <c r="B170" s="260">
        <f t="shared" si="6"/>
        <v>0</v>
      </c>
      <c r="C170" s="260">
        <f t="shared" si="7"/>
        <v>0</v>
      </c>
      <c r="D170" s="467">
        <f>VLOOKUP(F170,Справочник!$A$2:$C$415,3,FALSE)</f>
        <v>0</v>
      </c>
      <c r="F170" s="362"/>
      <c r="G170" s="363"/>
      <c r="H170" s="366"/>
      <c r="I170" s="365"/>
      <c r="J170" s="364"/>
      <c r="K170" s="364"/>
      <c r="L170" s="366"/>
      <c r="M170" s="366"/>
    </row>
    <row r="171" spans="1:13">
      <c r="A171" s="467" t="str">
        <f t="shared" si="8"/>
        <v>"Penson Group"</v>
      </c>
      <c r="B171" s="260">
        <f t="shared" si="6"/>
        <v>0</v>
      </c>
      <c r="C171" s="260">
        <f t="shared" si="7"/>
        <v>0</v>
      </c>
      <c r="D171" s="467">
        <f>VLOOKUP(F171,Справочник!$A$2:$C$415,3,FALSE)</f>
        <v>0</v>
      </c>
      <c r="F171" s="353"/>
      <c r="G171" s="353"/>
      <c r="H171" s="370"/>
      <c r="I171" s="370"/>
      <c r="J171" s="370"/>
      <c r="K171" s="370"/>
      <c r="L171" s="370"/>
      <c r="M171" s="370"/>
    </row>
    <row r="172" spans="1:13">
      <c r="F172" s="352"/>
      <c r="G172" s="352"/>
      <c r="H172" s="352"/>
      <c r="I172" s="352"/>
      <c r="J172" s="352"/>
      <c r="K172" s="352"/>
      <c r="L172" s="352"/>
      <c r="M172" s="352"/>
    </row>
    <row r="173" spans="1:13">
      <c r="F173" s="351"/>
      <c r="G173" s="351"/>
      <c r="H173" s="351"/>
      <c r="I173" s="351"/>
      <c r="J173" s="351"/>
      <c r="K173" s="351"/>
      <c r="L173" s="351"/>
      <c r="M173" s="351"/>
    </row>
    <row r="174" spans="1:13">
      <c r="F174" s="354"/>
      <c r="G174" s="354"/>
      <c r="H174" s="355"/>
      <c r="I174" s="355"/>
      <c r="J174" s="352"/>
      <c r="K174" s="352"/>
      <c r="L174" s="352"/>
      <c r="M174" s="352"/>
    </row>
    <row r="175" spans="1:13">
      <c r="F175" s="352"/>
      <c r="G175" s="352"/>
      <c r="H175" s="356"/>
      <c r="I175" s="356"/>
      <c r="J175" s="352"/>
      <c r="K175" s="352"/>
      <c r="L175" s="352"/>
      <c r="M175" s="352"/>
    </row>
    <row r="176" spans="1:13">
      <c r="F176" s="351"/>
      <c r="G176" s="351"/>
      <c r="H176" s="351"/>
      <c r="I176" s="351"/>
      <c r="J176" s="351"/>
      <c r="K176" s="351"/>
      <c r="L176" s="351"/>
      <c r="M176" s="351"/>
    </row>
  </sheetData>
  <autoFilter ref="A7:M171"/>
  <mergeCells count="10">
    <mergeCell ref="J6:K6"/>
    <mergeCell ref="L6:M6"/>
    <mergeCell ref="F111:G111"/>
    <mergeCell ref="F102:G102"/>
    <mergeCell ref="B2:C2"/>
    <mergeCell ref="B3:C3"/>
    <mergeCell ref="B4:C4"/>
    <mergeCell ref="F6:F7"/>
    <mergeCell ref="G6:G7"/>
    <mergeCell ref="H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8"/>
  <sheetViews>
    <sheetView topLeftCell="F28" workbookViewId="0">
      <selection activeCell="G18" sqref="G18"/>
    </sheetView>
  </sheetViews>
  <sheetFormatPr defaultRowHeight="15" outlineLevelCol="1"/>
  <cols>
    <col min="1" max="1" width="26.42578125" style="467" customWidth="1" outlineLevel="1"/>
    <col min="2" max="2" width="23.85546875" style="138" customWidth="1" outlineLevel="1"/>
    <col min="3" max="3" width="22.85546875" style="138" customWidth="1" outlineLevel="1"/>
    <col min="4" max="5" width="9.140625" style="467" customWidth="1" outlineLevel="1"/>
    <col min="6" max="6" width="10.5703125" style="137" customWidth="1"/>
    <col min="7" max="7" width="74" style="137" bestFit="1" customWidth="1"/>
    <col min="8" max="8" width="15.85546875" style="137" bestFit="1" customWidth="1"/>
    <col min="9" max="9" width="16.42578125" style="137" bestFit="1" customWidth="1"/>
    <col min="10" max="12" width="15.85546875" style="137" bestFit="1" customWidth="1"/>
    <col min="13" max="13" width="16.42578125" style="137" bestFit="1" customWidth="1"/>
    <col min="14" max="16384" width="9.140625" style="467"/>
  </cols>
  <sheetData>
    <row r="1" spans="1:13">
      <c r="F1" s="371"/>
      <c r="G1" s="343"/>
      <c r="H1" s="343"/>
      <c r="I1" s="343"/>
      <c r="J1" s="343"/>
      <c r="K1" s="343"/>
      <c r="L1" s="343"/>
      <c r="M1" s="343"/>
    </row>
    <row r="2" spans="1:13" ht="15.75">
      <c r="B2" s="672"/>
      <c r="C2" s="672"/>
      <c r="F2" s="481" t="s">
        <v>737</v>
      </c>
      <c r="G2" s="482"/>
      <c r="H2" s="347"/>
      <c r="I2" s="347"/>
      <c r="J2" s="347"/>
      <c r="K2" s="347"/>
      <c r="L2" s="347"/>
      <c r="M2" s="347"/>
    </row>
    <row r="3" spans="1:13">
      <c r="B3" s="673"/>
      <c r="C3" s="673"/>
      <c r="F3" s="348"/>
      <c r="G3" s="348"/>
      <c r="H3" s="348"/>
      <c r="I3" s="348"/>
      <c r="J3" s="348"/>
      <c r="K3" s="348"/>
      <c r="L3" s="348"/>
      <c r="M3" s="348"/>
    </row>
    <row r="4" spans="1:13">
      <c r="B4" s="674"/>
      <c r="C4" s="674"/>
      <c r="F4" s="349" t="s">
        <v>359</v>
      </c>
      <c r="G4" s="349"/>
      <c r="H4" s="349"/>
      <c r="I4" s="349"/>
      <c r="J4" s="349"/>
      <c r="K4" s="349"/>
      <c r="L4" s="349"/>
      <c r="M4" s="349"/>
    </row>
    <row r="5" spans="1:13" ht="15.75" thickBot="1">
      <c r="B5" s="257"/>
      <c r="C5" s="257"/>
      <c r="F5" s="343"/>
      <c r="G5" s="343"/>
      <c r="H5" s="343"/>
      <c r="I5" s="343"/>
      <c r="J5" s="343"/>
      <c r="K5" s="343"/>
      <c r="L5" s="343"/>
      <c r="M5" s="343"/>
    </row>
    <row r="6" spans="1:13">
      <c r="B6" s="313" t="s">
        <v>361</v>
      </c>
      <c r="C6" s="314" t="s">
        <v>363</v>
      </c>
      <c r="F6" s="677" t="s">
        <v>360</v>
      </c>
      <c r="G6" s="675" t="s">
        <v>78</v>
      </c>
      <c r="H6" s="675" t="s">
        <v>361</v>
      </c>
      <c r="I6" s="675"/>
      <c r="J6" s="675" t="s">
        <v>367</v>
      </c>
      <c r="K6" s="675"/>
      <c r="L6" s="675" t="s">
        <v>363</v>
      </c>
      <c r="M6" s="675"/>
    </row>
    <row r="7" spans="1:13" ht="15.75" thickBot="1">
      <c r="B7" s="258" t="s">
        <v>364</v>
      </c>
      <c r="C7" s="259" t="s">
        <v>364</v>
      </c>
      <c r="F7" s="677"/>
      <c r="G7" s="675"/>
      <c r="H7" s="468" t="s">
        <v>364</v>
      </c>
      <c r="I7" s="468" t="s">
        <v>365</v>
      </c>
      <c r="J7" s="468" t="s">
        <v>364</v>
      </c>
      <c r="K7" s="468" t="s">
        <v>365</v>
      </c>
      <c r="L7" s="468" t="s">
        <v>364</v>
      </c>
      <c r="M7" s="468" t="s">
        <v>365</v>
      </c>
    </row>
    <row r="8" spans="1:13">
      <c r="A8" s="316" t="s">
        <v>751</v>
      </c>
      <c r="B8" s="260">
        <f t="shared" ref="B8:B71" si="0">IF(ISBLANK(H8)=FALSE,H8,-I8)</f>
        <v>10396890.640000001</v>
      </c>
      <c r="C8" s="260">
        <f>IF(ISBLANK(L8)=FALSE,L8,-M8)</f>
        <v>12988302.270000011</v>
      </c>
      <c r="F8" s="440">
        <v>1000</v>
      </c>
      <c r="G8" s="437" t="s">
        <v>72</v>
      </c>
      <c r="H8" s="539">
        <f>H9+H10+H12+H13+H14</f>
        <v>10396890.640000001</v>
      </c>
      <c r="I8" s="438"/>
      <c r="J8" s="439">
        <v>246235284.71000001</v>
      </c>
      <c r="K8" s="439">
        <v>243643873.08000001</v>
      </c>
      <c r="L8" s="439">
        <f>H8+J8-K8</f>
        <v>12988302.270000011</v>
      </c>
      <c r="M8" s="438"/>
    </row>
    <row r="9" spans="1:13">
      <c r="A9" s="467" t="str">
        <f>A8</f>
        <v>"ВестГлобал"</v>
      </c>
      <c r="B9" s="260">
        <f t="shared" si="0"/>
        <v>7266807.8700000001</v>
      </c>
      <c r="C9" s="260">
        <f t="shared" ref="C9:C72" si="1">IF(ISBLANK(L9)=FALSE,L9,-M9)</f>
        <v>11816772.579999998</v>
      </c>
      <c r="D9" s="467" t="str">
        <f>VLOOKUP(F9,Справочник!$A$2:$C$415,3,FALSE)</f>
        <v>Денежные средства и их эквиваленты</v>
      </c>
      <c r="F9" s="441">
        <v>1010</v>
      </c>
      <c r="G9" s="442" t="s">
        <v>80</v>
      </c>
      <c r="H9" s="544">
        <v>7266807.8700000001</v>
      </c>
      <c r="I9" s="444"/>
      <c r="J9" s="443">
        <v>102655290</v>
      </c>
      <c r="K9" s="443">
        <v>98105325.290000007</v>
      </c>
      <c r="L9" s="443">
        <f>H9+J9-K9</f>
        <v>11816772.579999998</v>
      </c>
      <c r="M9" s="444"/>
    </row>
    <row r="10" spans="1:13">
      <c r="A10" s="467" t="str">
        <f>A9</f>
        <v>"ВестГлобал"</v>
      </c>
      <c r="B10" s="260">
        <f t="shared" si="0"/>
        <v>3779.98</v>
      </c>
      <c r="C10" s="260">
        <f t="shared" si="1"/>
        <v>3779.9799999999814</v>
      </c>
      <c r="D10" s="467">
        <f>VLOOKUP(F10,Справочник!$A$2:$C$415,3,FALSE)</f>
        <v>0</v>
      </c>
      <c r="F10" s="445">
        <v>1020</v>
      </c>
      <c r="G10" s="446" t="s">
        <v>81</v>
      </c>
      <c r="H10" s="544">
        <v>3779.98</v>
      </c>
      <c r="I10" s="447"/>
      <c r="J10" s="448">
        <v>588045.56999999995</v>
      </c>
      <c r="K10" s="448">
        <v>588045.56999999995</v>
      </c>
      <c r="L10" s="443">
        <f t="shared" ref="L10:L14" si="2">H10+J10-K10</f>
        <v>3779.9799999999814</v>
      </c>
      <c r="M10" s="447"/>
    </row>
    <row r="11" spans="1:13">
      <c r="A11" s="467" t="str">
        <f t="shared" ref="A11:A74" si="3">A10</f>
        <v>"ВестГлобал"</v>
      </c>
      <c r="B11" s="260">
        <f t="shared" si="0"/>
        <v>3779.98</v>
      </c>
      <c r="C11" s="260">
        <f t="shared" si="1"/>
        <v>3779.9799999999814</v>
      </c>
      <c r="D11" s="467" t="str">
        <f>VLOOKUP(F11,Справочник!$A$2:$C$415,3,FALSE)</f>
        <v>Денежные средства и их эквиваленты</v>
      </c>
      <c r="F11" s="449">
        <v>1022</v>
      </c>
      <c r="G11" s="442" t="s">
        <v>82</v>
      </c>
      <c r="H11" s="544">
        <v>3779.98</v>
      </c>
      <c r="I11" s="444"/>
      <c r="J11" s="443">
        <v>588045.56999999995</v>
      </c>
      <c r="K11" s="443">
        <v>588045.56999999995</v>
      </c>
      <c r="L11" s="443">
        <f t="shared" si="2"/>
        <v>3779.9799999999814</v>
      </c>
      <c r="M11" s="444"/>
    </row>
    <row r="12" spans="1:13">
      <c r="A12" s="467" t="str">
        <f t="shared" si="3"/>
        <v>"ВестГлобал"</v>
      </c>
      <c r="B12" s="260">
        <f t="shared" si="0"/>
        <v>2966302.79</v>
      </c>
      <c r="C12" s="260">
        <f t="shared" si="1"/>
        <v>1007749.7099999785</v>
      </c>
      <c r="D12" s="467" t="str">
        <f>VLOOKUP(F12,Справочник!$A$2:$C$415,3,FALSE)</f>
        <v>Денежные средства и их эквиваленты</v>
      </c>
      <c r="F12" s="441">
        <v>1030</v>
      </c>
      <c r="G12" s="442" t="s">
        <v>83</v>
      </c>
      <c r="H12" s="538">
        <v>2966302.79</v>
      </c>
      <c r="I12" s="444"/>
      <c r="J12" s="443">
        <v>142991949.13999999</v>
      </c>
      <c r="K12" s="443">
        <v>144950502.22</v>
      </c>
      <c r="L12" s="443">
        <f t="shared" si="2"/>
        <v>1007749.7099999785</v>
      </c>
      <c r="M12" s="444"/>
    </row>
    <row r="13" spans="1:13">
      <c r="A13" s="467" t="str">
        <f t="shared" si="3"/>
        <v>"ВестГлобал"</v>
      </c>
      <c r="B13" s="260">
        <f t="shared" si="0"/>
        <v>80000</v>
      </c>
      <c r="C13" s="260">
        <f t="shared" si="1"/>
        <v>80000</v>
      </c>
      <c r="D13" s="467" t="str">
        <f>VLOOKUP(F13,Справочник!$A$2:$C$415,3,FALSE)</f>
        <v>Денежные средства и их эквиваленты</v>
      </c>
      <c r="F13" s="441">
        <v>1050</v>
      </c>
      <c r="G13" s="442" t="s">
        <v>85</v>
      </c>
      <c r="H13" s="538">
        <v>80000</v>
      </c>
      <c r="I13" s="444"/>
      <c r="J13" s="444"/>
      <c r="K13" s="444"/>
      <c r="L13" s="443">
        <f t="shared" si="2"/>
        <v>80000</v>
      </c>
      <c r="M13" s="444"/>
    </row>
    <row r="14" spans="1:13">
      <c r="A14" s="467" t="str">
        <f t="shared" si="3"/>
        <v>"ВестГлобал"</v>
      </c>
      <c r="B14" s="260">
        <f t="shared" si="0"/>
        <v>80000</v>
      </c>
      <c r="C14" s="260">
        <f t="shared" si="1"/>
        <v>80000</v>
      </c>
      <c r="D14" s="467" t="str">
        <f>VLOOKUP(F14,Справочник!$A$2:$C$415,3,FALSE)</f>
        <v>Денежные средства и их эквиваленты</v>
      </c>
      <c r="F14" s="441">
        <v>1060</v>
      </c>
      <c r="G14" s="442" t="s">
        <v>86</v>
      </c>
      <c r="H14" s="538">
        <v>80000</v>
      </c>
      <c r="I14" s="444"/>
      <c r="J14" s="444"/>
      <c r="K14" s="444"/>
      <c r="L14" s="443">
        <f t="shared" si="2"/>
        <v>80000</v>
      </c>
      <c r="M14" s="444"/>
    </row>
    <row r="15" spans="1:13">
      <c r="A15" s="467" t="str">
        <f t="shared" si="3"/>
        <v>"ВестГлобал"</v>
      </c>
      <c r="B15" s="260">
        <f t="shared" si="0"/>
        <v>19291529.280000001</v>
      </c>
      <c r="C15" s="260">
        <f t="shared" si="1"/>
        <v>-2639676.5899999738</v>
      </c>
      <c r="D15" s="467">
        <f>VLOOKUP(F15,Справочник!$A$2:$C$415,3,FALSE)</f>
        <v>0</v>
      </c>
      <c r="F15" s="440">
        <v>1200</v>
      </c>
      <c r="G15" s="437" t="s">
        <v>93</v>
      </c>
      <c r="H15" s="539">
        <f>H16+H17</f>
        <v>19291529.280000001</v>
      </c>
      <c r="I15" s="438"/>
      <c r="J15" s="439">
        <v>246851577.22</v>
      </c>
      <c r="K15" s="439">
        <v>268782783.08999997</v>
      </c>
      <c r="L15" s="439">
        <f>H15+J15-K15</f>
        <v>-2639676.5899999738</v>
      </c>
      <c r="M15" s="438"/>
    </row>
    <row r="16" spans="1:13">
      <c r="A16" s="467" t="str">
        <f t="shared" si="3"/>
        <v>"ВестГлобал"</v>
      </c>
      <c r="B16" s="260">
        <f t="shared" si="0"/>
        <v>13241414.880000001</v>
      </c>
      <c r="C16" s="260">
        <f t="shared" si="1"/>
        <v>11556269.389999986</v>
      </c>
      <c r="D16" s="467" t="str">
        <f>VLOOKUP(F16,Справочник!$A$2:$C$415,3,FALSE)</f>
        <v>Краткосрочная торговая и прочая дебиторская задолженность</v>
      </c>
      <c r="F16" s="441">
        <v>1210</v>
      </c>
      <c r="G16" s="442" t="s">
        <v>94</v>
      </c>
      <c r="H16" s="544">
        <v>13241414.880000001</v>
      </c>
      <c r="I16" s="444"/>
      <c r="J16" s="443">
        <v>203404386.59999999</v>
      </c>
      <c r="K16" s="443">
        <v>205089532.09</v>
      </c>
      <c r="L16" s="443">
        <f>H16+J16-K16</f>
        <v>11556269.389999986</v>
      </c>
      <c r="M16" s="444"/>
    </row>
    <row r="17" spans="1:13">
      <c r="A17" s="467" t="str">
        <f t="shared" si="3"/>
        <v>"ВестГлобал"</v>
      </c>
      <c r="B17" s="260">
        <f t="shared" si="0"/>
        <v>6050114.4000000004</v>
      </c>
      <c r="C17" s="260">
        <f t="shared" si="1"/>
        <v>-14195945.980000004</v>
      </c>
      <c r="D17" s="467">
        <f>VLOOKUP(F17,Справочник!$A$2:$C$415,3,FALSE)</f>
        <v>0</v>
      </c>
      <c r="F17" s="445">
        <v>1250</v>
      </c>
      <c r="G17" s="446" t="s">
        <v>98</v>
      </c>
      <c r="H17" s="541">
        <f>H18</f>
        <v>6050114.4000000004</v>
      </c>
      <c r="I17" s="447"/>
      <c r="J17" s="448">
        <v>43447190.619999997</v>
      </c>
      <c r="K17" s="448">
        <v>63693251</v>
      </c>
      <c r="L17" s="443">
        <f t="shared" ref="L17:L18" si="4">H17+J17-K17</f>
        <v>-14195945.980000004</v>
      </c>
      <c r="M17" s="447"/>
    </row>
    <row r="18" spans="1:13">
      <c r="A18" s="467" t="str">
        <f t="shared" si="3"/>
        <v>"ВестГлобал"</v>
      </c>
      <c r="B18" s="260">
        <f t="shared" si="0"/>
        <v>6050114.4000000004</v>
      </c>
      <c r="C18" s="260">
        <f t="shared" si="1"/>
        <v>-14195945.980000004</v>
      </c>
      <c r="D18" s="467" t="str">
        <f>VLOOKUP(F18,Справочник!$A$2:$C$415,3,FALSE)</f>
        <v>Краткосрочная торговая и прочая дебиторская задолженность</v>
      </c>
      <c r="F18" s="449">
        <v>1251</v>
      </c>
      <c r="G18" s="442" t="s">
        <v>99</v>
      </c>
      <c r="H18" s="544">
        <v>6050114.4000000004</v>
      </c>
      <c r="I18" s="444"/>
      <c r="J18" s="443">
        <v>43447190.619999997</v>
      </c>
      <c r="K18" s="443">
        <v>63693251</v>
      </c>
      <c r="L18" s="443">
        <f t="shared" si="4"/>
        <v>-14195945.980000004</v>
      </c>
      <c r="M18" s="444"/>
    </row>
    <row r="19" spans="1:13">
      <c r="A19" s="467" t="str">
        <f t="shared" si="3"/>
        <v>"ВестГлобал"</v>
      </c>
      <c r="B19" s="260">
        <f t="shared" si="0"/>
        <v>10542684.789999999</v>
      </c>
      <c r="C19" s="260">
        <f t="shared" si="1"/>
        <v>14234205.499999996</v>
      </c>
      <c r="D19" s="467">
        <f>VLOOKUP(F19,Справочник!$A$2:$C$415,3,FALSE)</f>
        <v>0</v>
      </c>
      <c r="F19" s="440">
        <v>1300</v>
      </c>
      <c r="G19" s="437" t="s">
        <v>110</v>
      </c>
      <c r="H19" s="539">
        <v>10542684.789999999</v>
      </c>
      <c r="I19" s="438"/>
      <c r="J19" s="439">
        <v>29745726.23</v>
      </c>
      <c r="K19" s="439">
        <v>26054205.52</v>
      </c>
      <c r="L19" s="439">
        <f>H19+J19-K19</f>
        <v>14234205.499999996</v>
      </c>
      <c r="M19" s="438"/>
    </row>
    <row r="20" spans="1:13">
      <c r="A20" s="467" t="str">
        <f t="shared" si="3"/>
        <v>"ВестГлобал"</v>
      </c>
      <c r="B20" s="260">
        <f t="shared" si="0"/>
        <v>10542684.789999999</v>
      </c>
      <c r="C20" s="260">
        <f t="shared" si="1"/>
        <v>14234205.5</v>
      </c>
      <c r="D20" s="467" t="str">
        <f>VLOOKUP(F20,Справочник!$A$2:$C$415,3,FALSE)</f>
        <v>Запасы</v>
      </c>
      <c r="F20" s="441">
        <v>1311</v>
      </c>
      <c r="G20" s="442" t="s">
        <v>111</v>
      </c>
      <c r="H20" s="538">
        <v>10542684.789999999</v>
      </c>
      <c r="I20" s="444"/>
      <c r="J20" s="443">
        <v>29745726.23</v>
      </c>
      <c r="K20" s="443">
        <v>26054205.52</v>
      </c>
      <c r="L20" s="443">
        <v>14234205.5</v>
      </c>
      <c r="M20" s="444"/>
    </row>
    <row r="21" spans="1:13">
      <c r="A21" s="467" t="str">
        <f t="shared" si="3"/>
        <v>"ВестГлобал"</v>
      </c>
      <c r="B21" s="260">
        <f t="shared" si="0"/>
        <v>0</v>
      </c>
      <c r="C21" s="260">
        <f t="shared" si="1"/>
        <v>1090.93</v>
      </c>
      <c r="D21" s="467">
        <f>VLOOKUP(F21,Справочник!$A$2:$C$415,3,FALSE)</f>
        <v>0</v>
      </c>
      <c r="F21" s="440">
        <v>1400</v>
      </c>
      <c r="G21" s="437" t="s">
        <v>11</v>
      </c>
      <c r="H21" s="438"/>
      <c r="I21" s="438"/>
      <c r="J21" s="439">
        <v>17078195.289999999</v>
      </c>
      <c r="K21" s="439">
        <v>17077104.359999999</v>
      </c>
      <c r="L21" s="439">
        <v>1090.93</v>
      </c>
      <c r="M21" s="438"/>
    </row>
    <row r="22" spans="1:13">
      <c r="A22" s="467" t="str">
        <f t="shared" si="3"/>
        <v>"ВестГлобал"</v>
      </c>
      <c r="B22" s="260">
        <f t="shared" si="0"/>
        <v>0</v>
      </c>
      <c r="C22" s="260">
        <f t="shared" si="1"/>
        <v>1090.93</v>
      </c>
      <c r="D22" s="467" t="str">
        <f>VLOOKUP(F22,Справочник!$A$2:$C$415,3,FALSE)</f>
        <v>Прочие краткосрочные активы</v>
      </c>
      <c r="F22" s="441">
        <v>1420</v>
      </c>
      <c r="G22" s="442" t="s">
        <v>124</v>
      </c>
      <c r="H22" s="444"/>
      <c r="I22" s="444"/>
      <c r="J22" s="443">
        <v>17078195.289999999</v>
      </c>
      <c r="K22" s="443">
        <v>17077104.359999999</v>
      </c>
      <c r="L22" s="443">
        <v>1090.93</v>
      </c>
      <c r="M22" s="444"/>
    </row>
    <row r="23" spans="1:13">
      <c r="A23" s="467" t="str">
        <f t="shared" si="3"/>
        <v>"ВестГлобал"</v>
      </c>
      <c r="B23" s="260">
        <f t="shared" si="0"/>
        <v>0</v>
      </c>
      <c r="C23" s="260">
        <f t="shared" si="1"/>
        <v>16000</v>
      </c>
      <c r="D23" s="467">
        <f>VLOOKUP(F23,Справочник!$A$2:$C$415,3,FALSE)</f>
        <v>0</v>
      </c>
      <c r="F23" s="440">
        <v>1600</v>
      </c>
      <c r="G23" s="437" t="s">
        <v>13</v>
      </c>
      <c r="H23" s="438"/>
      <c r="I23" s="438"/>
      <c r="J23" s="439">
        <v>7040438.04</v>
      </c>
      <c r="K23" s="439">
        <v>7024438.04</v>
      </c>
      <c r="L23" s="439">
        <v>16000</v>
      </c>
      <c r="M23" s="438"/>
    </row>
    <row r="24" spans="1:13">
      <c r="A24" s="467" t="str">
        <f t="shared" si="3"/>
        <v>"ВестГлобал"</v>
      </c>
      <c r="B24" s="260">
        <f t="shared" si="0"/>
        <v>0</v>
      </c>
      <c r="C24" s="260">
        <f t="shared" si="1"/>
        <v>16000</v>
      </c>
      <c r="D24" s="467" t="str">
        <f>VLOOKUP(F24,Справочник!$A$2:$C$415,3,FALSE)</f>
        <v>Прочие краткосрочные активы</v>
      </c>
      <c r="F24" s="441">
        <v>1610</v>
      </c>
      <c r="G24" s="442" t="s">
        <v>128</v>
      </c>
      <c r="H24" s="444"/>
      <c r="I24" s="444"/>
      <c r="J24" s="443">
        <v>7040438.04</v>
      </c>
      <c r="K24" s="443">
        <v>7024438.04</v>
      </c>
      <c r="L24" s="443">
        <v>16000</v>
      </c>
      <c r="M24" s="444"/>
    </row>
    <row r="25" spans="1:13">
      <c r="A25" s="467" t="str">
        <f t="shared" si="3"/>
        <v>"ВестГлобал"</v>
      </c>
      <c r="B25" s="260">
        <f t="shared" si="0"/>
        <v>0</v>
      </c>
      <c r="C25" s="260">
        <f t="shared" si="1"/>
        <v>0</v>
      </c>
      <c r="D25" s="467">
        <f>VLOOKUP(F25,Справочник!$A$2:$C$415,3,FALSE)</f>
        <v>0</v>
      </c>
      <c r="F25" s="440">
        <v>2100</v>
      </c>
      <c r="G25" s="437" t="s">
        <v>15</v>
      </c>
      <c r="H25" s="438"/>
      <c r="I25" s="438"/>
      <c r="J25" s="439">
        <v>66620</v>
      </c>
      <c r="K25" s="439">
        <v>66620</v>
      </c>
      <c r="L25" s="438"/>
      <c r="M25" s="438"/>
    </row>
    <row r="26" spans="1:13">
      <c r="A26" s="467" t="str">
        <f t="shared" si="3"/>
        <v>"ВестГлобал"</v>
      </c>
      <c r="B26" s="260">
        <f t="shared" si="0"/>
        <v>0</v>
      </c>
      <c r="C26" s="260">
        <f t="shared" si="1"/>
        <v>0</v>
      </c>
      <c r="D26" s="467">
        <f>VLOOKUP(F26,Справочник!$A$2:$C$415,3,FALSE)</f>
        <v>0</v>
      </c>
      <c r="F26" s="445">
        <v>2180</v>
      </c>
      <c r="G26" s="446" t="s">
        <v>145</v>
      </c>
      <c r="H26" s="447"/>
      <c r="I26" s="447"/>
      <c r="J26" s="448">
        <v>66620</v>
      </c>
      <c r="K26" s="448">
        <v>66620</v>
      </c>
      <c r="L26" s="447"/>
      <c r="M26" s="447"/>
    </row>
    <row r="27" spans="1:13">
      <c r="A27" s="467" t="str">
        <f t="shared" si="3"/>
        <v>"ВестГлобал"</v>
      </c>
      <c r="B27" s="260">
        <f t="shared" si="0"/>
        <v>0</v>
      </c>
      <c r="C27" s="260">
        <f t="shared" si="1"/>
        <v>0</v>
      </c>
      <c r="D27" s="467" t="str">
        <f>VLOOKUP(F27,Справочник!$A$2:$C$415,3,FALSE)</f>
        <v>Долгосрочная торговая и прочая дебиторская задолженность</v>
      </c>
      <c r="F27" s="449">
        <v>2181</v>
      </c>
      <c r="G27" s="442" t="s">
        <v>106</v>
      </c>
      <c r="H27" s="444"/>
      <c r="I27" s="444"/>
      <c r="J27" s="443">
        <v>66620</v>
      </c>
      <c r="K27" s="443">
        <v>66620</v>
      </c>
      <c r="L27" s="444"/>
      <c r="M27" s="444"/>
    </row>
    <row r="28" spans="1:13">
      <c r="A28" s="467" t="str">
        <f t="shared" si="3"/>
        <v>"ВестГлобал"</v>
      </c>
      <c r="B28" s="260">
        <f t="shared" si="0"/>
        <v>2201000</v>
      </c>
      <c r="C28" s="260">
        <f t="shared" si="1"/>
        <v>2201000</v>
      </c>
      <c r="D28" s="467">
        <f>VLOOKUP(F28,Справочник!$A$2:$C$415,3,FALSE)</f>
        <v>0</v>
      </c>
      <c r="F28" s="440">
        <v>2200</v>
      </c>
      <c r="G28" s="437" t="s">
        <v>147</v>
      </c>
      <c r="H28" s="539">
        <v>2201000</v>
      </c>
      <c r="I28" s="438"/>
      <c r="J28" s="438"/>
      <c r="K28" s="438"/>
      <c r="L28" s="439">
        <v>2201000</v>
      </c>
      <c r="M28" s="438"/>
    </row>
    <row r="29" spans="1:13">
      <c r="A29" s="467" t="str">
        <f t="shared" si="3"/>
        <v>"ВестГлобал"</v>
      </c>
      <c r="B29" s="260">
        <f t="shared" si="0"/>
        <v>2201000</v>
      </c>
      <c r="C29" s="260">
        <f t="shared" si="1"/>
        <v>2201000</v>
      </c>
      <c r="D29" s="467" t="str">
        <f>VLOOKUP(F29,Справочник!$A$2:$C$415,3,FALSE)</f>
        <v>Инвестиции, учитываемые методом долевого участия</v>
      </c>
      <c r="F29" s="441">
        <v>2210</v>
      </c>
      <c r="G29" s="442" t="s">
        <v>148</v>
      </c>
      <c r="H29" s="538">
        <v>2201000</v>
      </c>
      <c r="I29" s="444"/>
      <c r="J29" s="444"/>
      <c r="K29" s="444"/>
      <c r="L29" s="443">
        <v>2201000</v>
      </c>
      <c r="M29" s="444"/>
    </row>
    <row r="30" spans="1:13">
      <c r="A30" s="467" t="str">
        <f>A29</f>
        <v>"ВестГлобал"</v>
      </c>
      <c r="B30" s="260">
        <f t="shared" si="0"/>
        <v>20961849.09</v>
      </c>
      <c r="C30" s="260">
        <f t="shared" si="1"/>
        <v>19232186.68</v>
      </c>
      <c r="D30" s="537">
        <f>VLOOKUP(F30,Справочник!$A$2:$C$415,3,FALSE)</f>
        <v>0</v>
      </c>
      <c r="F30" s="440">
        <v>2400</v>
      </c>
      <c r="G30" s="437" t="s">
        <v>21</v>
      </c>
      <c r="H30" s="439">
        <f>H31-I32</f>
        <v>20961849.09</v>
      </c>
      <c r="I30" s="438"/>
      <c r="J30" s="439">
        <v>158919.64000000001</v>
      </c>
      <c r="K30" s="439">
        <v>1888582.05</v>
      </c>
      <c r="L30" s="439">
        <f>H30+J30-K30</f>
        <v>19232186.68</v>
      </c>
      <c r="M30" s="438"/>
    </row>
    <row r="31" spans="1:13">
      <c r="A31" s="467" t="str">
        <f t="shared" si="3"/>
        <v>"ВестГлобал"</v>
      </c>
      <c r="B31" s="260">
        <f t="shared" si="0"/>
        <v>26872762.550000001</v>
      </c>
      <c r="C31" s="260">
        <f t="shared" si="1"/>
        <v>27031682.190000001</v>
      </c>
      <c r="D31" s="467" t="str">
        <f>VLOOKUP(F31,Справочник!$A$2:$C$415,3,FALSE)</f>
        <v>Основные средства</v>
      </c>
      <c r="F31" s="441">
        <v>2410</v>
      </c>
      <c r="G31" s="442" t="s">
        <v>21</v>
      </c>
      <c r="H31" s="538">
        <v>26872762.550000001</v>
      </c>
      <c r="I31" s="444"/>
      <c r="J31" s="443">
        <v>158919.64000000001</v>
      </c>
      <c r="K31" s="444"/>
      <c r="L31" s="443">
        <f>H31+J31</f>
        <v>27031682.190000001</v>
      </c>
      <c r="M31" s="444"/>
    </row>
    <row r="32" spans="1:13">
      <c r="A32" s="467" t="str">
        <f t="shared" si="3"/>
        <v>"ВестГлобал"</v>
      </c>
      <c r="B32" s="260">
        <f t="shared" si="0"/>
        <v>-5910913.46</v>
      </c>
      <c r="C32" s="260">
        <f t="shared" si="1"/>
        <v>-7799495.5099999998</v>
      </c>
      <c r="D32" s="537" t="str">
        <f>VLOOKUP(F32,Справочник!$A$2:$C$415,3,FALSE)</f>
        <v>Основные средства</v>
      </c>
      <c r="F32" s="441">
        <v>2420</v>
      </c>
      <c r="G32" s="442" t="s">
        <v>152</v>
      </c>
      <c r="H32" s="444"/>
      <c r="I32" s="545">
        <v>5910913.46</v>
      </c>
      <c r="J32" s="444"/>
      <c r="K32" s="443">
        <v>1888582.05</v>
      </c>
      <c r="L32" s="444"/>
      <c r="M32" s="443">
        <f>I32+K32</f>
        <v>7799495.5099999998</v>
      </c>
    </row>
    <row r="33" spans="1:13">
      <c r="A33" s="467" t="str">
        <f t="shared" si="3"/>
        <v>"ВестГлобал"</v>
      </c>
      <c r="B33" s="260">
        <f t="shared" si="0"/>
        <v>-52602900</v>
      </c>
      <c r="C33" s="260">
        <f t="shared" si="1"/>
        <v>-52602900</v>
      </c>
      <c r="D33" s="537" t="str">
        <f>VLOOKUP(F33,Справочник!$A$2:$C$415,3,FALSE)</f>
        <v>Прочие краткосрочные финансовые обязательства</v>
      </c>
      <c r="F33" s="441">
        <v>3040</v>
      </c>
      <c r="G33" s="546" t="s">
        <v>175</v>
      </c>
      <c r="H33" s="444"/>
      <c r="I33" s="545">
        <v>52602900</v>
      </c>
      <c r="J33" s="444"/>
      <c r="K33" s="443"/>
      <c r="L33" s="444"/>
      <c r="M33" s="443">
        <f>I33+K33</f>
        <v>52602900</v>
      </c>
    </row>
    <row r="34" spans="1:13">
      <c r="A34" s="467" t="str">
        <f t="shared" si="3"/>
        <v>"ВестГлобал"</v>
      </c>
      <c r="B34" s="260">
        <f t="shared" si="0"/>
        <v>-4219648.55</v>
      </c>
      <c r="C34" s="260">
        <f t="shared" si="1"/>
        <v>-8993356.9199999943</v>
      </c>
      <c r="D34" s="537">
        <f>VLOOKUP(F34,Справочник!$A$2:$C$415,3,FALSE)</f>
        <v>0</v>
      </c>
      <c r="F34" s="440">
        <v>3100</v>
      </c>
      <c r="G34" s="437" t="s">
        <v>33</v>
      </c>
      <c r="H34" s="438"/>
      <c r="I34" s="439">
        <f>SUM(I35:I39)</f>
        <v>4219648.55</v>
      </c>
      <c r="J34" s="439">
        <v>29153923.710000001</v>
      </c>
      <c r="K34" s="439">
        <v>33927632.079999998</v>
      </c>
      <c r="L34" s="438"/>
      <c r="M34" s="439">
        <f>I34+K34-J34</f>
        <v>8993356.9199999943</v>
      </c>
    </row>
    <row r="35" spans="1:13">
      <c r="A35" s="467" t="str">
        <f t="shared" si="3"/>
        <v>"ВестГлобал"</v>
      </c>
      <c r="B35" s="260">
        <f t="shared" si="0"/>
        <v>-30675.94</v>
      </c>
      <c r="C35" s="260">
        <f t="shared" si="1"/>
        <v>-62043.139999999898</v>
      </c>
      <c r="D35" s="537" t="str">
        <f>VLOOKUP(F35,Справочник!$A$2:$C$415,3,FALSE)</f>
        <v>Прочие краткосрочные обязательства</v>
      </c>
      <c r="F35" s="441">
        <v>3120</v>
      </c>
      <c r="G35" s="442" t="s">
        <v>178</v>
      </c>
      <c r="H35" s="444"/>
      <c r="I35" s="538">
        <v>30675.94</v>
      </c>
      <c r="J35" s="443">
        <v>1218587.52</v>
      </c>
      <c r="K35" s="443">
        <v>1249954.72</v>
      </c>
      <c r="L35" s="444"/>
      <c r="M35" s="443">
        <f>I35+K35-J35</f>
        <v>62043.139999999898</v>
      </c>
    </row>
    <row r="36" spans="1:13">
      <c r="A36" s="467" t="str">
        <f t="shared" si="3"/>
        <v>"ВестГлобал"</v>
      </c>
      <c r="B36" s="260">
        <f t="shared" si="0"/>
        <v>-4153602.3</v>
      </c>
      <c r="C36" s="260">
        <f t="shared" si="1"/>
        <v>-8866904.1199999936</v>
      </c>
      <c r="D36" s="537" t="str">
        <f>VLOOKUP(F36,Справочник!$A$2:$C$415,3,FALSE)</f>
        <v>Прочие краткосрочные обязательства</v>
      </c>
      <c r="F36" s="441">
        <v>3130</v>
      </c>
      <c r="G36" s="442" t="s">
        <v>124</v>
      </c>
      <c r="H36" s="444"/>
      <c r="I36" s="545">
        <v>4153602.3</v>
      </c>
      <c r="J36" s="443">
        <v>25201528.260000002</v>
      </c>
      <c r="K36" s="443">
        <v>29914830.079999998</v>
      </c>
      <c r="L36" s="444"/>
      <c r="M36" s="443">
        <f t="shared" ref="M36:M39" si="5">I36+K36-J36</f>
        <v>8866904.1199999936</v>
      </c>
    </row>
    <row r="37" spans="1:13">
      <c r="A37" s="467" t="str">
        <f t="shared" si="3"/>
        <v>"ВестГлобал"</v>
      </c>
      <c r="B37" s="260">
        <f t="shared" si="0"/>
        <v>-85292.31</v>
      </c>
      <c r="C37" s="260">
        <f t="shared" si="1"/>
        <v>-115420.49000000022</v>
      </c>
      <c r="D37" s="537" t="str">
        <f>VLOOKUP(F37,Справочник!$A$2:$C$415,3,FALSE)</f>
        <v>Прочие краткосрочные обязательства</v>
      </c>
      <c r="F37" s="441">
        <v>3150</v>
      </c>
      <c r="G37" s="442" t="s">
        <v>180</v>
      </c>
      <c r="H37" s="444"/>
      <c r="I37" s="545">
        <v>85292.31</v>
      </c>
      <c r="J37" s="443">
        <v>1153307.93</v>
      </c>
      <c r="K37" s="443">
        <v>1183436.1100000001</v>
      </c>
      <c r="L37" s="444"/>
      <c r="M37" s="443">
        <f t="shared" si="5"/>
        <v>115420.49000000022</v>
      </c>
    </row>
    <row r="38" spans="1:13">
      <c r="A38" s="467" t="str">
        <f t="shared" si="3"/>
        <v>"ВестГлобал"</v>
      </c>
      <c r="B38" s="260">
        <f t="shared" si="0"/>
        <v>0</v>
      </c>
      <c r="C38" s="260">
        <f t="shared" si="1"/>
        <v>0</v>
      </c>
      <c r="D38" s="537" t="str">
        <f>VLOOKUP(F38,Справочник!$A$2:$C$415,3,FALSE)</f>
        <v>Прочие краткосрочные обязательства</v>
      </c>
      <c r="F38" s="441">
        <v>3180</v>
      </c>
      <c r="G38" s="442" t="s">
        <v>183</v>
      </c>
      <c r="H38" s="444"/>
      <c r="I38" s="444"/>
      <c r="J38" s="443">
        <v>1577500</v>
      </c>
      <c r="K38" s="443">
        <v>1577500</v>
      </c>
      <c r="L38" s="444"/>
      <c r="M38" s="443">
        <f t="shared" si="5"/>
        <v>0</v>
      </c>
    </row>
    <row r="39" spans="1:13">
      <c r="A39" s="467" t="str">
        <f t="shared" si="3"/>
        <v>"ВестГлобал"</v>
      </c>
      <c r="B39" s="260">
        <f t="shared" si="0"/>
        <v>49922</v>
      </c>
      <c r="C39" s="260">
        <f t="shared" si="1"/>
        <v>51010.83</v>
      </c>
      <c r="D39" s="537" t="str">
        <f>VLOOKUP(F39,Справочник!$A$2:$C$415,3,FALSE)</f>
        <v>Прочие краткосрочные обязательства</v>
      </c>
      <c r="F39" s="441">
        <v>3190</v>
      </c>
      <c r="G39" s="442" t="s">
        <v>184</v>
      </c>
      <c r="H39" s="444"/>
      <c r="I39" s="545">
        <v>-49922</v>
      </c>
      <c r="J39" s="443">
        <v>3000</v>
      </c>
      <c r="K39" s="443">
        <v>1911.17</v>
      </c>
      <c r="L39" s="444"/>
      <c r="M39" s="443">
        <f t="shared" si="5"/>
        <v>-51010.83</v>
      </c>
    </row>
    <row r="40" spans="1:13">
      <c r="A40" s="467" t="str">
        <f t="shared" si="3"/>
        <v>"ВестГлобал"</v>
      </c>
      <c r="B40" s="260">
        <f t="shared" si="0"/>
        <v>-16232.24</v>
      </c>
      <c r="C40" s="260">
        <f t="shared" si="1"/>
        <v>-365339.45000000019</v>
      </c>
      <c r="D40" s="537">
        <f>VLOOKUP(F40,Справочник!$A$2:$C$415,3,FALSE)</f>
        <v>0</v>
      </c>
      <c r="F40" s="440">
        <v>3200</v>
      </c>
      <c r="G40" s="437" t="s">
        <v>185</v>
      </c>
      <c r="H40" s="438"/>
      <c r="I40" s="439">
        <v>16232.24</v>
      </c>
      <c r="J40" s="439">
        <v>2635858.79</v>
      </c>
      <c r="K40" s="439">
        <v>2984966</v>
      </c>
      <c r="L40" s="438"/>
      <c r="M40" s="439">
        <f>I40+K40-J40</f>
        <v>365339.45000000019</v>
      </c>
    </row>
    <row r="41" spans="1:13">
      <c r="A41" s="467" t="str">
        <f t="shared" si="3"/>
        <v>"ВестГлобал"</v>
      </c>
      <c r="B41" s="260">
        <f t="shared" si="0"/>
        <v>2569.94</v>
      </c>
      <c r="C41" s="260">
        <f t="shared" si="1"/>
        <v>-104838.32000000007</v>
      </c>
      <c r="D41" s="537" t="str">
        <f>VLOOKUP(F41,Справочник!$A$2:$C$415,3,FALSE)</f>
        <v>Прочие краткосрочные обязательства</v>
      </c>
      <c r="F41" s="441">
        <v>3210</v>
      </c>
      <c r="G41" s="442" t="s">
        <v>186</v>
      </c>
      <c r="H41" s="444"/>
      <c r="I41" s="540">
        <v>-2569.94</v>
      </c>
      <c r="J41" s="443">
        <v>819816</v>
      </c>
      <c r="K41" s="443">
        <v>927224.26</v>
      </c>
      <c r="L41" s="444"/>
      <c r="M41" s="443">
        <f>I41+K41-J41</f>
        <v>104838.32000000007</v>
      </c>
    </row>
    <row r="42" spans="1:13">
      <c r="A42" s="467" t="str">
        <f t="shared" si="3"/>
        <v>"ВестГлобал"</v>
      </c>
      <c r="B42" s="260">
        <f t="shared" si="0"/>
        <v>-18802.18</v>
      </c>
      <c r="C42" s="260">
        <f t="shared" si="1"/>
        <v>-260501.12999999989</v>
      </c>
      <c r="D42" s="537" t="str">
        <f>VLOOKUP(F42,Справочник!$A$2:$C$415,3,FALSE)</f>
        <v>Прочие краткосрочные обязательства</v>
      </c>
      <c r="F42" s="441">
        <v>3220</v>
      </c>
      <c r="G42" s="442" t="s">
        <v>187</v>
      </c>
      <c r="H42" s="444"/>
      <c r="I42" s="538">
        <v>18802.18</v>
      </c>
      <c r="J42" s="443">
        <v>1816042.79</v>
      </c>
      <c r="K42" s="443">
        <v>2057741.74</v>
      </c>
      <c r="L42" s="444"/>
      <c r="M42" s="443">
        <f>I42+K42-J42</f>
        <v>260501.12999999989</v>
      </c>
    </row>
    <row r="43" spans="1:13">
      <c r="A43" s="467" t="str">
        <f t="shared" si="3"/>
        <v>"ВестГлобал"</v>
      </c>
      <c r="B43" s="260">
        <f t="shared" si="0"/>
        <v>-9008062.7799999993</v>
      </c>
      <c r="C43" s="260">
        <f t="shared" si="1"/>
        <v>10022018.769999981</v>
      </c>
      <c r="D43" s="537">
        <f>VLOOKUP(F43,Справочник!$A$2:$C$415,3,FALSE)</f>
        <v>0</v>
      </c>
      <c r="F43" s="440">
        <v>3300</v>
      </c>
      <c r="G43" s="437" t="s">
        <v>76</v>
      </c>
      <c r="H43" s="438"/>
      <c r="I43" s="439">
        <f>I44+I45+I46</f>
        <v>9008062.7799999993</v>
      </c>
      <c r="J43" s="439">
        <v>211925773.56999999</v>
      </c>
      <c r="K43" s="439">
        <v>192895692.02000001</v>
      </c>
      <c r="L43" s="438"/>
      <c r="M43" s="439">
        <f>I43+K43-J43</f>
        <v>-10022018.769999981</v>
      </c>
    </row>
    <row r="44" spans="1:13">
      <c r="A44" s="467" t="str">
        <f t="shared" si="3"/>
        <v>"ВестГлобал"</v>
      </c>
      <c r="B44" s="260">
        <f t="shared" si="0"/>
        <v>-8645883.9299999997</v>
      </c>
      <c r="C44" s="260">
        <f t="shared" si="1"/>
        <v>10209328.140000015</v>
      </c>
      <c r="D44" s="537" t="str">
        <f>VLOOKUP(F44,Справочник!$A$2:$C$415,3,FALSE)</f>
        <v>Краткосрочная торговая и прочая кредиторская задолженность</v>
      </c>
      <c r="F44" s="441">
        <v>3310</v>
      </c>
      <c r="G44" s="442" t="s">
        <v>190</v>
      </c>
      <c r="H44" s="444"/>
      <c r="I44" s="545">
        <v>8645883.9299999997</v>
      </c>
      <c r="J44" s="443">
        <v>189654477.11000001</v>
      </c>
      <c r="K44" s="443">
        <v>170799265.03999999</v>
      </c>
      <c r="L44" s="444"/>
      <c r="M44" s="443">
        <f>I44+K44-J44</f>
        <v>-10209328.140000015</v>
      </c>
    </row>
    <row r="45" spans="1:13">
      <c r="A45" s="467" t="str">
        <f t="shared" si="3"/>
        <v>"ВестГлобал"</v>
      </c>
      <c r="B45" s="260">
        <f t="shared" si="0"/>
        <v>1773</v>
      </c>
      <c r="C45" s="260">
        <f t="shared" si="1"/>
        <v>1773</v>
      </c>
      <c r="D45" s="537" t="str">
        <f>VLOOKUP(F45,Справочник!$A$2:$C$415,3,FALSE)</f>
        <v>Вознаграждения работникам</v>
      </c>
      <c r="F45" s="441">
        <v>3350</v>
      </c>
      <c r="G45" s="442" t="s">
        <v>194</v>
      </c>
      <c r="H45" s="444"/>
      <c r="I45" s="545">
        <v>-1773</v>
      </c>
      <c r="J45" s="443">
        <v>22055699.789999999</v>
      </c>
      <c r="K45" s="443">
        <v>22055699.789999999</v>
      </c>
      <c r="L45" s="444"/>
      <c r="M45" s="443">
        <f t="shared" ref="M45:M50" si="6">I45+K45-J45</f>
        <v>-1773</v>
      </c>
    </row>
    <row r="46" spans="1:13">
      <c r="A46" s="467" t="str">
        <f t="shared" si="3"/>
        <v>"ВестГлобал"</v>
      </c>
      <c r="B46" s="260">
        <f t="shared" si="0"/>
        <v>-363951.85</v>
      </c>
      <c r="C46" s="260">
        <f t="shared" si="1"/>
        <v>-189082.36999999997</v>
      </c>
      <c r="D46" s="537">
        <f>VLOOKUP(F46,Справочник!$A$2:$C$415,3,FALSE)</f>
        <v>0</v>
      </c>
      <c r="F46" s="445">
        <v>3390</v>
      </c>
      <c r="G46" s="446" t="s">
        <v>198</v>
      </c>
      <c r="H46" s="447"/>
      <c r="I46" s="541">
        <v>363951.85</v>
      </c>
      <c r="J46" s="448">
        <v>215596.67</v>
      </c>
      <c r="K46" s="448">
        <v>40727.19</v>
      </c>
      <c r="L46" s="447"/>
      <c r="M46" s="443">
        <f t="shared" si="6"/>
        <v>189082.36999999997</v>
      </c>
    </row>
    <row r="47" spans="1:13">
      <c r="A47" s="467" t="str">
        <f t="shared" si="3"/>
        <v>"ВестГлобал"</v>
      </c>
      <c r="B47" s="260">
        <f t="shared" si="0"/>
        <v>-4484</v>
      </c>
      <c r="C47" s="260">
        <f t="shared" si="1"/>
        <v>-23776.940000000002</v>
      </c>
      <c r="D47" s="537" t="str">
        <f>VLOOKUP(F47,Справочник!$A$2:$C$415,3,FALSE)</f>
        <v>Краткосрочная торговая и прочая кредиторская задолженность</v>
      </c>
      <c r="F47" s="449">
        <v>3395</v>
      </c>
      <c r="G47" s="442" t="s">
        <v>203</v>
      </c>
      <c r="H47" s="444"/>
      <c r="I47" s="538">
        <v>4484</v>
      </c>
      <c r="J47" s="443">
        <v>17022.29</v>
      </c>
      <c r="K47" s="443">
        <v>36315.230000000003</v>
      </c>
      <c r="L47" s="444"/>
      <c r="M47" s="443">
        <f t="shared" si="6"/>
        <v>23776.940000000002</v>
      </c>
    </row>
    <row r="48" spans="1:13">
      <c r="A48" s="467" t="str">
        <f t="shared" si="3"/>
        <v>"ВестГлобал"</v>
      </c>
      <c r="B48" s="260">
        <f t="shared" si="0"/>
        <v>-167551.5</v>
      </c>
      <c r="C48" s="260">
        <f t="shared" si="1"/>
        <v>-167551.5</v>
      </c>
      <c r="D48" s="537" t="str">
        <f>VLOOKUP(F48,Справочник!$A$2:$C$415,3,FALSE)</f>
        <v>Краткосрочная торговая и прочая кредиторская задолженность</v>
      </c>
      <c r="F48" s="449">
        <v>3396</v>
      </c>
      <c r="G48" s="442" t="s">
        <v>204</v>
      </c>
      <c r="H48" s="444"/>
      <c r="I48" s="538">
        <v>167551.5</v>
      </c>
      <c r="J48" s="444"/>
      <c r="K48" s="444"/>
      <c r="L48" s="444"/>
      <c r="M48" s="443">
        <f t="shared" si="6"/>
        <v>167551.5</v>
      </c>
    </row>
    <row r="49" spans="1:13">
      <c r="A49" s="467" t="str">
        <f t="shared" si="3"/>
        <v>"ВестГлобал"</v>
      </c>
      <c r="B49" s="260">
        <f t="shared" si="0"/>
        <v>0</v>
      </c>
      <c r="C49" s="260">
        <f t="shared" si="1"/>
        <v>194162.42</v>
      </c>
      <c r="D49" s="537" t="str">
        <f>VLOOKUP(F49,Справочник!$A$2:$C$415,3,FALSE)</f>
        <v>Краткосрочная торговая и прочая кредиторская задолженность</v>
      </c>
      <c r="F49" s="449">
        <v>3397</v>
      </c>
      <c r="G49" s="442" t="s">
        <v>198</v>
      </c>
      <c r="H49" s="444"/>
      <c r="I49" s="443"/>
      <c r="J49" s="443">
        <v>198574.38</v>
      </c>
      <c r="K49" s="443">
        <v>4411.96</v>
      </c>
      <c r="L49" s="444"/>
      <c r="M49" s="443">
        <f t="shared" si="6"/>
        <v>-194162.42</v>
      </c>
    </row>
    <row r="50" spans="1:13">
      <c r="A50" s="467" t="str">
        <f t="shared" si="3"/>
        <v>"ВестГлобал"</v>
      </c>
      <c r="B50" s="260">
        <f t="shared" si="0"/>
        <v>-191916.35</v>
      </c>
      <c r="C50" s="260">
        <f t="shared" si="1"/>
        <v>-191916.35</v>
      </c>
      <c r="D50" s="537" t="str">
        <f>VLOOKUP(F50,Справочник!$A$2:$C$415,3,FALSE)</f>
        <v>Краткосрочная торговая и прочая кредиторская задолженность</v>
      </c>
      <c r="F50" s="449">
        <v>3398</v>
      </c>
      <c r="G50" s="546" t="s">
        <v>756</v>
      </c>
      <c r="H50" s="444"/>
      <c r="I50" s="545">
        <v>191916.35</v>
      </c>
      <c r="J50" s="443"/>
      <c r="K50" s="443"/>
      <c r="L50" s="444"/>
      <c r="M50" s="443">
        <f t="shared" si="6"/>
        <v>191916.35</v>
      </c>
    </row>
    <row r="51" spans="1:13">
      <c r="A51" s="467" t="str">
        <f t="shared" si="3"/>
        <v>"ВестГлобал"</v>
      </c>
      <c r="B51" s="260">
        <f t="shared" si="0"/>
        <v>0</v>
      </c>
      <c r="C51" s="260">
        <f t="shared" si="1"/>
        <v>-385980</v>
      </c>
      <c r="D51" s="537" t="str">
        <f>VLOOKUP(F52,Справочник!$A$2:$C$415,3,FALSE)</f>
        <v>Прочие краткосрочные обязательства</v>
      </c>
      <c r="F51" s="440">
        <v>3500</v>
      </c>
      <c r="G51" s="437" t="s">
        <v>209</v>
      </c>
      <c r="H51" s="438"/>
      <c r="I51" s="438"/>
      <c r="J51" s="439">
        <v>6452658.4800000004</v>
      </c>
      <c r="K51" s="439">
        <v>6838638.4800000004</v>
      </c>
      <c r="L51" s="438"/>
      <c r="M51" s="439">
        <v>385980</v>
      </c>
    </row>
    <row r="52" spans="1:13">
      <c r="A52" s="467" t="str">
        <f t="shared" si="3"/>
        <v>"ВестГлобал"</v>
      </c>
      <c r="B52" s="260">
        <f t="shared" si="0"/>
        <v>0</v>
      </c>
      <c r="C52" s="260">
        <f t="shared" si="1"/>
        <v>-385980</v>
      </c>
      <c r="D52" s="537">
        <f>VLOOKUP(F53,Справочник!$A$2:$C$415,3,FALSE)</f>
        <v>0</v>
      </c>
      <c r="F52" s="441">
        <v>3510</v>
      </c>
      <c r="G52" s="442" t="s">
        <v>210</v>
      </c>
      <c r="H52" s="444"/>
      <c r="I52" s="444"/>
      <c r="J52" s="443">
        <v>6452658.4800000004</v>
      </c>
      <c r="K52" s="443">
        <v>6838638.4800000004</v>
      </c>
      <c r="L52" s="444"/>
      <c r="M52" s="443">
        <v>385980</v>
      </c>
    </row>
    <row r="53" spans="1:13">
      <c r="A53" s="467" t="str">
        <f t="shared" si="3"/>
        <v>"ВестГлобал"</v>
      </c>
      <c r="B53" s="260">
        <f t="shared" si="0"/>
        <v>750</v>
      </c>
      <c r="C53" s="260">
        <f t="shared" si="1"/>
        <v>750</v>
      </c>
      <c r="D53" s="537" t="str">
        <f>VLOOKUP(F54,Справочник!$A$2:$C$415,3,FALSE)</f>
        <v>Долгосрочные займы</v>
      </c>
      <c r="F53" s="440">
        <v>4000</v>
      </c>
      <c r="G53" s="437" t="s">
        <v>213</v>
      </c>
      <c r="H53" s="438"/>
      <c r="I53" s="542">
        <v>-750</v>
      </c>
      <c r="J53" s="438"/>
      <c r="K53" s="438"/>
      <c r="L53" s="438"/>
      <c r="M53" s="492">
        <v>-750</v>
      </c>
    </row>
    <row r="54" spans="1:13" ht="24">
      <c r="A54" s="467" t="str">
        <f t="shared" si="3"/>
        <v>"ВестГлобал"</v>
      </c>
      <c r="B54" s="260">
        <f t="shared" si="0"/>
        <v>750</v>
      </c>
      <c r="C54" s="260">
        <f t="shared" si="1"/>
        <v>750</v>
      </c>
      <c r="D54" s="537">
        <f>VLOOKUP(F55,Справочник!$A$2:$C$415,3,FALSE)</f>
        <v>0</v>
      </c>
      <c r="F54" s="441">
        <v>4020</v>
      </c>
      <c r="G54" s="442" t="s">
        <v>215</v>
      </c>
      <c r="H54" s="444"/>
      <c r="I54" s="543">
        <v>-750</v>
      </c>
      <c r="J54" s="444"/>
      <c r="K54" s="444"/>
      <c r="L54" s="444"/>
      <c r="M54" s="493">
        <v>-750</v>
      </c>
    </row>
    <row r="55" spans="1:13">
      <c r="A55" s="467" t="str">
        <f t="shared" si="3"/>
        <v>"ВестГлобал"</v>
      </c>
      <c r="B55" s="260">
        <f t="shared" si="0"/>
        <v>-1500000</v>
      </c>
      <c r="C55" s="260">
        <f t="shared" si="1"/>
        <v>-1500000</v>
      </c>
      <c r="D55" s="537" t="str">
        <f>VLOOKUP(F56,Справочник!$A$2:$C$415,3,FALSE)</f>
        <v>Уставный (акционерный) капитал</v>
      </c>
      <c r="F55" s="440">
        <v>5000</v>
      </c>
      <c r="G55" s="437" t="s">
        <v>45</v>
      </c>
      <c r="H55" s="438"/>
      <c r="I55" s="539">
        <v>1500000</v>
      </c>
      <c r="J55" s="438"/>
      <c r="K55" s="438"/>
      <c r="L55" s="438"/>
      <c r="M55" s="439">
        <v>1500000</v>
      </c>
    </row>
    <row r="56" spans="1:13">
      <c r="A56" s="467" t="str">
        <f t="shared" si="3"/>
        <v>"ВестГлобал"</v>
      </c>
      <c r="B56" s="260">
        <f t="shared" si="0"/>
        <v>-1500000</v>
      </c>
      <c r="C56" s="260">
        <f t="shared" si="1"/>
        <v>-1500000</v>
      </c>
      <c r="D56" s="537">
        <f>VLOOKUP(F57,Справочник!$A$2:$C$415,3,FALSE)</f>
        <v>0</v>
      </c>
      <c r="F56" s="441">
        <v>5030</v>
      </c>
      <c r="G56" s="442" t="s">
        <v>242</v>
      </c>
      <c r="H56" s="444"/>
      <c r="I56" s="538">
        <v>1500000</v>
      </c>
      <c r="J56" s="444"/>
      <c r="K56" s="444"/>
      <c r="L56" s="444"/>
      <c r="M56" s="443">
        <v>1500000</v>
      </c>
    </row>
    <row r="57" spans="1:13">
      <c r="A57" s="467" t="str">
        <f t="shared" si="3"/>
        <v>"ВестГлобал"</v>
      </c>
      <c r="B57" s="260">
        <f t="shared" si="0"/>
        <v>3952139.11</v>
      </c>
      <c r="C57" s="260">
        <f t="shared" si="1"/>
        <v>7791698.1500000004</v>
      </c>
      <c r="D57" s="537" t="str">
        <f>VLOOKUP(F58,Справочник!$A$2:$C$415,3,FALSE)</f>
        <v>Нераспределенная прибыль (непокрытый убыток)</v>
      </c>
      <c r="F57" s="440">
        <v>5500</v>
      </c>
      <c r="G57" s="437" t="s">
        <v>253</v>
      </c>
      <c r="H57" s="438"/>
      <c r="I57" s="545">
        <f>-3878550.11-73589</f>
        <v>-3952139.11</v>
      </c>
      <c r="J57" s="438"/>
      <c r="K57" s="450">
        <v>-3839559.04</v>
      </c>
      <c r="L57" s="438"/>
      <c r="M57" s="450">
        <f>I57+K57</f>
        <v>-7791698.1500000004</v>
      </c>
    </row>
    <row r="58" spans="1:13">
      <c r="A58" s="467" t="str">
        <f t="shared" si="3"/>
        <v>"ВестГлобал"</v>
      </c>
      <c r="B58" s="260">
        <f t="shared" si="0"/>
        <v>3952139.11</v>
      </c>
      <c r="C58" s="260">
        <f t="shared" si="1"/>
        <v>7791698.1500000004</v>
      </c>
      <c r="D58" s="537">
        <f>VLOOKUP(F59,Справочник!$A$2:$C$415,3,FALSE)</f>
        <v>0</v>
      </c>
      <c r="F58" s="441">
        <v>5510</v>
      </c>
      <c r="G58" s="442" t="s">
        <v>254</v>
      </c>
      <c r="H58" s="444"/>
      <c r="I58" s="545">
        <f>-3878550.11-73589</f>
        <v>-3952139.11</v>
      </c>
      <c r="J58" s="444"/>
      <c r="K58" s="451">
        <v>-3839559.04</v>
      </c>
      <c r="L58" s="444"/>
      <c r="M58" s="450">
        <f>I58+K58</f>
        <v>-7791698.1500000004</v>
      </c>
    </row>
    <row r="59" spans="1:13">
      <c r="A59" s="467" t="str">
        <f t="shared" si="3"/>
        <v>"ВестГлобал"</v>
      </c>
      <c r="B59" s="260">
        <f t="shared" si="0"/>
        <v>0</v>
      </c>
      <c r="C59" s="260">
        <f t="shared" si="1"/>
        <v>0</v>
      </c>
      <c r="D59" s="537" t="str">
        <f>VLOOKUP(F60,Справочник!$A$2:$C$415,3,FALSE)</f>
        <v>Нераспределенная прибыль (непокрытый убыток)</v>
      </c>
      <c r="F59" s="440">
        <v>5600</v>
      </c>
      <c r="G59" s="437" t="s">
        <v>256</v>
      </c>
      <c r="H59" s="438"/>
      <c r="I59" s="438"/>
      <c r="J59" s="439">
        <v>182088542.41999999</v>
      </c>
      <c r="K59" s="439">
        <v>182088542.41999999</v>
      </c>
      <c r="L59" s="438"/>
      <c r="M59" s="438"/>
    </row>
    <row r="60" spans="1:13">
      <c r="A60" s="467" t="str">
        <f t="shared" si="3"/>
        <v>"ВестГлобал"</v>
      </c>
      <c r="B60" s="260">
        <f t="shared" si="0"/>
        <v>0</v>
      </c>
      <c r="C60" s="260">
        <f t="shared" si="1"/>
        <v>0</v>
      </c>
      <c r="D60" s="537">
        <f>VLOOKUP(F61,Справочник!$A$2:$C$415,3,FALSE)</f>
        <v>0</v>
      </c>
      <c r="F60" s="441">
        <v>5610</v>
      </c>
      <c r="G60" s="442" t="s">
        <v>256</v>
      </c>
      <c r="H60" s="444"/>
      <c r="I60" s="444"/>
      <c r="J60" s="443">
        <v>182088542.41999999</v>
      </c>
      <c r="K60" s="443">
        <v>182088542.41999999</v>
      </c>
      <c r="L60" s="444"/>
      <c r="M60" s="444"/>
    </row>
    <row r="61" spans="1:13">
      <c r="A61" s="467" t="str">
        <f t="shared" si="3"/>
        <v>"ВестГлобал"</v>
      </c>
      <c r="B61" s="260">
        <f t="shared" si="0"/>
        <v>0</v>
      </c>
      <c r="C61" s="260">
        <f t="shared" si="1"/>
        <v>0</v>
      </c>
      <c r="D61" s="537" t="str">
        <f>VLOOKUP(F62,Справочник!$A$2:$C$415,3,FALSE)</f>
        <v>Выручка</v>
      </c>
      <c r="F61" s="440">
        <v>6000</v>
      </c>
      <c r="G61" s="437" t="s">
        <v>257</v>
      </c>
      <c r="H61" s="438"/>
      <c r="I61" s="438"/>
      <c r="J61" s="439">
        <v>181542528.41999999</v>
      </c>
      <c r="K61" s="439">
        <v>181542528.41999999</v>
      </c>
      <c r="L61" s="438"/>
      <c r="M61" s="438"/>
    </row>
    <row r="62" spans="1:13">
      <c r="A62" s="467" t="str">
        <f t="shared" si="3"/>
        <v>"ВестГлобал"</v>
      </c>
      <c r="B62" s="260">
        <f t="shared" si="0"/>
        <v>0</v>
      </c>
      <c r="C62" s="260">
        <f t="shared" si="1"/>
        <v>0</v>
      </c>
      <c r="D62" s="537">
        <f>VLOOKUP(F63,Справочник!$A$2:$C$415,3,FALSE)</f>
        <v>0</v>
      </c>
      <c r="F62" s="441">
        <v>6010</v>
      </c>
      <c r="G62" s="442" t="s">
        <v>257</v>
      </c>
      <c r="H62" s="444"/>
      <c r="I62" s="444"/>
      <c r="J62" s="443">
        <v>181542528.41999999</v>
      </c>
      <c r="K62" s="443">
        <v>181542528.41999999</v>
      </c>
      <c r="L62" s="444"/>
      <c r="M62" s="444"/>
    </row>
    <row r="63" spans="1:13">
      <c r="A63" s="467" t="str">
        <f t="shared" si="3"/>
        <v>"ВестГлобал"</v>
      </c>
      <c r="B63" s="260">
        <f t="shared" si="0"/>
        <v>0</v>
      </c>
      <c r="C63" s="260">
        <f t="shared" si="1"/>
        <v>0</v>
      </c>
      <c r="D63" s="537" t="str">
        <f>VLOOKUP(F64,Справочник!$A$2:$C$415,3,FALSE)</f>
        <v>Доходы от курсовой разницы</v>
      </c>
      <c r="F63" s="440">
        <v>6200</v>
      </c>
      <c r="G63" s="437" t="s">
        <v>266</v>
      </c>
      <c r="H63" s="438"/>
      <c r="I63" s="438"/>
      <c r="J63" s="439">
        <v>546014</v>
      </c>
      <c r="K63" s="439">
        <v>546014</v>
      </c>
      <c r="L63" s="438"/>
      <c r="M63" s="438"/>
    </row>
    <row r="64" spans="1:13">
      <c r="A64" s="467" t="str">
        <f t="shared" si="3"/>
        <v>"ВестГлобал"</v>
      </c>
      <c r="B64" s="260">
        <f t="shared" si="0"/>
        <v>0</v>
      </c>
      <c r="C64" s="260">
        <f t="shared" si="1"/>
        <v>0</v>
      </c>
      <c r="D64" s="537" t="str">
        <f>VLOOKUP(F65,Справочник!$A$2:$C$415,3,FALSE)</f>
        <v>Прочие доходы</v>
      </c>
      <c r="F64" s="441">
        <v>6250</v>
      </c>
      <c r="G64" s="442" t="s">
        <v>271</v>
      </c>
      <c r="H64" s="444"/>
      <c r="I64" s="444"/>
      <c r="J64" s="443">
        <v>545746.5</v>
      </c>
      <c r="K64" s="443">
        <v>545746.5</v>
      </c>
      <c r="L64" s="444"/>
      <c r="M64" s="444"/>
    </row>
    <row r="65" spans="1:13">
      <c r="A65" s="467" t="str">
        <f t="shared" si="3"/>
        <v>"ВестГлобал"</v>
      </c>
      <c r="B65" s="260">
        <f t="shared" si="0"/>
        <v>0</v>
      </c>
      <c r="C65" s="260">
        <f t="shared" si="1"/>
        <v>0</v>
      </c>
      <c r="D65" s="537">
        <f>VLOOKUP(F66,Справочник!$A$2:$C$415,3,FALSE)</f>
        <v>0</v>
      </c>
      <c r="F65" s="441">
        <v>6280</v>
      </c>
      <c r="G65" s="442" t="s">
        <v>266</v>
      </c>
      <c r="H65" s="444"/>
      <c r="I65" s="444"/>
      <c r="J65" s="456">
        <v>267.5</v>
      </c>
      <c r="K65" s="456">
        <v>267.5</v>
      </c>
      <c r="L65" s="444"/>
      <c r="M65" s="444"/>
    </row>
    <row r="66" spans="1:13">
      <c r="A66" s="467" t="str">
        <f t="shared" si="3"/>
        <v>"ВестГлобал"</v>
      </c>
      <c r="B66" s="260">
        <f t="shared" si="0"/>
        <v>0</v>
      </c>
      <c r="C66" s="260">
        <f t="shared" si="1"/>
        <v>0</v>
      </c>
      <c r="D66" s="537" t="str">
        <f>VLOOKUP(F67,Справочник!$A$2:$C$415,3,FALSE)</f>
        <v>Себестоимость реализованных товаров и услуг</v>
      </c>
      <c r="F66" s="440">
        <v>7000</v>
      </c>
      <c r="G66" s="437" t="s">
        <v>279</v>
      </c>
      <c r="H66" s="438"/>
      <c r="I66" s="438"/>
      <c r="J66" s="439">
        <v>1444642.86</v>
      </c>
      <c r="K66" s="439">
        <v>1444642.86</v>
      </c>
      <c r="L66" s="438"/>
      <c r="M66" s="438"/>
    </row>
    <row r="67" spans="1:13">
      <c r="A67" s="467" t="str">
        <f t="shared" si="3"/>
        <v>"ВестГлобал"</v>
      </c>
      <c r="B67" s="260">
        <f t="shared" si="0"/>
        <v>0</v>
      </c>
      <c r="C67" s="260">
        <f t="shared" si="1"/>
        <v>0</v>
      </c>
      <c r="D67" s="537">
        <f>VLOOKUP(F68,Справочник!$A$2:$C$415,3,FALSE)</f>
        <v>0</v>
      </c>
      <c r="F67" s="441">
        <v>7010</v>
      </c>
      <c r="G67" s="442" t="s">
        <v>279</v>
      </c>
      <c r="H67" s="444"/>
      <c r="I67" s="444"/>
      <c r="J67" s="443">
        <v>1444642.86</v>
      </c>
      <c r="K67" s="443">
        <v>1444642.86</v>
      </c>
      <c r="L67" s="444"/>
      <c r="M67" s="444"/>
    </row>
    <row r="68" spans="1:13">
      <c r="A68" s="467" t="str">
        <f t="shared" si="3"/>
        <v>"ВестГлобал"</v>
      </c>
      <c r="B68" s="260">
        <f t="shared" si="0"/>
        <v>0</v>
      </c>
      <c r="C68" s="260">
        <f t="shared" si="1"/>
        <v>0</v>
      </c>
      <c r="D68" s="537" t="str">
        <f>VLOOKUP(F69,Справочник!$A$2:$C$415,3,FALSE)</f>
        <v>Расходы по реализации</v>
      </c>
      <c r="F68" s="440">
        <v>7100</v>
      </c>
      <c r="G68" s="437" t="s">
        <v>280</v>
      </c>
      <c r="H68" s="438"/>
      <c r="I68" s="438"/>
      <c r="J68" s="439">
        <v>101245599.11</v>
      </c>
      <c r="K68" s="439">
        <v>101245599.11</v>
      </c>
      <c r="L68" s="438"/>
      <c r="M68" s="438"/>
    </row>
    <row r="69" spans="1:13">
      <c r="A69" s="467" t="str">
        <f t="shared" si="3"/>
        <v>"ВестГлобал"</v>
      </c>
      <c r="B69" s="260">
        <f t="shared" si="0"/>
        <v>0</v>
      </c>
      <c r="C69" s="260">
        <f t="shared" si="1"/>
        <v>0</v>
      </c>
      <c r="D69" s="537">
        <f>VLOOKUP(F70,Справочник!$A$2:$C$415,3,FALSE)</f>
        <v>0</v>
      </c>
      <c r="F69" s="441">
        <v>7110</v>
      </c>
      <c r="G69" s="442" t="s">
        <v>280</v>
      </c>
      <c r="H69" s="444"/>
      <c r="I69" s="444"/>
      <c r="J69" s="443">
        <v>101245599.11</v>
      </c>
      <c r="K69" s="443">
        <v>101245599.11</v>
      </c>
      <c r="L69" s="444"/>
      <c r="M69" s="444"/>
    </row>
    <row r="70" spans="1:13">
      <c r="A70" s="467" t="str">
        <f t="shared" si="3"/>
        <v>"ВестГлобал"</v>
      </c>
      <c r="B70" s="260">
        <f t="shared" si="0"/>
        <v>0</v>
      </c>
      <c r="C70" s="260">
        <f t="shared" si="1"/>
        <v>0</v>
      </c>
      <c r="D70" s="537" t="str">
        <f>VLOOKUP(F71,Справочник!$A$2:$C$415,3,FALSE)</f>
        <v>Административные расходы</v>
      </c>
      <c r="F70" s="440">
        <v>7200</v>
      </c>
      <c r="G70" s="437" t="s">
        <v>55</v>
      </c>
      <c r="H70" s="438"/>
      <c r="I70" s="438"/>
      <c r="J70" s="439">
        <v>82832427.299999997</v>
      </c>
      <c r="K70" s="439">
        <v>82832427.299999997</v>
      </c>
      <c r="L70" s="438"/>
      <c r="M70" s="438"/>
    </row>
    <row r="71" spans="1:13">
      <c r="A71" s="467" t="str">
        <f t="shared" si="3"/>
        <v>"ВестГлобал"</v>
      </c>
      <c r="B71" s="260">
        <f t="shared" si="0"/>
        <v>0</v>
      </c>
      <c r="C71" s="260">
        <f t="shared" si="1"/>
        <v>0</v>
      </c>
      <c r="D71" s="537">
        <f>VLOOKUP(F72,Справочник!$A$2:$C$415,3,FALSE)</f>
        <v>0</v>
      </c>
      <c r="F71" s="441">
        <v>7210</v>
      </c>
      <c r="G71" s="442" t="s">
        <v>55</v>
      </c>
      <c r="H71" s="444"/>
      <c r="I71" s="444"/>
      <c r="J71" s="443">
        <v>82832427.299999997</v>
      </c>
      <c r="K71" s="443">
        <v>82832427.299999997</v>
      </c>
      <c r="L71" s="444"/>
      <c r="M71" s="444"/>
    </row>
    <row r="72" spans="1:13">
      <c r="A72" s="467" t="str">
        <f t="shared" si="3"/>
        <v>"ВестГлобал"</v>
      </c>
      <c r="B72" s="260">
        <f t="shared" ref="B72:B83" si="7">IF(ISBLANK(H72)=FALSE,H72,-I72)</f>
        <v>0</v>
      </c>
      <c r="C72" s="260">
        <f t="shared" si="1"/>
        <v>0</v>
      </c>
      <c r="D72" s="537" t="str">
        <f>VLOOKUP(F73,Справочник!$A$2:$C$415,3,FALSE)</f>
        <v>Расходы по курсовой разнице</v>
      </c>
      <c r="F72" s="440">
        <v>7400</v>
      </c>
      <c r="G72" s="437" t="s">
        <v>286</v>
      </c>
      <c r="H72" s="438"/>
      <c r="I72" s="438"/>
      <c r="J72" s="439">
        <v>405432.19</v>
      </c>
      <c r="K72" s="439">
        <v>405432.19</v>
      </c>
      <c r="L72" s="438"/>
      <c r="M72" s="438"/>
    </row>
    <row r="73" spans="1:13">
      <c r="A73" s="467" t="str">
        <f t="shared" si="3"/>
        <v>"ВестГлобал"</v>
      </c>
      <c r="B73" s="260">
        <f t="shared" si="7"/>
        <v>0</v>
      </c>
      <c r="C73" s="260">
        <f t="shared" ref="C73:C81" si="8">IF(ISBLANK(L73)=FALSE,L73,-M73)</f>
        <v>0</v>
      </c>
      <c r="D73" s="467" t="e">
        <f>VLOOKUP(F75,Справочник!$A$2:$C$415,3,FALSE)</f>
        <v>#N/A</v>
      </c>
      <c r="F73" s="441">
        <v>7430</v>
      </c>
      <c r="G73" s="442" t="s">
        <v>289</v>
      </c>
      <c r="H73" s="444"/>
      <c r="I73" s="444"/>
      <c r="J73" s="443">
        <v>372401.13</v>
      </c>
      <c r="K73" s="443">
        <v>372401.13</v>
      </c>
      <c r="L73" s="444"/>
      <c r="M73" s="444"/>
    </row>
    <row r="74" spans="1:13">
      <c r="A74" s="467" t="str">
        <f t="shared" si="3"/>
        <v>"ВестГлобал"</v>
      </c>
      <c r="B74" s="260">
        <f t="shared" si="7"/>
        <v>0</v>
      </c>
      <c r="C74" s="260">
        <f t="shared" si="8"/>
        <v>0</v>
      </c>
      <c r="D74" s="467">
        <f>VLOOKUP(F76,Справочник!$A$2:$C$415,3,FALSE)</f>
        <v>0</v>
      </c>
      <c r="F74" s="441">
        <v>7470</v>
      </c>
      <c r="G74" s="442" t="s">
        <v>286</v>
      </c>
      <c r="H74" s="444"/>
      <c r="I74" s="444"/>
      <c r="J74" s="443">
        <v>33031.06</v>
      </c>
      <c r="K74" s="443">
        <v>33031.06</v>
      </c>
      <c r="L74" s="444"/>
      <c r="M74" s="444"/>
    </row>
    <row r="75" spans="1:13">
      <c r="A75" s="467" t="str">
        <f t="shared" ref="A75:A138" si="9">A74</f>
        <v>"ВестГлобал"</v>
      </c>
      <c r="B75" s="260">
        <f t="shared" si="7"/>
        <v>69304867.260000005</v>
      </c>
      <c r="C75" s="260">
        <f t="shared" si="8"/>
        <v>53836384.279999956</v>
      </c>
      <c r="D75" s="467">
        <f>VLOOKUP(F77,Справочник!$A$2:$C$415,3,FALSE)</f>
        <v>0</v>
      </c>
      <c r="F75" s="676" t="s">
        <v>615</v>
      </c>
      <c r="G75" s="676"/>
      <c r="H75" s="453">
        <f>H9+H10+H12+H13+H14+H16+H17+H20+H29+H31</f>
        <v>69304867.260000005</v>
      </c>
      <c r="I75" s="453">
        <f>I32+I33+I35+I36+I37+I39+I41+I42+I44+I45+I47+I48+I54+I56+I58+I50</f>
        <v>69304867.920000002</v>
      </c>
      <c r="J75" s="453">
        <v>1347450161.98</v>
      </c>
      <c r="K75" s="453">
        <v>1347450161.98</v>
      </c>
      <c r="L75" s="453">
        <f>L9+L10+L11+L12+L13+L14+L16+L18+L20+L22+L24+L29+L31</f>
        <v>53836384.279999956</v>
      </c>
      <c r="M75" s="453">
        <v>52494303.670000002</v>
      </c>
    </row>
    <row r="76" spans="1:13">
      <c r="A76" s="467" t="str">
        <f t="shared" si="9"/>
        <v>"ВестГлобал"</v>
      </c>
      <c r="B76" s="260">
        <f t="shared" si="7"/>
        <v>0</v>
      </c>
      <c r="C76" s="260">
        <f t="shared" si="8"/>
        <v>0</v>
      </c>
      <c r="D76" s="467">
        <f>VLOOKUP(F78,Справочник!$A$2:$C$415,3,FALSE)</f>
        <v>0</v>
      </c>
      <c r="F76" s="441"/>
      <c r="G76" s="442"/>
      <c r="H76" s="444"/>
      <c r="I76" s="443"/>
      <c r="J76" s="444"/>
      <c r="K76" s="443"/>
      <c r="L76" s="444"/>
      <c r="M76" s="443"/>
    </row>
    <row r="77" spans="1:13">
      <c r="A77" s="467" t="str">
        <f t="shared" si="9"/>
        <v>"ВестГлобал"</v>
      </c>
      <c r="B77" s="260">
        <f t="shared" si="7"/>
        <v>0</v>
      </c>
      <c r="C77" s="260">
        <f t="shared" si="8"/>
        <v>0</v>
      </c>
      <c r="D77" s="467">
        <f>VLOOKUP(F79,Справочник!$A$2:$C$415,3,FALSE)</f>
        <v>0</v>
      </c>
      <c r="F77" s="441"/>
      <c r="G77" s="442"/>
      <c r="H77" s="547"/>
      <c r="I77" s="443"/>
      <c r="J77" s="444"/>
      <c r="K77" s="444"/>
      <c r="L77" s="547"/>
      <c r="M77" s="443"/>
    </row>
    <row r="78" spans="1:13">
      <c r="A78" s="467" t="str">
        <f t="shared" si="9"/>
        <v>"ВестГлобал"</v>
      </c>
      <c r="B78" s="260">
        <f t="shared" si="7"/>
        <v>0</v>
      </c>
      <c r="C78" s="260">
        <f t="shared" si="8"/>
        <v>0</v>
      </c>
      <c r="D78" s="467">
        <f>VLOOKUP(F80,Справочник!$A$2:$C$415,3,FALSE)</f>
        <v>0</v>
      </c>
      <c r="F78" s="440"/>
      <c r="G78" s="437"/>
      <c r="H78" s="438"/>
      <c r="I78" s="438"/>
      <c r="J78" s="439"/>
      <c r="K78" s="439"/>
      <c r="L78" s="438"/>
      <c r="M78" s="438"/>
    </row>
    <row r="79" spans="1:13">
      <c r="A79" s="467" t="str">
        <f t="shared" si="9"/>
        <v>"ВестГлобал"</v>
      </c>
      <c r="B79" s="260">
        <f t="shared" si="7"/>
        <v>0</v>
      </c>
      <c r="C79" s="260">
        <f t="shared" si="8"/>
        <v>0</v>
      </c>
      <c r="D79" s="467">
        <f>VLOOKUP(F81,Справочник!$A$2:$C$415,3,FALSE)</f>
        <v>0</v>
      </c>
      <c r="F79" s="441"/>
      <c r="G79" s="442"/>
      <c r="H79" s="444"/>
      <c r="I79" s="444"/>
      <c r="J79" s="443"/>
      <c r="K79" s="443"/>
      <c r="L79" s="547"/>
      <c r="M79" s="444"/>
    </row>
    <row r="80" spans="1:13">
      <c r="A80" s="467" t="str">
        <f t="shared" si="9"/>
        <v>"ВестГлобал"</v>
      </c>
      <c r="B80" s="260">
        <f t="shared" si="7"/>
        <v>0</v>
      </c>
      <c r="C80" s="260">
        <f t="shared" si="8"/>
        <v>0</v>
      </c>
      <c r="D80" s="467">
        <f>VLOOKUP(F82,Справочник!$A$2:$C$415,3,FALSE)</f>
        <v>0</v>
      </c>
      <c r="F80" s="440"/>
      <c r="G80" s="437"/>
      <c r="H80" s="438"/>
      <c r="I80" s="438"/>
      <c r="J80" s="439"/>
      <c r="K80" s="439"/>
      <c r="L80" s="438"/>
      <c r="M80" s="438"/>
    </row>
    <row r="81" spans="1:13">
      <c r="A81" s="467" t="str">
        <f t="shared" si="9"/>
        <v>"ВестГлобал"</v>
      </c>
      <c r="B81" s="260">
        <f t="shared" si="7"/>
        <v>0</v>
      </c>
      <c r="C81" s="260">
        <f t="shared" si="8"/>
        <v>0</v>
      </c>
      <c r="D81" s="467">
        <f>VLOOKUP(F83,Справочник!$A$2:$C$415,3,FALSE)</f>
        <v>0</v>
      </c>
      <c r="F81" s="441"/>
      <c r="G81" s="442"/>
      <c r="H81" s="444"/>
      <c r="I81" s="444"/>
      <c r="J81" s="443"/>
      <c r="K81" s="443"/>
      <c r="L81" s="444"/>
      <c r="M81" s="444"/>
    </row>
    <row r="82" spans="1:13">
      <c r="A82" s="467" t="str">
        <f t="shared" si="9"/>
        <v>"ВестГлобал"</v>
      </c>
      <c r="B82" s="260">
        <f t="shared" si="7"/>
        <v>0</v>
      </c>
      <c r="C82" s="260">
        <f t="shared" ref="C82:C137" si="10">IF(ISBLANK(L84)=FALSE,L84,-M84)</f>
        <v>0</v>
      </c>
      <c r="D82" s="467">
        <f>VLOOKUP(F84,Справочник!$A$2:$C$415,3,FALSE)</f>
        <v>0</v>
      </c>
      <c r="F82" s="441"/>
      <c r="G82" s="442"/>
      <c r="H82" s="444"/>
      <c r="I82" s="444"/>
      <c r="J82" s="443"/>
      <c r="K82" s="443"/>
      <c r="L82" s="444"/>
      <c r="M82" s="444"/>
    </row>
    <row r="83" spans="1:13">
      <c r="A83" s="467" t="str">
        <f t="shared" si="9"/>
        <v>"ВестГлобал"</v>
      </c>
      <c r="B83" s="260">
        <f t="shared" si="7"/>
        <v>0</v>
      </c>
      <c r="C83" s="260">
        <f t="shared" si="10"/>
        <v>0</v>
      </c>
      <c r="D83" s="467">
        <f>VLOOKUP(F85,Справочник!$A$2:$C$415,3,FALSE)</f>
        <v>0</v>
      </c>
      <c r="F83" s="440"/>
      <c r="G83" s="437"/>
      <c r="H83" s="438"/>
      <c r="I83" s="438"/>
      <c r="J83" s="439"/>
      <c r="K83" s="439"/>
      <c r="L83" s="438"/>
      <c r="M83" s="438"/>
    </row>
    <row r="84" spans="1:13">
      <c r="A84" s="467" t="str">
        <f t="shared" si="9"/>
        <v>"ВестГлобал"</v>
      </c>
      <c r="B84" s="260">
        <f t="shared" ref="B84:B135" si="11">IF(ISBLANK(H86)=FALSE,H86,-I86)</f>
        <v>0</v>
      </c>
      <c r="C84" s="260">
        <f t="shared" si="10"/>
        <v>0</v>
      </c>
      <c r="D84" s="467">
        <f>VLOOKUP(F86,Справочник!$A$2:$C$415,3,FALSE)</f>
        <v>0</v>
      </c>
      <c r="F84" s="441"/>
      <c r="G84" s="442"/>
      <c r="H84" s="444"/>
      <c r="I84" s="444"/>
      <c r="J84" s="443"/>
      <c r="K84" s="443"/>
      <c r="L84" s="444"/>
      <c r="M84" s="444"/>
    </row>
    <row r="85" spans="1:13">
      <c r="A85" s="467" t="str">
        <f t="shared" si="9"/>
        <v>"ВестГлобал"</v>
      </c>
      <c r="B85" s="260">
        <f t="shared" si="11"/>
        <v>0</v>
      </c>
      <c r="C85" s="260">
        <f t="shared" si="10"/>
        <v>0</v>
      </c>
      <c r="D85" s="467">
        <f>VLOOKUP(F87,Справочник!$A$2:$C$415,3,FALSE)</f>
        <v>0</v>
      </c>
      <c r="F85" s="440"/>
      <c r="G85" s="437"/>
      <c r="H85" s="438"/>
      <c r="I85" s="438"/>
      <c r="J85" s="439"/>
      <c r="K85" s="439"/>
      <c r="L85" s="438"/>
      <c r="M85" s="438"/>
    </row>
    <row r="86" spans="1:13">
      <c r="A86" s="467" t="str">
        <f t="shared" si="9"/>
        <v>"ВестГлобал"</v>
      </c>
      <c r="B86" s="260">
        <f t="shared" si="11"/>
        <v>0</v>
      </c>
      <c r="C86" s="260">
        <f t="shared" si="10"/>
        <v>0</v>
      </c>
      <c r="D86" s="467">
        <f>VLOOKUP(F88,Справочник!$A$2:$C$415,3,FALSE)</f>
        <v>0</v>
      </c>
      <c r="F86" s="441"/>
      <c r="G86" s="442"/>
      <c r="H86" s="444"/>
      <c r="I86" s="444"/>
      <c r="J86" s="443"/>
      <c r="K86" s="443"/>
      <c r="L86" s="444"/>
      <c r="M86" s="444"/>
    </row>
    <row r="87" spans="1:13">
      <c r="A87" s="467" t="str">
        <f t="shared" si="9"/>
        <v>"ВестГлобал"</v>
      </c>
      <c r="B87" s="260">
        <f t="shared" si="11"/>
        <v>0</v>
      </c>
      <c r="C87" s="260">
        <f t="shared" si="10"/>
        <v>0</v>
      </c>
      <c r="D87" s="467">
        <f>VLOOKUP(F89,Справочник!$A$2:$C$415,3,FALSE)</f>
        <v>0</v>
      </c>
      <c r="F87" s="441"/>
      <c r="G87" s="442"/>
      <c r="H87" s="444"/>
      <c r="I87" s="444"/>
      <c r="J87" s="443"/>
      <c r="K87" s="443"/>
      <c r="L87" s="444"/>
      <c r="M87" s="444"/>
    </row>
    <row r="88" spans="1:13">
      <c r="A88" s="467" t="str">
        <f t="shared" si="9"/>
        <v>"ВестГлобал"</v>
      </c>
      <c r="B88" s="260">
        <f t="shared" si="11"/>
        <v>0</v>
      </c>
      <c r="C88" s="260">
        <f t="shared" si="10"/>
        <v>0</v>
      </c>
      <c r="D88" s="467">
        <f>VLOOKUP(F90,Справочник!$A$2:$C$415,3,FALSE)</f>
        <v>0</v>
      </c>
      <c r="F88" s="441"/>
      <c r="G88" s="442"/>
      <c r="H88" s="444"/>
      <c r="I88" s="444"/>
      <c r="J88" s="443"/>
      <c r="K88" s="443"/>
      <c r="L88" s="444"/>
      <c r="M88" s="444"/>
    </row>
    <row r="89" spans="1:13">
      <c r="A89" s="467" t="str">
        <f t="shared" si="9"/>
        <v>"ВестГлобал"</v>
      </c>
      <c r="B89" s="260">
        <f t="shared" si="11"/>
        <v>0</v>
      </c>
      <c r="C89" s="260">
        <f t="shared" si="10"/>
        <v>0</v>
      </c>
      <c r="D89" s="467">
        <f>VLOOKUP(F91,Справочник!$A$2:$C$415,3,FALSE)</f>
        <v>0</v>
      </c>
      <c r="F89" s="440"/>
      <c r="G89" s="437"/>
      <c r="H89" s="438"/>
      <c r="I89" s="438"/>
      <c r="J89" s="439"/>
      <c r="K89" s="439"/>
      <c r="L89" s="438"/>
      <c r="M89" s="438"/>
    </row>
    <row r="90" spans="1:13">
      <c r="A90" s="467" t="str">
        <f t="shared" si="9"/>
        <v>"ВестГлобал"</v>
      </c>
      <c r="B90" s="260">
        <f t="shared" si="11"/>
        <v>0</v>
      </c>
      <c r="C90" s="260">
        <f t="shared" si="10"/>
        <v>0</v>
      </c>
      <c r="D90" s="467">
        <f>VLOOKUP(F92,Справочник!$A$2:$C$415,3,FALSE)</f>
        <v>0</v>
      </c>
      <c r="F90" s="441"/>
      <c r="G90" s="442"/>
      <c r="H90" s="444"/>
      <c r="I90" s="444"/>
      <c r="J90" s="443"/>
      <c r="K90" s="443"/>
      <c r="L90" s="444"/>
      <c r="M90" s="444"/>
    </row>
    <row r="91" spans="1:13">
      <c r="A91" s="467" t="str">
        <f t="shared" si="9"/>
        <v>"ВестГлобал"</v>
      </c>
      <c r="B91" s="260">
        <f t="shared" si="11"/>
        <v>0</v>
      </c>
      <c r="C91" s="260">
        <f t="shared" si="10"/>
        <v>0</v>
      </c>
      <c r="D91" s="467">
        <f>VLOOKUP(F93,Справочник!$A$2:$C$415,3,FALSE)</f>
        <v>0</v>
      </c>
      <c r="F91" s="441"/>
      <c r="G91" s="442"/>
      <c r="H91" s="444"/>
      <c r="I91" s="444"/>
      <c r="J91" s="443"/>
      <c r="K91" s="443"/>
      <c r="L91" s="444"/>
      <c r="M91" s="444"/>
    </row>
    <row r="92" spans="1:13">
      <c r="A92" s="467" t="str">
        <f t="shared" si="9"/>
        <v>"ВестГлобал"</v>
      </c>
      <c r="B92" s="260">
        <f t="shared" si="11"/>
        <v>0</v>
      </c>
      <c r="C92" s="260">
        <f t="shared" si="10"/>
        <v>0</v>
      </c>
      <c r="D92" s="467">
        <f>VLOOKUP(F94,Справочник!$A$2:$C$415,3,FALSE)</f>
        <v>0</v>
      </c>
      <c r="F92" s="440"/>
      <c r="G92" s="437"/>
      <c r="H92" s="438"/>
      <c r="I92" s="438"/>
      <c r="J92" s="439"/>
      <c r="K92" s="439"/>
      <c r="L92" s="438"/>
      <c r="M92" s="438"/>
    </row>
    <row r="93" spans="1:13">
      <c r="A93" s="467" t="str">
        <f t="shared" si="9"/>
        <v>"ВестГлобал"</v>
      </c>
      <c r="B93" s="260">
        <f t="shared" si="11"/>
        <v>0</v>
      </c>
      <c r="C93" s="260">
        <f t="shared" si="10"/>
        <v>0</v>
      </c>
      <c r="D93" s="467">
        <f>VLOOKUP(F95,Справочник!$A$2:$C$415,3,FALSE)</f>
        <v>0</v>
      </c>
      <c r="F93" s="441"/>
      <c r="G93" s="442"/>
      <c r="H93" s="444"/>
      <c r="I93" s="444"/>
      <c r="J93" s="443"/>
      <c r="K93" s="443"/>
      <c r="L93" s="444"/>
      <c r="M93" s="444"/>
    </row>
    <row r="94" spans="1:13">
      <c r="A94" s="467" t="str">
        <f t="shared" si="9"/>
        <v>"ВестГлобал"</v>
      </c>
      <c r="B94" s="260">
        <f t="shared" si="11"/>
        <v>0</v>
      </c>
      <c r="C94" s="260">
        <f t="shared" si="10"/>
        <v>0</v>
      </c>
      <c r="D94" s="467">
        <f>VLOOKUP(F96,Справочник!$A$2:$C$415,3,FALSE)</f>
        <v>0</v>
      </c>
      <c r="F94" s="441"/>
      <c r="G94" s="442"/>
      <c r="H94" s="444"/>
      <c r="I94" s="444"/>
      <c r="J94" s="443"/>
      <c r="K94" s="443"/>
      <c r="L94" s="444"/>
      <c r="M94" s="444"/>
    </row>
    <row r="95" spans="1:13">
      <c r="A95" s="467" t="str">
        <f t="shared" si="9"/>
        <v>"ВестГлобал"</v>
      </c>
      <c r="B95" s="260">
        <f t="shared" si="11"/>
        <v>0</v>
      </c>
      <c r="C95" s="260">
        <f t="shared" si="10"/>
        <v>0</v>
      </c>
      <c r="D95" s="467">
        <f>VLOOKUP(F97,Справочник!$A$2:$C$415,3,FALSE)</f>
        <v>0</v>
      </c>
      <c r="F95" s="440"/>
      <c r="G95" s="437"/>
      <c r="H95" s="438"/>
      <c r="I95" s="438"/>
      <c r="J95" s="439"/>
      <c r="K95" s="439"/>
      <c r="L95" s="438"/>
      <c r="M95" s="438"/>
    </row>
    <row r="96" spans="1:13">
      <c r="A96" s="467" t="str">
        <f t="shared" si="9"/>
        <v>"ВестГлобал"</v>
      </c>
      <c r="B96" s="260">
        <f t="shared" si="11"/>
        <v>0</v>
      </c>
      <c r="C96" s="260">
        <f t="shared" si="10"/>
        <v>0</v>
      </c>
      <c r="D96" s="467">
        <f>VLOOKUP(F98,Справочник!$A$2:$C$415,3,FALSE)</f>
        <v>0</v>
      </c>
      <c r="F96" s="441"/>
      <c r="G96" s="442"/>
      <c r="H96" s="444"/>
      <c r="I96" s="444"/>
      <c r="J96" s="443"/>
      <c r="K96" s="443"/>
      <c r="L96" s="444"/>
      <c r="M96" s="444"/>
    </row>
    <row r="97" spans="1:13">
      <c r="A97" s="467" t="str">
        <f t="shared" si="9"/>
        <v>"ВестГлобал"</v>
      </c>
      <c r="B97" s="260">
        <f t="shared" si="11"/>
        <v>0</v>
      </c>
      <c r="C97" s="260">
        <f t="shared" si="10"/>
        <v>0</v>
      </c>
      <c r="D97" s="467">
        <f>VLOOKUP(F99,Справочник!$A$2:$C$415,3,FALSE)</f>
        <v>0</v>
      </c>
      <c r="F97" s="441"/>
      <c r="G97" s="442"/>
      <c r="H97" s="444"/>
      <c r="I97" s="444"/>
      <c r="J97" s="443"/>
      <c r="K97" s="443"/>
      <c r="L97" s="444"/>
      <c r="M97" s="444"/>
    </row>
    <row r="98" spans="1:13">
      <c r="A98" s="467" t="str">
        <f t="shared" si="9"/>
        <v>"ВестГлобал"</v>
      </c>
      <c r="B98" s="260">
        <f t="shared" si="11"/>
        <v>0</v>
      </c>
      <c r="C98" s="260">
        <f t="shared" si="10"/>
        <v>0</v>
      </c>
      <c r="D98" s="467">
        <f>VLOOKUP(F100,Справочник!$A$2:$C$415,3,FALSE)</f>
        <v>0</v>
      </c>
      <c r="F98" s="440"/>
      <c r="G98" s="437"/>
      <c r="H98" s="438"/>
      <c r="I98" s="438"/>
      <c r="J98" s="439"/>
      <c r="K98" s="439"/>
      <c r="L98" s="438"/>
      <c r="M98" s="438"/>
    </row>
    <row r="99" spans="1:13">
      <c r="A99" s="467" t="str">
        <f t="shared" si="9"/>
        <v>"ВестГлобал"</v>
      </c>
      <c r="B99" s="260">
        <f t="shared" si="11"/>
        <v>0</v>
      </c>
      <c r="C99" s="260">
        <f t="shared" si="10"/>
        <v>0</v>
      </c>
      <c r="D99" s="467">
        <f>VLOOKUP(F101,Справочник!$A$2:$C$415,3,FALSE)</f>
        <v>0</v>
      </c>
      <c r="F99" s="441"/>
      <c r="G99" s="442"/>
      <c r="H99" s="444"/>
      <c r="I99" s="444"/>
      <c r="J99" s="443"/>
      <c r="K99" s="443"/>
      <c r="L99" s="444"/>
      <c r="M99" s="444"/>
    </row>
    <row r="100" spans="1:13">
      <c r="A100" s="467" t="str">
        <f t="shared" si="9"/>
        <v>"ВестГлобал"</v>
      </c>
      <c r="B100" s="260">
        <f t="shared" si="11"/>
        <v>0</v>
      </c>
      <c r="C100" s="260">
        <f t="shared" si="10"/>
        <v>0</v>
      </c>
      <c r="D100" s="467">
        <f>VLOOKUP(F102,Справочник!$A$2:$C$415,3,FALSE)</f>
        <v>0</v>
      </c>
      <c r="F100" s="440"/>
      <c r="G100" s="437"/>
      <c r="H100" s="438"/>
      <c r="I100" s="438"/>
      <c r="J100" s="439"/>
      <c r="K100" s="439"/>
      <c r="L100" s="438"/>
      <c r="M100" s="438"/>
    </row>
    <row r="101" spans="1:13">
      <c r="A101" s="467" t="str">
        <f t="shared" si="9"/>
        <v>"ВестГлобал"</v>
      </c>
      <c r="B101" s="260">
        <f t="shared" si="11"/>
        <v>0</v>
      </c>
      <c r="C101" s="260">
        <f t="shared" si="10"/>
        <v>0</v>
      </c>
      <c r="D101" s="467">
        <f>VLOOKUP(F103,Справочник!$A$2:$C$415,3,FALSE)</f>
        <v>0</v>
      </c>
      <c r="F101" s="441"/>
      <c r="G101" s="442"/>
      <c r="H101" s="444"/>
      <c r="I101" s="444"/>
      <c r="J101" s="443"/>
      <c r="K101" s="443"/>
      <c r="L101" s="444"/>
      <c r="M101" s="444"/>
    </row>
    <row r="102" spans="1:13">
      <c r="A102" s="467" t="str">
        <f t="shared" si="9"/>
        <v>"ВестГлобал"</v>
      </c>
      <c r="B102" s="260">
        <f t="shared" si="11"/>
        <v>0</v>
      </c>
      <c r="C102" s="260">
        <f t="shared" si="10"/>
        <v>0</v>
      </c>
      <c r="D102" s="467">
        <f>VLOOKUP(F104,Справочник!$A$2:$C$415,3,FALSE)</f>
        <v>0</v>
      </c>
      <c r="F102" s="441"/>
      <c r="G102" s="442"/>
      <c r="H102" s="444"/>
      <c r="I102" s="444"/>
      <c r="J102" s="443"/>
      <c r="K102" s="443"/>
      <c r="L102" s="444"/>
      <c r="M102" s="444"/>
    </row>
    <row r="103" spans="1:13">
      <c r="A103" s="467" t="str">
        <f t="shared" si="9"/>
        <v>"ВестГлобал"</v>
      </c>
      <c r="B103" s="260">
        <f t="shared" si="11"/>
        <v>0</v>
      </c>
      <c r="C103" s="260">
        <f t="shared" si="10"/>
        <v>0</v>
      </c>
      <c r="D103" s="467">
        <f>VLOOKUP(F105,Справочник!$A$2:$C$415,3,FALSE)</f>
        <v>0</v>
      </c>
      <c r="F103" s="441"/>
      <c r="G103" s="442"/>
      <c r="H103" s="444"/>
      <c r="I103" s="444"/>
      <c r="J103" s="443"/>
      <c r="K103" s="443"/>
      <c r="L103" s="444"/>
      <c r="M103" s="444"/>
    </row>
    <row r="104" spans="1:13">
      <c r="A104" s="467" t="str">
        <f t="shared" si="9"/>
        <v>"ВестГлобал"</v>
      </c>
      <c r="B104" s="260">
        <f t="shared" si="11"/>
        <v>0</v>
      </c>
      <c r="C104" s="260">
        <f t="shared" si="10"/>
        <v>0</v>
      </c>
      <c r="D104" s="467">
        <f>VLOOKUP(F106,Справочник!$A$2:$C$415,3,FALSE)</f>
        <v>0</v>
      </c>
      <c r="F104" s="676"/>
      <c r="G104" s="676"/>
      <c r="H104" s="453"/>
      <c r="I104" s="453"/>
      <c r="J104" s="453"/>
      <c r="K104" s="453"/>
      <c r="L104" s="453"/>
      <c r="M104" s="453"/>
    </row>
    <row r="105" spans="1:13">
      <c r="A105" s="467" t="str">
        <f t="shared" si="9"/>
        <v>"ВестГлобал"</v>
      </c>
      <c r="B105" s="260">
        <f t="shared" si="11"/>
        <v>0</v>
      </c>
      <c r="C105" s="260">
        <f t="shared" si="10"/>
        <v>0</v>
      </c>
      <c r="D105" s="467">
        <f>VLOOKUP(F107,Справочник!$A$2:$C$415,3,FALSE)</f>
        <v>0</v>
      </c>
      <c r="F105" s="425"/>
      <c r="G105" s="426"/>
      <c r="H105" s="428"/>
      <c r="I105" s="428"/>
      <c r="J105" s="427"/>
      <c r="K105" s="427"/>
      <c r="L105" s="428"/>
      <c r="M105" s="428"/>
    </row>
    <row r="106" spans="1:13">
      <c r="A106" s="467" t="str">
        <f t="shared" si="9"/>
        <v>"ВестГлобал"</v>
      </c>
      <c r="B106" s="260">
        <f t="shared" si="11"/>
        <v>0</v>
      </c>
      <c r="C106" s="260">
        <f t="shared" si="10"/>
        <v>0</v>
      </c>
      <c r="D106" s="467">
        <f>VLOOKUP(F108,Справочник!$A$2:$C$415,3,FALSE)</f>
        <v>0</v>
      </c>
      <c r="F106" s="424"/>
      <c r="G106" s="421"/>
      <c r="H106" s="422"/>
      <c r="I106" s="422"/>
      <c r="J106" s="423"/>
      <c r="K106" s="423"/>
      <c r="L106" s="422"/>
      <c r="M106" s="422"/>
    </row>
    <row r="107" spans="1:13">
      <c r="A107" s="467" t="str">
        <f t="shared" si="9"/>
        <v>"ВестГлобал"</v>
      </c>
      <c r="B107" s="260">
        <f t="shared" si="11"/>
        <v>0</v>
      </c>
      <c r="C107" s="260">
        <f t="shared" si="10"/>
        <v>0</v>
      </c>
      <c r="D107" s="467">
        <f>VLOOKUP(F109,Справочник!$A$2:$C$415,3,FALSE)</f>
        <v>0</v>
      </c>
      <c r="F107" s="425"/>
      <c r="G107" s="426"/>
      <c r="H107" s="428"/>
      <c r="I107" s="428"/>
      <c r="J107" s="427"/>
      <c r="K107" s="427"/>
      <c r="L107" s="428"/>
      <c r="M107" s="428"/>
    </row>
    <row r="108" spans="1:13">
      <c r="A108" s="467" t="str">
        <f t="shared" si="9"/>
        <v>"ВестГлобал"</v>
      </c>
      <c r="B108" s="260">
        <f t="shared" si="11"/>
        <v>0</v>
      </c>
      <c r="C108" s="260">
        <f t="shared" si="10"/>
        <v>0</v>
      </c>
      <c r="D108" s="467">
        <f>VLOOKUP(F110,Справочник!$A$2:$C$415,3,FALSE)</f>
        <v>0</v>
      </c>
      <c r="F108" s="424"/>
      <c r="G108" s="421"/>
      <c r="H108" s="422"/>
      <c r="I108" s="422"/>
      <c r="J108" s="423"/>
      <c r="K108" s="423"/>
      <c r="L108" s="422"/>
      <c r="M108" s="422"/>
    </row>
    <row r="109" spans="1:13">
      <c r="A109" s="467" t="str">
        <f t="shared" si="9"/>
        <v>"ВестГлобал"</v>
      </c>
      <c r="B109" s="260">
        <f t="shared" si="11"/>
        <v>0</v>
      </c>
      <c r="C109" s="260">
        <f t="shared" si="10"/>
        <v>0</v>
      </c>
      <c r="D109" s="467">
        <f>VLOOKUP(F111,Справочник!$A$2:$C$415,3,FALSE)</f>
        <v>0</v>
      </c>
      <c r="F109" s="425"/>
      <c r="G109" s="426"/>
      <c r="H109" s="428"/>
      <c r="I109" s="428"/>
      <c r="J109" s="427"/>
      <c r="K109" s="427"/>
      <c r="L109" s="428"/>
      <c r="M109" s="428"/>
    </row>
    <row r="110" spans="1:13">
      <c r="A110" s="467" t="str">
        <f t="shared" si="9"/>
        <v>"ВестГлобал"</v>
      </c>
      <c r="B110" s="260">
        <f t="shared" si="11"/>
        <v>0</v>
      </c>
      <c r="C110" s="260">
        <f t="shared" si="10"/>
        <v>0</v>
      </c>
      <c r="D110" s="467">
        <f>VLOOKUP(F112,Справочник!$A$2:$C$415,3,FALSE)</f>
        <v>0</v>
      </c>
      <c r="F110" s="425"/>
      <c r="G110" s="426"/>
      <c r="H110" s="428"/>
      <c r="I110" s="428"/>
      <c r="J110" s="427"/>
      <c r="K110" s="427"/>
      <c r="L110" s="428"/>
      <c r="M110" s="428"/>
    </row>
    <row r="111" spans="1:13">
      <c r="A111" s="467" t="str">
        <f t="shared" si="9"/>
        <v>"ВестГлобал"</v>
      </c>
      <c r="B111" s="260">
        <f t="shared" si="11"/>
        <v>0</v>
      </c>
      <c r="C111" s="260">
        <f t="shared" si="10"/>
        <v>0</v>
      </c>
      <c r="D111" s="467">
        <f>VLOOKUP(F113,Справочник!$A$2:$C$415,3,FALSE)</f>
        <v>0</v>
      </c>
      <c r="F111" s="424"/>
      <c r="G111" s="421"/>
      <c r="H111" s="422"/>
      <c r="I111" s="422"/>
      <c r="J111" s="423"/>
      <c r="K111" s="423"/>
      <c r="L111" s="422"/>
      <c r="M111" s="422"/>
    </row>
    <row r="112" spans="1:13">
      <c r="A112" s="467" t="str">
        <f t="shared" si="9"/>
        <v>"ВестГлобал"</v>
      </c>
      <c r="B112" s="260">
        <f t="shared" si="11"/>
        <v>0</v>
      </c>
      <c r="C112" s="260">
        <f t="shared" si="10"/>
        <v>0</v>
      </c>
      <c r="D112" s="467">
        <f>VLOOKUP(F114,Справочник!$A$2:$C$415,3,FALSE)</f>
        <v>0</v>
      </c>
      <c r="F112" s="425"/>
      <c r="G112" s="426"/>
      <c r="H112" s="428"/>
      <c r="I112" s="428"/>
      <c r="J112" s="427"/>
      <c r="K112" s="427"/>
      <c r="L112" s="428"/>
      <c r="M112" s="428"/>
    </row>
    <row r="113" spans="1:13">
      <c r="A113" s="467" t="str">
        <f t="shared" si="9"/>
        <v>"ВестГлобал"</v>
      </c>
      <c r="B113" s="260">
        <f t="shared" si="11"/>
        <v>0</v>
      </c>
      <c r="C113" s="260">
        <f t="shared" si="10"/>
        <v>0</v>
      </c>
      <c r="D113" s="467">
        <f>VLOOKUP(F115,Справочник!$A$2:$C$415,3,FALSE)</f>
        <v>0</v>
      </c>
      <c r="F113" s="678"/>
      <c r="G113" s="678"/>
      <c r="H113" s="429"/>
      <c r="I113" s="429"/>
      <c r="J113" s="429"/>
      <c r="K113" s="429"/>
      <c r="L113" s="429"/>
      <c r="M113" s="429"/>
    </row>
    <row r="114" spans="1:13">
      <c r="A114" s="467" t="str">
        <f t="shared" si="9"/>
        <v>"ВестГлобал"</v>
      </c>
      <c r="B114" s="260">
        <f t="shared" si="11"/>
        <v>0</v>
      </c>
      <c r="C114" s="260">
        <f t="shared" si="10"/>
        <v>0</v>
      </c>
      <c r="D114" s="467">
        <f>VLOOKUP(F116,Справочник!$A$2:$C$415,3,FALSE)</f>
        <v>0</v>
      </c>
      <c r="F114" s="361"/>
      <c r="G114" s="357"/>
      <c r="H114" s="358"/>
      <c r="I114" s="360"/>
      <c r="J114" s="359"/>
      <c r="K114" s="360"/>
      <c r="L114" s="358"/>
      <c r="M114" s="360"/>
    </row>
    <row r="115" spans="1:13">
      <c r="A115" s="467" t="str">
        <f t="shared" si="9"/>
        <v>"ВестГлобал"</v>
      </c>
      <c r="B115" s="260">
        <f t="shared" si="11"/>
        <v>0</v>
      </c>
      <c r="C115" s="260">
        <f t="shared" si="10"/>
        <v>0</v>
      </c>
      <c r="D115" s="467">
        <f>VLOOKUP(F117,Справочник!$A$2:$C$415,3,FALSE)</f>
        <v>0</v>
      </c>
      <c r="F115" s="372"/>
      <c r="G115" s="373"/>
      <c r="H115" s="374"/>
      <c r="I115" s="376"/>
      <c r="J115" s="375"/>
      <c r="K115" s="376"/>
      <c r="L115" s="374"/>
      <c r="M115" s="376"/>
    </row>
    <row r="116" spans="1:13">
      <c r="A116" s="467" t="str">
        <f t="shared" si="9"/>
        <v>"ВестГлобал"</v>
      </c>
      <c r="B116" s="260">
        <f t="shared" si="11"/>
        <v>0</v>
      </c>
      <c r="C116" s="260">
        <f t="shared" si="10"/>
        <v>0</v>
      </c>
      <c r="D116" s="467">
        <f>VLOOKUP(F118,Справочник!$A$2:$C$415,3,FALSE)</f>
        <v>0</v>
      </c>
      <c r="F116" s="362"/>
      <c r="G116" s="363"/>
      <c r="H116" s="366"/>
      <c r="I116" s="364"/>
      <c r="J116" s="365"/>
      <c r="K116" s="366"/>
      <c r="L116" s="366"/>
      <c r="M116" s="364"/>
    </row>
    <row r="117" spans="1:13">
      <c r="A117" s="467" t="str">
        <f t="shared" si="9"/>
        <v>"ВестГлобал"</v>
      </c>
      <c r="B117" s="260">
        <f t="shared" si="11"/>
        <v>0</v>
      </c>
      <c r="C117" s="260">
        <f t="shared" si="10"/>
        <v>0</v>
      </c>
      <c r="D117" s="467">
        <f>VLOOKUP(F119,Справочник!$A$2:$C$415,3,FALSE)</f>
        <v>0</v>
      </c>
      <c r="F117" s="362"/>
      <c r="G117" s="363"/>
      <c r="H117" s="364"/>
      <c r="I117" s="365"/>
      <c r="J117" s="365"/>
      <c r="K117" s="364"/>
      <c r="L117" s="364"/>
      <c r="M117" s="366"/>
    </row>
    <row r="118" spans="1:13">
      <c r="A118" s="467" t="str">
        <f t="shared" si="9"/>
        <v>"ВестГлобал"</v>
      </c>
      <c r="B118" s="260">
        <f t="shared" si="11"/>
        <v>0</v>
      </c>
      <c r="C118" s="260">
        <f t="shared" si="10"/>
        <v>0</v>
      </c>
      <c r="D118" s="467">
        <f>VLOOKUP(F120,Справочник!$A$2:$C$415,3,FALSE)</f>
        <v>0</v>
      </c>
      <c r="F118" s="361"/>
      <c r="G118" s="357"/>
      <c r="H118" s="358"/>
      <c r="I118" s="360"/>
      <c r="J118" s="360"/>
      <c r="K118" s="358"/>
      <c r="L118" s="358"/>
      <c r="M118" s="360"/>
    </row>
    <row r="119" spans="1:13">
      <c r="A119" s="467" t="str">
        <f t="shared" si="9"/>
        <v>"ВестГлобал"</v>
      </c>
      <c r="B119" s="260">
        <f t="shared" si="11"/>
        <v>0</v>
      </c>
      <c r="C119" s="260">
        <f t="shared" si="10"/>
        <v>0</v>
      </c>
      <c r="D119" s="467">
        <f>VLOOKUP(F121,Справочник!$A$2:$C$415,3,FALSE)</f>
        <v>0</v>
      </c>
      <c r="F119" s="362"/>
      <c r="G119" s="363"/>
      <c r="H119" s="366"/>
      <c r="I119" s="364"/>
      <c r="J119" s="364"/>
      <c r="K119" s="366"/>
      <c r="L119" s="366"/>
      <c r="M119" s="364"/>
    </row>
    <row r="120" spans="1:13">
      <c r="A120" s="467" t="str">
        <f t="shared" si="9"/>
        <v>"ВестГлобал"</v>
      </c>
      <c r="B120" s="260">
        <f t="shared" si="11"/>
        <v>0</v>
      </c>
      <c r="C120" s="260">
        <f t="shared" si="10"/>
        <v>0</v>
      </c>
      <c r="D120" s="467">
        <f>VLOOKUP(F122,Справочник!$A$2:$C$415,3,FALSE)</f>
        <v>0</v>
      </c>
      <c r="F120" s="361"/>
      <c r="G120" s="357"/>
      <c r="H120" s="358"/>
      <c r="I120" s="360"/>
      <c r="J120" s="359"/>
      <c r="K120" s="358"/>
      <c r="L120" s="358"/>
      <c r="M120" s="360"/>
    </row>
    <row r="121" spans="1:13">
      <c r="A121" s="467" t="str">
        <f t="shared" si="9"/>
        <v>"ВестГлобал"</v>
      </c>
      <c r="B121" s="260">
        <f t="shared" si="11"/>
        <v>0</v>
      </c>
      <c r="C121" s="260">
        <f t="shared" si="10"/>
        <v>0</v>
      </c>
      <c r="D121" s="467">
        <f>VLOOKUP(F123,Справочник!$A$2:$C$415,3,FALSE)</f>
        <v>0</v>
      </c>
      <c r="F121" s="362"/>
      <c r="G121" s="363"/>
      <c r="H121" s="366"/>
      <c r="I121" s="364"/>
      <c r="J121" s="365"/>
      <c r="K121" s="366"/>
      <c r="L121" s="366"/>
      <c r="M121" s="364"/>
    </row>
    <row r="122" spans="1:13">
      <c r="A122" s="467" t="str">
        <f t="shared" si="9"/>
        <v>"ВестГлобал"</v>
      </c>
      <c r="B122" s="260">
        <f t="shared" si="11"/>
        <v>0</v>
      </c>
      <c r="C122" s="260">
        <f t="shared" si="10"/>
        <v>0</v>
      </c>
      <c r="D122" s="467">
        <f>VLOOKUP(F124,Справочник!$A$2:$C$415,3,FALSE)</f>
        <v>0</v>
      </c>
      <c r="F122" s="361"/>
      <c r="G122" s="357"/>
      <c r="H122" s="358"/>
      <c r="I122" s="360"/>
      <c r="J122" s="360"/>
      <c r="K122" s="360"/>
      <c r="L122" s="358"/>
      <c r="M122" s="360"/>
    </row>
    <row r="123" spans="1:13">
      <c r="A123" s="467" t="str">
        <f t="shared" si="9"/>
        <v>"ВестГлобал"</v>
      </c>
      <c r="B123" s="260">
        <f t="shared" si="11"/>
        <v>0</v>
      </c>
      <c r="C123" s="260">
        <f t="shared" si="10"/>
        <v>0</v>
      </c>
      <c r="D123" s="467">
        <f>VLOOKUP(F125,Справочник!$A$2:$C$415,3,FALSE)</f>
        <v>0</v>
      </c>
      <c r="F123" s="362"/>
      <c r="G123" s="363"/>
      <c r="H123" s="366"/>
      <c r="I123" s="365"/>
      <c r="J123" s="365"/>
      <c r="K123" s="364"/>
      <c r="L123" s="366"/>
      <c r="M123" s="364"/>
    </row>
    <row r="124" spans="1:13">
      <c r="A124" s="467" t="str">
        <f t="shared" si="9"/>
        <v>"ВестГлобал"</v>
      </c>
      <c r="B124" s="260">
        <f t="shared" si="11"/>
        <v>0</v>
      </c>
      <c r="C124" s="260">
        <f t="shared" si="10"/>
        <v>0</v>
      </c>
      <c r="D124" s="467">
        <f>VLOOKUP(F126,Справочник!$A$2:$C$415,3,FALSE)</f>
        <v>0</v>
      </c>
      <c r="F124" s="362"/>
      <c r="G124" s="363"/>
      <c r="H124" s="366"/>
      <c r="I124" s="365"/>
      <c r="J124" s="364"/>
      <c r="K124" s="364"/>
      <c r="L124" s="366"/>
      <c r="M124" s="364"/>
    </row>
    <row r="125" spans="1:13">
      <c r="A125" s="467" t="str">
        <f t="shared" si="9"/>
        <v>"ВестГлобал"</v>
      </c>
      <c r="B125" s="260">
        <f t="shared" si="11"/>
        <v>0</v>
      </c>
      <c r="C125" s="260">
        <f t="shared" si="10"/>
        <v>0</v>
      </c>
      <c r="D125" s="467">
        <f>VLOOKUP(F127,Справочник!$A$2:$C$415,3,FALSE)</f>
        <v>0</v>
      </c>
      <c r="F125" s="362"/>
      <c r="G125" s="363"/>
      <c r="H125" s="366"/>
      <c r="I125" s="364"/>
      <c r="J125" s="364"/>
      <c r="K125" s="364"/>
      <c r="L125" s="366"/>
      <c r="M125" s="366"/>
    </row>
    <row r="126" spans="1:13">
      <c r="A126" s="467" t="str">
        <f t="shared" si="9"/>
        <v>"ВестГлобал"</v>
      </c>
      <c r="B126" s="260">
        <f t="shared" si="11"/>
        <v>0</v>
      </c>
      <c r="C126" s="260">
        <f t="shared" si="10"/>
        <v>0</v>
      </c>
      <c r="D126" s="467">
        <f>VLOOKUP(F128,Справочник!$A$2:$C$415,3,FALSE)</f>
        <v>0</v>
      </c>
      <c r="F126" s="361"/>
      <c r="G126" s="357"/>
      <c r="H126" s="358"/>
      <c r="I126" s="359"/>
      <c r="J126" s="360"/>
      <c r="K126" s="360"/>
      <c r="L126" s="360"/>
      <c r="M126" s="358"/>
    </row>
    <row r="127" spans="1:13">
      <c r="A127" s="467" t="str">
        <f t="shared" si="9"/>
        <v>"ВестГлобал"</v>
      </c>
      <c r="B127" s="260">
        <f t="shared" si="11"/>
        <v>0</v>
      </c>
      <c r="C127" s="260">
        <f t="shared" si="10"/>
        <v>0</v>
      </c>
      <c r="D127" s="467">
        <f>VLOOKUP(F129,Справочник!$A$2:$C$415,3,FALSE)</f>
        <v>0</v>
      </c>
      <c r="F127" s="362"/>
      <c r="G127" s="363"/>
      <c r="H127" s="366"/>
      <c r="I127" s="365"/>
      <c r="J127" s="364"/>
      <c r="K127" s="364"/>
      <c r="L127" s="364"/>
      <c r="M127" s="366"/>
    </row>
    <row r="128" spans="1:13">
      <c r="A128" s="467" t="str">
        <f t="shared" si="9"/>
        <v>"ВестГлобал"</v>
      </c>
      <c r="B128" s="260">
        <f t="shared" si="11"/>
        <v>0</v>
      </c>
      <c r="C128" s="260">
        <f t="shared" si="10"/>
        <v>0</v>
      </c>
      <c r="D128" s="467">
        <f>VLOOKUP(F130,Справочник!$A$2:$C$415,3,FALSE)</f>
        <v>0</v>
      </c>
      <c r="F128" s="361"/>
      <c r="G128" s="357"/>
      <c r="H128" s="358"/>
      <c r="I128" s="360"/>
      <c r="J128" s="360"/>
      <c r="K128" s="360"/>
      <c r="L128" s="358"/>
      <c r="M128" s="360"/>
    </row>
    <row r="129" spans="1:13">
      <c r="A129" s="467" t="str">
        <f t="shared" si="9"/>
        <v>"ВестГлобал"</v>
      </c>
      <c r="B129" s="260">
        <f t="shared" si="11"/>
        <v>0</v>
      </c>
      <c r="C129" s="260">
        <f t="shared" si="10"/>
        <v>0</v>
      </c>
      <c r="D129" s="467">
        <f>VLOOKUP(F131,Справочник!$A$2:$C$415,3,FALSE)</f>
        <v>0</v>
      </c>
      <c r="F129" s="362"/>
      <c r="G129" s="363"/>
      <c r="H129" s="366"/>
      <c r="I129" s="364"/>
      <c r="J129" s="365"/>
      <c r="K129" s="364"/>
      <c r="L129" s="366"/>
      <c r="M129" s="364"/>
    </row>
    <row r="130" spans="1:13">
      <c r="A130" s="467" t="str">
        <f t="shared" si="9"/>
        <v>"ВестГлобал"</v>
      </c>
      <c r="B130" s="260">
        <f t="shared" si="11"/>
        <v>0</v>
      </c>
      <c r="C130" s="260">
        <f t="shared" si="10"/>
        <v>0</v>
      </c>
      <c r="D130" s="467">
        <f>VLOOKUP(F132,Справочник!$A$2:$C$415,3,FALSE)</f>
        <v>0</v>
      </c>
      <c r="F130" s="362"/>
      <c r="G130" s="363"/>
      <c r="H130" s="366"/>
      <c r="I130" s="365"/>
      <c r="J130" s="368"/>
      <c r="K130" s="366"/>
      <c r="L130" s="366"/>
      <c r="M130" s="364"/>
    </row>
    <row r="131" spans="1:13">
      <c r="A131" s="467" t="str">
        <f t="shared" si="9"/>
        <v>"ВестГлобал"</v>
      </c>
      <c r="B131" s="260">
        <f t="shared" si="11"/>
        <v>0</v>
      </c>
      <c r="C131" s="260">
        <f t="shared" si="10"/>
        <v>0</v>
      </c>
      <c r="D131" s="467">
        <f>VLOOKUP(F133,Справочник!$A$2:$C$415,3,FALSE)</f>
        <v>0</v>
      </c>
      <c r="F131" s="362"/>
      <c r="G131" s="363"/>
      <c r="H131" s="366"/>
      <c r="I131" s="364"/>
      <c r="J131" s="364"/>
      <c r="K131" s="366"/>
      <c r="L131" s="366"/>
      <c r="M131" s="364"/>
    </row>
    <row r="132" spans="1:13">
      <c r="A132" s="467" t="str">
        <f t="shared" si="9"/>
        <v>"ВестГлобал"</v>
      </c>
      <c r="B132" s="260">
        <f t="shared" si="11"/>
        <v>0</v>
      </c>
      <c r="C132" s="260">
        <f t="shared" si="10"/>
        <v>0</v>
      </c>
      <c r="D132" s="467">
        <f>VLOOKUP(F134,Справочник!$A$2:$C$415,3,FALSE)</f>
        <v>0</v>
      </c>
      <c r="F132" s="361"/>
      <c r="G132" s="357"/>
      <c r="H132" s="358"/>
      <c r="I132" s="359"/>
      <c r="J132" s="360"/>
      <c r="K132" s="360"/>
      <c r="L132" s="358"/>
      <c r="M132" s="358"/>
    </row>
    <row r="133" spans="1:13">
      <c r="A133" s="467" t="str">
        <f t="shared" si="9"/>
        <v>"ВестГлобал"</v>
      </c>
      <c r="B133" s="260">
        <f t="shared" si="11"/>
        <v>0</v>
      </c>
      <c r="C133" s="260">
        <f t="shared" si="10"/>
        <v>0</v>
      </c>
      <c r="D133" s="467">
        <f>VLOOKUP(F135,Справочник!$A$2:$C$415,3,FALSE)</f>
        <v>0</v>
      </c>
      <c r="F133" s="362"/>
      <c r="G133" s="363"/>
      <c r="H133" s="366"/>
      <c r="I133" s="365"/>
      <c r="J133" s="364"/>
      <c r="K133" s="364"/>
      <c r="L133" s="366"/>
      <c r="M133" s="366"/>
    </row>
    <row r="134" spans="1:13">
      <c r="A134" s="467" t="str">
        <f t="shared" si="9"/>
        <v>"ВестГлобал"</v>
      </c>
      <c r="B134" s="260">
        <f t="shared" si="11"/>
        <v>0</v>
      </c>
      <c r="C134" s="260">
        <f t="shared" si="10"/>
        <v>0</v>
      </c>
      <c r="D134" s="467">
        <f>VLOOKUP(F136,Справочник!$A$2:$C$415,3,FALSE)</f>
        <v>0</v>
      </c>
      <c r="F134" s="361"/>
      <c r="G134" s="357"/>
      <c r="H134" s="358"/>
      <c r="I134" s="359"/>
      <c r="J134" s="360"/>
      <c r="K134" s="360"/>
      <c r="L134" s="358"/>
      <c r="M134" s="358"/>
    </row>
    <row r="135" spans="1:13">
      <c r="A135" s="467" t="str">
        <f t="shared" si="9"/>
        <v>"ВестГлобал"</v>
      </c>
      <c r="B135" s="260">
        <f t="shared" si="11"/>
        <v>0</v>
      </c>
      <c r="C135" s="260">
        <f t="shared" si="10"/>
        <v>0</v>
      </c>
      <c r="D135" s="467">
        <f>VLOOKUP(F137,Справочник!$A$2:$C$415,3,FALSE)</f>
        <v>0</v>
      </c>
      <c r="F135" s="362"/>
      <c r="G135" s="363"/>
      <c r="H135" s="366"/>
      <c r="I135" s="365"/>
      <c r="J135" s="364"/>
      <c r="K135" s="364"/>
      <c r="L135" s="366"/>
      <c r="M135" s="366"/>
    </row>
    <row r="136" spans="1:13">
      <c r="A136" s="467" t="str">
        <f t="shared" si="9"/>
        <v>"ВестГлобал"</v>
      </c>
      <c r="B136" s="260">
        <f t="shared" ref="B136:B171" si="12">IF(ISBLANK(H138)=FALSE,H138,-I138)</f>
        <v>0</v>
      </c>
      <c r="C136" s="260">
        <f t="shared" si="10"/>
        <v>0</v>
      </c>
      <c r="D136" s="467">
        <f>VLOOKUP(F138,Справочник!$A$2:$C$415,3,FALSE)</f>
        <v>0</v>
      </c>
      <c r="F136" s="362"/>
      <c r="G136" s="363"/>
      <c r="H136" s="366"/>
      <c r="I136" s="365"/>
      <c r="J136" s="364"/>
      <c r="K136" s="364"/>
      <c r="L136" s="366"/>
      <c r="M136" s="366"/>
    </row>
    <row r="137" spans="1:13">
      <c r="A137" s="467" t="str">
        <f t="shared" si="9"/>
        <v>"ВестГлобал"</v>
      </c>
      <c r="B137" s="260">
        <f t="shared" si="12"/>
        <v>0</v>
      </c>
      <c r="C137" s="260">
        <f t="shared" si="10"/>
        <v>0</v>
      </c>
      <c r="D137" s="467">
        <f>VLOOKUP(F139,Справочник!$A$2:$C$415,3,FALSE)</f>
        <v>0</v>
      </c>
      <c r="F137" s="362"/>
      <c r="G137" s="363"/>
      <c r="H137" s="366"/>
      <c r="I137" s="365"/>
      <c r="J137" s="364"/>
      <c r="K137" s="364"/>
      <c r="L137" s="366"/>
      <c r="M137" s="366"/>
    </row>
    <row r="138" spans="1:13">
      <c r="A138" s="467" t="str">
        <f t="shared" si="9"/>
        <v>"ВестГлобал"</v>
      </c>
      <c r="B138" s="260">
        <f t="shared" si="12"/>
        <v>0</v>
      </c>
      <c r="C138" s="260">
        <f t="shared" ref="C138:C171" si="13">IF(ISBLANK(L140)=FALSE,L140,-M140)</f>
        <v>0</v>
      </c>
      <c r="D138" s="467">
        <f>VLOOKUP(F140,Справочник!$A$2:$C$415,3,FALSE)</f>
        <v>0</v>
      </c>
      <c r="F138" s="361"/>
      <c r="G138" s="357"/>
      <c r="H138" s="358"/>
      <c r="I138" s="359"/>
      <c r="J138" s="369"/>
      <c r="K138" s="369"/>
      <c r="L138" s="358"/>
      <c r="M138" s="358"/>
    </row>
    <row r="139" spans="1:13">
      <c r="A139" s="467" t="str">
        <f t="shared" ref="A139:A171" si="14">A138</f>
        <v>"ВестГлобал"</v>
      </c>
      <c r="B139" s="260">
        <f t="shared" si="12"/>
        <v>0</v>
      </c>
      <c r="C139" s="260">
        <f t="shared" si="13"/>
        <v>0</v>
      </c>
      <c r="D139" s="467">
        <f>VLOOKUP(F141,Справочник!$A$2:$C$415,3,FALSE)</f>
        <v>0</v>
      </c>
      <c r="F139" s="362"/>
      <c r="G139" s="363"/>
      <c r="H139" s="366"/>
      <c r="I139" s="365"/>
      <c r="J139" s="367"/>
      <c r="K139" s="367"/>
      <c r="L139" s="366"/>
      <c r="M139" s="366"/>
    </row>
    <row r="140" spans="1:13">
      <c r="A140" s="467" t="str">
        <f t="shared" si="14"/>
        <v>"ВестГлобал"</v>
      </c>
      <c r="B140" s="260">
        <f t="shared" si="12"/>
        <v>0</v>
      </c>
      <c r="C140" s="260">
        <f t="shared" si="13"/>
        <v>0</v>
      </c>
      <c r="D140" s="467">
        <f>VLOOKUP(F142,Справочник!$A$2:$C$415,3,FALSE)</f>
        <v>0</v>
      </c>
      <c r="F140" s="361"/>
      <c r="G140" s="357"/>
      <c r="H140" s="358"/>
      <c r="I140" s="359"/>
      <c r="J140" s="360"/>
      <c r="K140" s="360"/>
      <c r="L140" s="358"/>
      <c r="M140" s="358"/>
    </row>
    <row r="141" spans="1:13">
      <c r="A141" s="467" t="str">
        <f t="shared" si="14"/>
        <v>"ВестГлобал"</v>
      </c>
      <c r="B141" s="260">
        <f t="shared" si="12"/>
        <v>0</v>
      </c>
      <c r="C141" s="260">
        <f t="shared" si="13"/>
        <v>0</v>
      </c>
      <c r="D141" s="467">
        <f>VLOOKUP(F143,Справочник!$A$2:$C$415,3,FALSE)</f>
        <v>0</v>
      </c>
      <c r="F141" s="362"/>
      <c r="G141" s="363"/>
      <c r="H141" s="366"/>
      <c r="I141" s="365"/>
      <c r="J141" s="364"/>
      <c r="K141" s="364"/>
      <c r="L141" s="366"/>
      <c r="M141" s="366"/>
    </row>
    <row r="142" spans="1:13">
      <c r="A142" s="467" t="str">
        <f t="shared" si="14"/>
        <v>"ВестГлобал"</v>
      </c>
      <c r="B142" s="260">
        <f t="shared" si="12"/>
        <v>0</v>
      </c>
      <c r="C142" s="260">
        <f t="shared" si="13"/>
        <v>0</v>
      </c>
      <c r="D142" s="467">
        <f>VLOOKUP(F144,Справочник!$A$2:$C$415,3,FALSE)</f>
        <v>0</v>
      </c>
      <c r="F142" s="362"/>
      <c r="G142" s="363"/>
      <c r="H142" s="366"/>
      <c r="I142" s="365"/>
      <c r="J142" s="364"/>
      <c r="K142" s="364"/>
      <c r="L142" s="366"/>
      <c r="M142" s="366"/>
    </row>
    <row r="143" spans="1:13">
      <c r="A143" s="467" t="str">
        <f t="shared" si="14"/>
        <v>"ВестГлобал"</v>
      </c>
      <c r="B143" s="260">
        <f t="shared" si="12"/>
        <v>0</v>
      </c>
      <c r="C143" s="260">
        <f t="shared" si="13"/>
        <v>0</v>
      </c>
      <c r="D143" s="467">
        <f>VLOOKUP(F145,Справочник!$A$2:$C$415,3,FALSE)</f>
        <v>0</v>
      </c>
      <c r="F143" s="362"/>
      <c r="G143" s="363"/>
      <c r="H143" s="366"/>
      <c r="I143" s="365"/>
      <c r="J143" s="364"/>
      <c r="K143" s="364"/>
      <c r="L143" s="366"/>
      <c r="M143" s="366"/>
    </row>
    <row r="144" spans="1:13">
      <c r="A144" s="467" t="str">
        <f t="shared" si="14"/>
        <v>"ВестГлобал"</v>
      </c>
      <c r="B144" s="260">
        <f t="shared" si="12"/>
        <v>0</v>
      </c>
      <c r="C144" s="260">
        <f t="shared" si="13"/>
        <v>0</v>
      </c>
      <c r="D144" s="467">
        <f>VLOOKUP(F146,Справочник!$A$2:$C$415,3,FALSE)</f>
        <v>0</v>
      </c>
      <c r="F144" s="362"/>
      <c r="G144" s="363"/>
      <c r="H144" s="366"/>
      <c r="I144" s="365"/>
      <c r="J144" s="364"/>
      <c r="K144" s="364"/>
      <c r="L144" s="366"/>
      <c r="M144" s="366"/>
    </row>
    <row r="145" spans="1:13">
      <c r="A145" s="467" t="str">
        <f t="shared" si="14"/>
        <v>"ВестГлобал"</v>
      </c>
      <c r="B145" s="260">
        <f t="shared" si="12"/>
        <v>0</v>
      </c>
      <c r="C145" s="260">
        <f t="shared" si="13"/>
        <v>0</v>
      </c>
      <c r="D145" s="467">
        <f>VLOOKUP(F147,Справочник!$A$2:$C$415,3,FALSE)</f>
        <v>0</v>
      </c>
      <c r="F145" s="362"/>
      <c r="G145" s="363"/>
      <c r="H145" s="366"/>
      <c r="I145" s="365"/>
      <c r="J145" s="364"/>
      <c r="K145" s="364"/>
      <c r="L145" s="366"/>
      <c r="M145" s="366"/>
    </row>
    <row r="146" spans="1:13">
      <c r="A146" s="467" t="str">
        <f t="shared" si="14"/>
        <v>"ВестГлобал"</v>
      </c>
      <c r="B146" s="260">
        <f t="shared" si="12"/>
        <v>0</v>
      </c>
      <c r="C146" s="260">
        <f t="shared" si="13"/>
        <v>0</v>
      </c>
      <c r="D146" s="467">
        <f>VLOOKUP(F148,Справочник!$A$2:$C$415,3,FALSE)</f>
        <v>0</v>
      </c>
      <c r="F146" s="362"/>
      <c r="G146" s="363"/>
      <c r="H146" s="366"/>
      <c r="I146" s="365"/>
      <c r="J146" s="364"/>
      <c r="K146" s="364"/>
      <c r="L146" s="366"/>
      <c r="M146" s="366"/>
    </row>
    <row r="147" spans="1:13">
      <c r="A147" s="467" t="str">
        <f t="shared" si="14"/>
        <v>"ВестГлобал"</v>
      </c>
      <c r="B147" s="260">
        <f t="shared" si="12"/>
        <v>0</v>
      </c>
      <c r="C147" s="260">
        <f t="shared" si="13"/>
        <v>0</v>
      </c>
      <c r="D147" s="467">
        <f>VLOOKUP(F149,Справочник!$A$2:$C$415,3,FALSE)</f>
        <v>0</v>
      </c>
      <c r="F147" s="361"/>
      <c r="G147" s="357"/>
      <c r="H147" s="358"/>
      <c r="I147" s="359"/>
      <c r="J147" s="360"/>
      <c r="K147" s="360"/>
      <c r="L147" s="369"/>
      <c r="M147" s="358"/>
    </row>
    <row r="148" spans="1:13">
      <c r="A148" s="467" t="str">
        <f t="shared" si="14"/>
        <v>"ВестГлобал"</v>
      </c>
      <c r="B148" s="260">
        <f t="shared" si="12"/>
        <v>0</v>
      </c>
      <c r="C148" s="260">
        <f t="shared" si="13"/>
        <v>0</v>
      </c>
      <c r="D148" s="467">
        <f>VLOOKUP(F150,Справочник!$A$2:$C$415,3,FALSE)</f>
        <v>0</v>
      </c>
      <c r="F148" s="361"/>
      <c r="G148" s="357"/>
      <c r="H148" s="358"/>
      <c r="I148" s="359"/>
      <c r="J148" s="369"/>
      <c r="K148" s="369"/>
      <c r="L148" s="358"/>
      <c r="M148" s="358"/>
    </row>
    <row r="149" spans="1:13">
      <c r="A149" s="467" t="str">
        <f t="shared" si="14"/>
        <v>"ВестГлобал"</v>
      </c>
      <c r="B149" s="260">
        <f t="shared" si="12"/>
        <v>0</v>
      </c>
      <c r="C149" s="260">
        <f t="shared" si="13"/>
        <v>0</v>
      </c>
      <c r="D149" s="467">
        <f>VLOOKUP(F151,Справочник!$A$2:$C$415,3,FALSE)</f>
        <v>0</v>
      </c>
      <c r="F149" s="362"/>
      <c r="G149" s="363"/>
      <c r="H149" s="366"/>
      <c r="I149" s="365"/>
      <c r="J149" s="364"/>
      <c r="K149" s="364"/>
      <c r="L149" s="366"/>
      <c r="M149" s="366"/>
    </row>
    <row r="150" spans="1:13">
      <c r="A150" s="467" t="str">
        <f t="shared" si="14"/>
        <v>"ВестГлобал"</v>
      </c>
      <c r="B150" s="260">
        <f t="shared" si="12"/>
        <v>0</v>
      </c>
      <c r="C150" s="260">
        <f t="shared" si="13"/>
        <v>0</v>
      </c>
      <c r="D150" s="467">
        <f>VLOOKUP(F152,Справочник!$A$2:$C$415,3,FALSE)</f>
        <v>0</v>
      </c>
      <c r="F150" s="362"/>
      <c r="G150" s="363"/>
      <c r="H150" s="366"/>
      <c r="I150" s="365"/>
      <c r="J150" s="364"/>
      <c r="K150" s="364"/>
      <c r="L150" s="367"/>
      <c r="M150" s="366"/>
    </row>
    <row r="151" spans="1:13">
      <c r="A151" s="467" t="str">
        <f t="shared" si="14"/>
        <v>"ВестГлобал"</v>
      </c>
      <c r="B151" s="260">
        <f t="shared" si="12"/>
        <v>0</v>
      </c>
      <c r="C151" s="260">
        <f t="shared" si="13"/>
        <v>0</v>
      </c>
      <c r="D151" s="467">
        <f>VLOOKUP(F153,Справочник!$A$2:$C$415,3,FALSE)</f>
        <v>0</v>
      </c>
      <c r="F151" s="362"/>
      <c r="G151" s="363"/>
      <c r="H151" s="366"/>
      <c r="I151" s="365"/>
      <c r="J151" s="364"/>
      <c r="K151" s="364"/>
      <c r="L151" s="366"/>
      <c r="M151" s="366"/>
    </row>
    <row r="152" spans="1:13">
      <c r="A152" s="467" t="str">
        <f t="shared" si="14"/>
        <v>"ВестГлобал"</v>
      </c>
      <c r="B152" s="260">
        <f t="shared" si="12"/>
        <v>0</v>
      </c>
      <c r="C152" s="260">
        <f t="shared" si="13"/>
        <v>0</v>
      </c>
      <c r="D152" s="467">
        <f>VLOOKUP(F154,Справочник!$A$2:$C$415,3,FALSE)</f>
        <v>0</v>
      </c>
      <c r="F152" s="362"/>
      <c r="G152" s="363"/>
      <c r="H152" s="366"/>
      <c r="I152" s="365"/>
      <c r="J152" s="364"/>
      <c r="K152" s="364"/>
      <c r="L152" s="366"/>
      <c r="M152" s="366"/>
    </row>
    <row r="153" spans="1:13">
      <c r="A153" s="467" t="str">
        <f t="shared" si="14"/>
        <v>"ВестГлобал"</v>
      </c>
      <c r="B153" s="260">
        <f t="shared" si="12"/>
        <v>0</v>
      </c>
      <c r="C153" s="260">
        <f t="shared" si="13"/>
        <v>0</v>
      </c>
      <c r="D153" s="467">
        <f>VLOOKUP(F155,Справочник!$A$2:$C$415,3,FALSE)</f>
        <v>0</v>
      </c>
      <c r="F153" s="361"/>
      <c r="G153" s="357"/>
      <c r="H153" s="358"/>
      <c r="I153" s="359"/>
      <c r="J153" s="360"/>
      <c r="K153" s="360"/>
      <c r="L153" s="358"/>
      <c r="M153" s="358"/>
    </row>
    <row r="154" spans="1:13">
      <c r="A154" s="467" t="str">
        <f t="shared" si="14"/>
        <v>"ВестГлобал"</v>
      </c>
      <c r="B154" s="260">
        <f t="shared" si="12"/>
        <v>0</v>
      </c>
      <c r="C154" s="260">
        <f t="shared" si="13"/>
        <v>0</v>
      </c>
      <c r="D154" s="467">
        <f>VLOOKUP(F156,Справочник!$A$2:$C$415,3,FALSE)</f>
        <v>0</v>
      </c>
      <c r="F154" s="362"/>
      <c r="G154" s="363"/>
      <c r="H154" s="366"/>
      <c r="I154" s="365"/>
      <c r="J154" s="364"/>
      <c r="K154" s="364"/>
      <c r="L154" s="366"/>
      <c r="M154" s="366"/>
    </row>
    <row r="155" spans="1:13">
      <c r="A155" s="467" t="str">
        <f t="shared" si="14"/>
        <v>"ВестГлобал"</v>
      </c>
      <c r="B155" s="260">
        <f t="shared" si="12"/>
        <v>0</v>
      </c>
      <c r="C155" s="260">
        <f t="shared" si="13"/>
        <v>0</v>
      </c>
      <c r="D155" s="467">
        <f>VLOOKUP(F157,Справочник!$A$2:$C$415,3,FALSE)</f>
        <v>0</v>
      </c>
      <c r="F155" s="362"/>
      <c r="G155" s="363"/>
      <c r="H155" s="366"/>
      <c r="I155" s="365"/>
      <c r="J155" s="364"/>
      <c r="K155" s="364"/>
      <c r="L155" s="366"/>
      <c r="M155" s="366"/>
    </row>
    <row r="156" spans="1:13">
      <c r="A156" s="467" t="str">
        <f t="shared" si="14"/>
        <v>"ВестГлобал"</v>
      </c>
      <c r="B156" s="260">
        <f t="shared" si="12"/>
        <v>0</v>
      </c>
      <c r="C156" s="260">
        <f t="shared" si="13"/>
        <v>0</v>
      </c>
      <c r="D156" s="467">
        <f>VLOOKUP(F158,Справочник!$A$2:$C$415,3,FALSE)</f>
        <v>0</v>
      </c>
      <c r="F156" s="361"/>
      <c r="G156" s="357"/>
      <c r="H156" s="358"/>
      <c r="I156" s="359"/>
      <c r="J156" s="360"/>
      <c r="K156" s="360"/>
      <c r="L156" s="358"/>
      <c r="M156" s="358"/>
    </row>
    <row r="157" spans="1:13">
      <c r="A157" s="467" t="str">
        <f t="shared" si="14"/>
        <v>"ВестГлобал"</v>
      </c>
      <c r="B157" s="260">
        <f t="shared" si="12"/>
        <v>0</v>
      </c>
      <c r="C157" s="260">
        <f t="shared" si="13"/>
        <v>0</v>
      </c>
      <c r="D157" s="467">
        <f>VLOOKUP(F159,Справочник!$A$2:$C$415,3,FALSE)</f>
        <v>0</v>
      </c>
      <c r="F157" s="362"/>
      <c r="G157" s="363"/>
      <c r="H157" s="366"/>
      <c r="I157" s="365"/>
      <c r="J157" s="364"/>
      <c r="K157" s="364"/>
      <c r="L157" s="366"/>
      <c r="M157" s="366"/>
    </row>
    <row r="158" spans="1:13">
      <c r="A158" s="467" t="str">
        <f t="shared" si="14"/>
        <v>"ВестГлобал"</v>
      </c>
      <c r="B158" s="260">
        <f t="shared" si="12"/>
        <v>0</v>
      </c>
      <c r="C158" s="260">
        <f t="shared" si="13"/>
        <v>0</v>
      </c>
      <c r="D158" s="467">
        <f>VLOOKUP(F160,Справочник!$A$2:$C$415,3,FALSE)</f>
        <v>0</v>
      </c>
      <c r="F158" s="362"/>
      <c r="G158" s="363"/>
      <c r="H158" s="366"/>
      <c r="I158" s="365"/>
      <c r="J158" s="364"/>
      <c r="K158" s="364"/>
      <c r="L158" s="366"/>
      <c r="M158" s="366"/>
    </row>
    <row r="159" spans="1:13">
      <c r="A159" s="467" t="str">
        <f t="shared" si="14"/>
        <v>"ВестГлобал"</v>
      </c>
      <c r="B159" s="260">
        <f t="shared" si="12"/>
        <v>0</v>
      </c>
      <c r="C159" s="260">
        <f t="shared" si="13"/>
        <v>0</v>
      </c>
      <c r="D159" s="467">
        <f>VLOOKUP(F161,Справочник!$A$2:$C$415,3,FALSE)</f>
        <v>0</v>
      </c>
      <c r="F159" s="361"/>
      <c r="G159" s="357"/>
      <c r="H159" s="358"/>
      <c r="I159" s="359"/>
      <c r="J159" s="360"/>
      <c r="K159" s="360"/>
      <c r="L159" s="358"/>
      <c r="M159" s="358"/>
    </row>
    <row r="160" spans="1:13">
      <c r="A160" s="467" t="str">
        <f t="shared" si="14"/>
        <v>"ВестГлобал"</v>
      </c>
      <c r="B160" s="260">
        <f t="shared" si="12"/>
        <v>0</v>
      </c>
      <c r="C160" s="260">
        <f t="shared" si="13"/>
        <v>0</v>
      </c>
      <c r="D160" s="467">
        <f>VLOOKUP(F162,Справочник!$A$2:$C$415,3,FALSE)</f>
        <v>0</v>
      </c>
      <c r="F160" s="362"/>
      <c r="G160" s="363"/>
      <c r="H160" s="366"/>
      <c r="I160" s="365"/>
      <c r="J160" s="364"/>
      <c r="K160" s="364"/>
      <c r="L160" s="366"/>
      <c r="M160" s="366"/>
    </row>
    <row r="161" spans="1:13">
      <c r="A161" s="467" t="str">
        <f t="shared" si="14"/>
        <v>"ВестГлобал"</v>
      </c>
      <c r="B161" s="260">
        <f t="shared" si="12"/>
        <v>0</v>
      </c>
      <c r="C161" s="260">
        <f t="shared" si="13"/>
        <v>0</v>
      </c>
      <c r="D161" s="467">
        <f>VLOOKUP(F163,Справочник!$A$2:$C$415,3,FALSE)</f>
        <v>0</v>
      </c>
      <c r="F161" s="362"/>
      <c r="G161" s="363"/>
      <c r="H161" s="366"/>
      <c r="I161" s="365"/>
      <c r="J161" s="364"/>
      <c r="K161" s="364"/>
      <c r="L161" s="366"/>
      <c r="M161" s="366"/>
    </row>
    <row r="162" spans="1:13">
      <c r="A162" s="467" t="str">
        <f t="shared" si="14"/>
        <v>"ВестГлобал"</v>
      </c>
      <c r="B162" s="260">
        <f t="shared" si="12"/>
        <v>0</v>
      </c>
      <c r="C162" s="260">
        <f t="shared" si="13"/>
        <v>0</v>
      </c>
      <c r="D162" s="467">
        <f>VLOOKUP(F164,Справочник!$A$2:$C$415,3,FALSE)</f>
        <v>0</v>
      </c>
      <c r="F162" s="362"/>
      <c r="G162" s="363"/>
      <c r="H162" s="366"/>
      <c r="I162" s="365"/>
      <c r="J162" s="364"/>
      <c r="K162" s="364"/>
      <c r="L162" s="366"/>
      <c r="M162" s="366"/>
    </row>
    <row r="163" spans="1:13">
      <c r="A163" s="467" t="str">
        <f t="shared" si="14"/>
        <v>"ВестГлобал"</v>
      </c>
      <c r="B163" s="260">
        <f t="shared" si="12"/>
        <v>0</v>
      </c>
      <c r="C163" s="260">
        <f t="shared" si="13"/>
        <v>0</v>
      </c>
      <c r="D163" s="467">
        <f>VLOOKUP(F165,Справочник!$A$2:$C$415,3,FALSE)</f>
        <v>0</v>
      </c>
      <c r="F163" s="361"/>
      <c r="G163" s="357"/>
      <c r="H163" s="358"/>
      <c r="I163" s="359"/>
      <c r="J163" s="360"/>
      <c r="K163" s="360"/>
      <c r="L163" s="358"/>
      <c r="M163" s="358"/>
    </row>
    <row r="164" spans="1:13">
      <c r="A164" s="467" t="str">
        <f t="shared" si="14"/>
        <v>"ВестГлобал"</v>
      </c>
      <c r="B164" s="260">
        <f t="shared" si="12"/>
        <v>0</v>
      </c>
      <c r="C164" s="260">
        <f t="shared" si="13"/>
        <v>0</v>
      </c>
      <c r="D164" s="467">
        <f>VLOOKUP(F166,Справочник!$A$2:$C$415,3,FALSE)</f>
        <v>0</v>
      </c>
      <c r="F164" s="362"/>
      <c r="G164" s="363"/>
      <c r="H164" s="366"/>
      <c r="I164" s="365"/>
      <c r="J164" s="364"/>
      <c r="K164" s="364"/>
      <c r="L164" s="366"/>
      <c r="M164" s="366"/>
    </row>
    <row r="165" spans="1:13">
      <c r="A165" s="467" t="str">
        <f t="shared" si="14"/>
        <v>"ВестГлобал"</v>
      </c>
      <c r="B165" s="260">
        <f t="shared" si="12"/>
        <v>0</v>
      </c>
      <c r="C165" s="260">
        <f t="shared" si="13"/>
        <v>0</v>
      </c>
      <c r="D165" s="467">
        <f>VLOOKUP(F167,Справочник!$A$2:$C$415,3,FALSE)</f>
        <v>0</v>
      </c>
      <c r="F165" s="362"/>
      <c r="G165" s="363"/>
      <c r="H165" s="366"/>
      <c r="I165" s="365"/>
      <c r="J165" s="364"/>
      <c r="K165" s="364"/>
      <c r="L165" s="366"/>
      <c r="M165" s="366"/>
    </row>
    <row r="166" spans="1:13">
      <c r="A166" s="467" t="str">
        <f t="shared" si="14"/>
        <v>"ВестГлобал"</v>
      </c>
      <c r="B166" s="260">
        <f t="shared" si="12"/>
        <v>0</v>
      </c>
      <c r="C166" s="260">
        <f t="shared" si="13"/>
        <v>0</v>
      </c>
      <c r="D166" s="467">
        <f>VLOOKUP(F168,Справочник!$A$2:$C$415,3,FALSE)</f>
        <v>0</v>
      </c>
      <c r="F166" s="362"/>
      <c r="G166" s="363"/>
      <c r="H166" s="366"/>
      <c r="I166" s="365"/>
      <c r="J166" s="364"/>
      <c r="K166" s="364"/>
      <c r="L166" s="366"/>
      <c r="M166" s="366"/>
    </row>
    <row r="167" spans="1:13">
      <c r="A167" s="467" t="str">
        <f t="shared" si="14"/>
        <v>"ВестГлобал"</v>
      </c>
      <c r="B167" s="260">
        <f t="shared" si="12"/>
        <v>0</v>
      </c>
      <c r="C167" s="260">
        <f t="shared" si="13"/>
        <v>0</v>
      </c>
      <c r="D167" s="467">
        <f>VLOOKUP(F169,Справочник!$A$2:$C$415,3,FALSE)</f>
        <v>0</v>
      </c>
      <c r="F167" s="362"/>
      <c r="G167" s="363"/>
      <c r="H167" s="366"/>
      <c r="I167" s="365"/>
      <c r="J167" s="364"/>
      <c r="K167" s="364"/>
      <c r="L167" s="366"/>
      <c r="M167" s="366"/>
    </row>
    <row r="168" spans="1:13">
      <c r="A168" s="467" t="str">
        <f t="shared" si="14"/>
        <v>"ВестГлобал"</v>
      </c>
      <c r="B168" s="260">
        <f t="shared" si="12"/>
        <v>0</v>
      </c>
      <c r="C168" s="260">
        <f t="shared" si="13"/>
        <v>0</v>
      </c>
      <c r="D168" s="467">
        <f>VLOOKUP(F170,Справочник!$A$2:$C$415,3,FALSE)</f>
        <v>0</v>
      </c>
      <c r="F168" s="362"/>
      <c r="G168" s="363"/>
      <c r="H168" s="366"/>
      <c r="I168" s="365"/>
      <c r="J168" s="364"/>
      <c r="K168" s="364"/>
      <c r="L168" s="366"/>
      <c r="M168" s="366"/>
    </row>
    <row r="169" spans="1:13">
      <c r="A169" s="467" t="str">
        <f t="shared" si="14"/>
        <v>"ВестГлобал"</v>
      </c>
      <c r="B169" s="260">
        <f t="shared" si="12"/>
        <v>0</v>
      </c>
      <c r="C169" s="260">
        <f t="shared" si="13"/>
        <v>0</v>
      </c>
      <c r="D169" s="467">
        <f>VLOOKUP(F171,Справочник!$A$2:$C$415,3,FALSE)</f>
        <v>0</v>
      </c>
      <c r="F169" s="361"/>
      <c r="G169" s="357"/>
      <c r="H169" s="358"/>
      <c r="I169" s="359"/>
      <c r="J169" s="360"/>
      <c r="K169" s="360"/>
      <c r="L169" s="358"/>
      <c r="M169" s="358"/>
    </row>
    <row r="170" spans="1:13">
      <c r="A170" s="467" t="str">
        <f t="shared" si="14"/>
        <v>"ВестГлобал"</v>
      </c>
      <c r="B170" s="260">
        <f t="shared" si="12"/>
        <v>0</v>
      </c>
      <c r="C170" s="260">
        <f t="shared" si="13"/>
        <v>0</v>
      </c>
      <c r="D170" s="467">
        <f>VLOOKUP(F172,Справочник!$A$2:$C$415,3,FALSE)</f>
        <v>0</v>
      </c>
      <c r="F170" s="362"/>
      <c r="G170" s="363"/>
      <c r="H170" s="366"/>
      <c r="I170" s="365"/>
      <c r="J170" s="364"/>
      <c r="K170" s="364"/>
      <c r="L170" s="366"/>
      <c r="M170" s="366"/>
    </row>
    <row r="171" spans="1:13">
      <c r="A171" s="467" t="str">
        <f t="shared" si="14"/>
        <v>"ВестГлобал"</v>
      </c>
      <c r="B171" s="260">
        <f t="shared" si="12"/>
        <v>0</v>
      </c>
      <c r="C171" s="260">
        <f t="shared" si="13"/>
        <v>0</v>
      </c>
      <c r="D171" s="467">
        <f>VLOOKUP(F173,Справочник!$A$2:$C$415,3,FALSE)</f>
        <v>0</v>
      </c>
      <c r="F171" s="361"/>
      <c r="G171" s="357"/>
      <c r="H171" s="358"/>
      <c r="I171" s="359"/>
      <c r="J171" s="360"/>
      <c r="K171" s="360"/>
      <c r="L171" s="358"/>
      <c r="M171" s="358"/>
    </row>
    <row r="172" spans="1:13">
      <c r="F172" s="362"/>
      <c r="G172" s="363"/>
      <c r="H172" s="366"/>
      <c r="I172" s="365"/>
      <c r="J172" s="364"/>
      <c r="K172" s="364"/>
      <c r="L172" s="366"/>
      <c r="M172" s="366"/>
    </row>
    <row r="173" spans="1:13">
      <c r="F173" s="353"/>
      <c r="G173" s="353"/>
      <c r="H173" s="370"/>
      <c r="I173" s="370"/>
      <c r="J173" s="370"/>
      <c r="K173" s="370"/>
      <c r="L173" s="370"/>
      <c r="M173" s="370"/>
    </row>
    <row r="174" spans="1:13">
      <c r="F174" s="352"/>
      <c r="G174" s="352"/>
      <c r="H174" s="352"/>
      <c r="I174" s="352"/>
      <c r="J174" s="352"/>
      <c r="K174" s="352"/>
      <c r="L174" s="352"/>
      <c r="M174" s="352"/>
    </row>
    <row r="175" spans="1:13">
      <c r="F175" s="351"/>
      <c r="G175" s="351"/>
      <c r="H175" s="351"/>
      <c r="I175" s="351"/>
      <c r="J175" s="351"/>
      <c r="K175" s="351"/>
      <c r="L175" s="351"/>
      <c r="M175" s="351"/>
    </row>
    <row r="176" spans="1:13">
      <c r="F176" s="354"/>
      <c r="G176" s="354"/>
      <c r="H176" s="355"/>
      <c r="I176" s="355"/>
      <c r="J176" s="352"/>
      <c r="K176" s="352"/>
      <c r="L176" s="352"/>
      <c r="M176" s="352"/>
    </row>
    <row r="177" spans="6:13">
      <c r="F177" s="352"/>
      <c r="G177" s="352"/>
      <c r="H177" s="356"/>
      <c r="I177" s="356"/>
      <c r="J177" s="352"/>
      <c r="K177" s="352"/>
      <c r="L177" s="352"/>
      <c r="M177" s="352"/>
    </row>
    <row r="178" spans="6:13">
      <c r="F178" s="351"/>
      <c r="G178" s="351"/>
      <c r="H178" s="351"/>
      <c r="I178" s="351"/>
      <c r="J178" s="351"/>
      <c r="K178" s="351"/>
      <c r="L178" s="351"/>
      <c r="M178" s="351"/>
    </row>
  </sheetData>
  <mergeCells count="11">
    <mergeCell ref="J6:K6"/>
    <mergeCell ref="L6:M6"/>
    <mergeCell ref="F104:G104"/>
    <mergeCell ref="F113:G113"/>
    <mergeCell ref="F75:G75"/>
    <mergeCell ref="H6:I6"/>
    <mergeCell ref="B2:C2"/>
    <mergeCell ref="B3:C3"/>
    <mergeCell ref="B4:C4"/>
    <mergeCell ref="F6:F7"/>
    <mergeCell ref="G6:G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6"/>
  <sheetViews>
    <sheetView topLeftCell="D22" workbookViewId="0">
      <selection activeCell="G52" sqref="G52"/>
    </sheetView>
  </sheetViews>
  <sheetFormatPr defaultRowHeight="15" outlineLevelCol="1"/>
  <cols>
    <col min="1" max="1" width="26.42578125" style="467" customWidth="1" outlineLevel="1"/>
    <col min="2" max="2" width="23.85546875" style="138" customWidth="1" outlineLevel="1"/>
    <col min="3" max="3" width="22.85546875" style="138" customWidth="1" outlineLevel="1"/>
    <col min="4" max="5" width="9.140625" style="467" customWidth="1" outlineLevel="1"/>
    <col min="6" max="6" width="10.5703125" style="137" customWidth="1"/>
    <col min="7" max="7" width="53.140625" style="137" customWidth="1"/>
    <col min="8" max="8" width="15.85546875" style="137" bestFit="1" customWidth="1"/>
    <col min="9" max="9" width="16.42578125" style="137" bestFit="1" customWidth="1"/>
    <col min="10" max="12" width="15.85546875" style="137" bestFit="1" customWidth="1"/>
    <col min="13" max="13" width="16.42578125" style="137" bestFit="1" customWidth="1"/>
    <col min="14" max="16384" width="9.140625" style="467"/>
  </cols>
  <sheetData>
    <row r="1" spans="1:13">
      <c r="F1" s="371"/>
      <c r="G1" s="343"/>
      <c r="H1" s="343"/>
      <c r="I1" s="343"/>
      <c r="J1" s="343"/>
      <c r="K1" s="343"/>
      <c r="L1" s="343"/>
      <c r="M1" s="343"/>
    </row>
    <row r="2" spans="1:13" ht="15.75">
      <c r="B2" s="672"/>
      <c r="C2" s="672"/>
      <c r="F2" s="481" t="s">
        <v>737</v>
      </c>
      <c r="G2" s="482"/>
      <c r="H2" s="347"/>
      <c r="I2" s="347"/>
      <c r="J2" s="347"/>
      <c r="K2" s="347"/>
      <c r="L2" s="347"/>
      <c r="M2" s="347"/>
    </row>
    <row r="3" spans="1:13">
      <c r="B3" s="673"/>
      <c r="C3" s="673"/>
      <c r="F3" s="348"/>
      <c r="G3" s="348"/>
      <c r="H3" s="348"/>
      <c r="I3" s="348"/>
      <c r="J3" s="348"/>
      <c r="K3" s="348"/>
      <c r="L3" s="348"/>
      <c r="M3" s="348"/>
    </row>
    <row r="4" spans="1:13">
      <c r="B4" s="674"/>
      <c r="C4" s="674"/>
      <c r="F4" s="349" t="s">
        <v>359</v>
      </c>
      <c r="G4" s="349"/>
      <c r="H4" s="349"/>
      <c r="I4" s="349"/>
      <c r="J4" s="349"/>
      <c r="K4" s="349"/>
      <c r="L4" s="349"/>
      <c r="M4" s="349"/>
    </row>
    <row r="5" spans="1:13" ht="15.75" thickBot="1">
      <c r="B5" s="257"/>
      <c r="C5" s="257"/>
      <c r="F5" s="343"/>
      <c r="G5" s="343"/>
      <c r="H5" s="343"/>
      <c r="I5" s="343"/>
      <c r="J5" s="343"/>
      <c r="K5" s="343"/>
      <c r="L5" s="343"/>
      <c r="M5" s="343"/>
    </row>
    <row r="6" spans="1:13">
      <c r="B6" s="313" t="s">
        <v>361</v>
      </c>
      <c r="C6" s="314" t="s">
        <v>363</v>
      </c>
      <c r="F6" s="677" t="s">
        <v>360</v>
      </c>
      <c r="G6" s="675" t="s">
        <v>78</v>
      </c>
      <c r="H6" s="675" t="s">
        <v>361</v>
      </c>
      <c r="I6" s="675"/>
      <c r="J6" s="675" t="s">
        <v>367</v>
      </c>
      <c r="K6" s="675"/>
      <c r="L6" s="675" t="s">
        <v>363</v>
      </c>
      <c r="M6" s="675"/>
    </row>
    <row r="7" spans="1:13" ht="15.75" thickBot="1">
      <c r="B7" s="258" t="s">
        <v>364</v>
      </c>
      <c r="C7" s="259" t="s">
        <v>364</v>
      </c>
      <c r="F7" s="677"/>
      <c r="G7" s="675"/>
      <c r="H7" s="468" t="s">
        <v>364</v>
      </c>
      <c r="I7" s="468" t="s">
        <v>365</v>
      </c>
      <c r="J7" s="468" t="s">
        <v>364</v>
      </c>
      <c r="K7" s="468" t="s">
        <v>365</v>
      </c>
      <c r="L7" s="468" t="s">
        <v>364</v>
      </c>
      <c r="M7" s="468" t="s">
        <v>365</v>
      </c>
    </row>
    <row r="8" spans="1:13">
      <c r="A8" s="316" t="s">
        <v>752</v>
      </c>
      <c r="B8" s="260">
        <f t="shared" ref="B8:B71" si="0">IF(ISBLANK(H8)=FALSE,H8,-I8)</f>
        <v>119694.63</v>
      </c>
      <c r="C8" s="260">
        <f>IF(ISBLANK(L8)=FALSE,L8,-M8)</f>
        <v>461009.42</v>
      </c>
      <c r="F8" s="440">
        <v>1000</v>
      </c>
      <c r="G8" s="437" t="s">
        <v>72</v>
      </c>
      <c r="H8" s="439">
        <v>119694.63</v>
      </c>
      <c r="I8" s="438"/>
      <c r="J8" s="439">
        <v>122831900</v>
      </c>
      <c r="K8" s="439">
        <v>122490585.20999999</v>
      </c>
      <c r="L8" s="439">
        <v>461009.42</v>
      </c>
      <c r="M8" s="438"/>
    </row>
    <row r="9" spans="1:13">
      <c r="A9" s="467" t="str">
        <f>A8</f>
        <v xml:space="preserve"> "АлАс"</v>
      </c>
      <c r="B9" s="260">
        <f t="shared" si="0"/>
        <v>110409.42</v>
      </c>
      <c r="C9" s="260">
        <f>IF(ISBLANK(L9)=FALSE,L9,-M9)</f>
        <v>461009.42</v>
      </c>
      <c r="D9" s="467" t="str">
        <f>VLOOKUP(F9,Справочник!$A$2:$C$415,3,FALSE)</f>
        <v>Денежные средства и их эквиваленты</v>
      </c>
      <c r="F9" s="441">
        <v>1010</v>
      </c>
      <c r="G9" s="442" t="s">
        <v>80</v>
      </c>
      <c r="H9" s="443">
        <v>110409.42</v>
      </c>
      <c r="I9" s="444"/>
      <c r="J9" s="443">
        <v>41415000</v>
      </c>
      <c r="K9" s="443">
        <v>41064400</v>
      </c>
      <c r="L9" s="443">
        <v>461009.42</v>
      </c>
      <c r="M9" s="444"/>
    </row>
    <row r="10" spans="1:13">
      <c r="A10" s="467" t="str">
        <f>A9</f>
        <v xml:space="preserve"> "АлАс"</v>
      </c>
      <c r="B10" s="260">
        <f t="shared" si="0"/>
        <v>0</v>
      </c>
      <c r="C10" s="260">
        <f t="shared" ref="C10:C73" si="1">IF(ISBLANK(L10)=FALSE,L10,-M10)</f>
        <v>0</v>
      </c>
      <c r="D10" s="467">
        <f>VLOOKUP(F10,Справочник!$A$2:$C$415,3,FALSE)</f>
        <v>0</v>
      </c>
      <c r="F10" s="445">
        <v>1020</v>
      </c>
      <c r="G10" s="446" t="s">
        <v>81</v>
      </c>
      <c r="H10" s="447"/>
      <c r="I10" s="447"/>
      <c r="J10" s="448">
        <v>40708000</v>
      </c>
      <c r="K10" s="448">
        <v>40708000</v>
      </c>
      <c r="L10" s="447"/>
      <c r="M10" s="447"/>
    </row>
    <row r="11" spans="1:13">
      <c r="A11" s="467" t="str">
        <f t="shared" ref="A11:A74" si="2">A10</f>
        <v xml:space="preserve"> "АлАс"</v>
      </c>
      <c r="B11" s="260">
        <f t="shared" si="0"/>
        <v>0</v>
      </c>
      <c r="C11" s="260">
        <f t="shared" si="1"/>
        <v>0</v>
      </c>
      <c r="D11" s="467" t="str">
        <f>VLOOKUP(F11,Справочник!$A$2:$C$415,3,FALSE)</f>
        <v>Денежные средства и их эквиваленты</v>
      </c>
      <c r="F11" s="449">
        <v>1021</v>
      </c>
      <c r="G11" s="442" t="s">
        <v>81</v>
      </c>
      <c r="H11" s="444"/>
      <c r="I11" s="444"/>
      <c r="J11" s="443">
        <v>40708000</v>
      </c>
      <c r="K11" s="443">
        <v>40708000</v>
      </c>
      <c r="L11" s="444"/>
      <c r="M11" s="444"/>
    </row>
    <row r="12" spans="1:13">
      <c r="A12" s="467" t="str">
        <f t="shared" si="2"/>
        <v xml:space="preserve"> "АлАс"</v>
      </c>
      <c r="B12" s="260">
        <f t="shared" si="0"/>
        <v>9285.2099999999991</v>
      </c>
      <c r="C12" s="260">
        <f t="shared" si="1"/>
        <v>0</v>
      </c>
      <c r="D12" s="467" t="str">
        <f>VLOOKUP(F12,Справочник!$A$2:$C$415,3,FALSE)</f>
        <v>Денежные средства и их эквиваленты</v>
      </c>
      <c r="F12" s="441">
        <v>1030</v>
      </c>
      <c r="G12" s="442" t="s">
        <v>83</v>
      </c>
      <c r="H12" s="443">
        <v>9285.2099999999991</v>
      </c>
      <c r="I12" s="444"/>
      <c r="J12" s="443">
        <v>40708900</v>
      </c>
      <c r="K12" s="443">
        <v>40718185.210000001</v>
      </c>
      <c r="L12" s="444"/>
      <c r="M12" s="444"/>
    </row>
    <row r="13" spans="1:13">
      <c r="A13" s="467" t="str">
        <f t="shared" si="2"/>
        <v xml:space="preserve"> "АлАс"</v>
      </c>
      <c r="B13" s="260">
        <f t="shared" si="0"/>
        <v>460000</v>
      </c>
      <c r="C13" s="260">
        <f t="shared" si="1"/>
        <v>0</v>
      </c>
      <c r="D13" s="467">
        <f>VLOOKUP(F13,Справочник!$A$2:$C$415,3,FALSE)</f>
        <v>0</v>
      </c>
      <c r="F13" s="440">
        <v>1300</v>
      </c>
      <c r="G13" s="437" t="s">
        <v>110</v>
      </c>
      <c r="H13" s="439">
        <v>460000</v>
      </c>
      <c r="I13" s="438"/>
      <c r="J13" s="439">
        <v>890000</v>
      </c>
      <c r="K13" s="439">
        <v>1350000</v>
      </c>
      <c r="L13" s="438"/>
      <c r="M13" s="438"/>
    </row>
    <row r="14" spans="1:13">
      <c r="A14" s="467" t="str">
        <f t="shared" si="2"/>
        <v xml:space="preserve"> "АлАс"</v>
      </c>
      <c r="B14" s="260">
        <f t="shared" si="0"/>
        <v>460000</v>
      </c>
      <c r="C14" s="260">
        <f t="shared" si="1"/>
        <v>0</v>
      </c>
      <c r="D14" s="467" t="str">
        <f>VLOOKUP(F14,Справочник!$A$2:$C$415,3,FALSE)</f>
        <v>Запасы</v>
      </c>
      <c r="F14" s="441">
        <v>1311</v>
      </c>
      <c r="G14" s="442" t="s">
        <v>111</v>
      </c>
      <c r="H14" s="443">
        <v>460000</v>
      </c>
      <c r="I14" s="444"/>
      <c r="J14" s="443">
        <v>890000</v>
      </c>
      <c r="K14" s="443">
        <v>1350000</v>
      </c>
      <c r="L14" s="444"/>
      <c r="M14" s="444"/>
    </row>
    <row r="15" spans="1:13">
      <c r="A15" s="467" t="str">
        <f t="shared" si="2"/>
        <v xml:space="preserve"> "АлАс"</v>
      </c>
      <c r="B15" s="260">
        <f t="shared" si="0"/>
        <v>153395</v>
      </c>
      <c r="C15" s="260">
        <f t="shared" si="1"/>
        <v>32580</v>
      </c>
      <c r="D15" s="467">
        <f>VLOOKUP(F15,Справочник!$A$2:$C$415,3,FALSE)</f>
        <v>0</v>
      </c>
      <c r="F15" s="440">
        <v>1400</v>
      </c>
      <c r="G15" s="437" t="s">
        <v>11</v>
      </c>
      <c r="H15" s="439">
        <v>153395</v>
      </c>
      <c r="I15" s="438"/>
      <c r="J15" s="438"/>
      <c r="K15" s="439">
        <v>120815</v>
      </c>
      <c r="L15" s="439">
        <v>32580</v>
      </c>
      <c r="M15" s="438"/>
    </row>
    <row r="16" spans="1:13">
      <c r="A16" s="467" t="str">
        <f t="shared" si="2"/>
        <v xml:space="preserve"> "АлАс"</v>
      </c>
      <c r="B16" s="260">
        <f t="shared" si="0"/>
        <v>32580</v>
      </c>
      <c r="C16" s="260">
        <f t="shared" si="1"/>
        <v>32580</v>
      </c>
      <c r="D16" s="467" t="str">
        <f>VLOOKUP(F16,Справочник!$A$2:$C$415,3,FALSE)</f>
        <v>Текущий подоходный налог</v>
      </c>
      <c r="F16" s="441">
        <v>1410</v>
      </c>
      <c r="G16" s="442" t="s">
        <v>74</v>
      </c>
      <c r="H16" s="443">
        <v>32580</v>
      </c>
      <c r="I16" s="444"/>
      <c r="J16" s="444"/>
      <c r="K16" s="444"/>
      <c r="L16" s="443">
        <v>32580</v>
      </c>
      <c r="M16" s="444"/>
    </row>
    <row r="17" spans="1:13">
      <c r="A17" s="467" t="str">
        <f t="shared" si="2"/>
        <v xml:space="preserve"> "АлАс"</v>
      </c>
      <c r="B17" s="260">
        <f t="shared" si="0"/>
        <v>120815</v>
      </c>
      <c r="C17" s="260">
        <f t="shared" si="1"/>
        <v>0</v>
      </c>
      <c r="D17" s="467" t="str">
        <f>VLOOKUP(F17,Справочник!$A$2:$C$415,3,FALSE)</f>
        <v>Прочие краткосрочные активы</v>
      </c>
      <c r="F17" s="441">
        <v>1430</v>
      </c>
      <c r="G17" s="442" t="s">
        <v>125</v>
      </c>
      <c r="H17" s="443">
        <v>120815</v>
      </c>
      <c r="I17" s="444"/>
      <c r="J17" s="444"/>
      <c r="K17" s="443">
        <v>120815</v>
      </c>
      <c r="L17" s="444"/>
      <c r="M17" s="444"/>
    </row>
    <row r="18" spans="1:13">
      <c r="A18" s="467" t="str">
        <f t="shared" si="2"/>
        <v xml:space="preserve"> "АлАс"</v>
      </c>
      <c r="B18" s="260">
        <f t="shared" si="0"/>
        <v>396780</v>
      </c>
      <c r="C18" s="260">
        <f t="shared" si="1"/>
        <v>254794</v>
      </c>
      <c r="D18" s="467">
        <f>VLOOKUP(F18,Справочник!$A$2:$C$415,3,FALSE)</f>
        <v>0</v>
      </c>
      <c r="F18" s="440">
        <v>1600</v>
      </c>
      <c r="G18" s="437" t="s">
        <v>13</v>
      </c>
      <c r="H18" s="439">
        <v>396780</v>
      </c>
      <c r="I18" s="438"/>
      <c r="J18" s="438"/>
      <c r="K18" s="439">
        <v>141986</v>
      </c>
      <c r="L18" s="439">
        <v>254794</v>
      </c>
      <c r="M18" s="438"/>
    </row>
    <row r="19" spans="1:13">
      <c r="A19" s="467" t="str">
        <f t="shared" si="2"/>
        <v xml:space="preserve"> "АлАс"</v>
      </c>
      <c r="B19" s="260">
        <f t="shared" si="0"/>
        <v>254794</v>
      </c>
      <c r="C19" s="260">
        <f t="shared" si="1"/>
        <v>254794</v>
      </c>
      <c r="D19" s="467" t="str">
        <f>VLOOKUP(F19,Справочник!$A$2:$C$415,3,FALSE)</f>
        <v>Прочие краткосрочные активы</v>
      </c>
      <c r="F19" s="441">
        <v>1610</v>
      </c>
      <c r="G19" s="442" t="s">
        <v>128</v>
      </c>
      <c r="H19" s="443">
        <v>254794</v>
      </c>
      <c r="I19" s="444"/>
      <c r="J19" s="444"/>
      <c r="K19" s="444"/>
      <c r="L19" s="443">
        <v>254794</v>
      </c>
      <c r="M19" s="444"/>
    </row>
    <row r="20" spans="1:13">
      <c r="A20" s="467" t="str">
        <f t="shared" si="2"/>
        <v xml:space="preserve"> "АлАс"</v>
      </c>
      <c r="B20" s="260">
        <f t="shared" si="0"/>
        <v>141986</v>
      </c>
      <c r="C20" s="260">
        <f t="shared" si="1"/>
        <v>0</v>
      </c>
      <c r="D20" s="467" t="str">
        <f>VLOOKUP(F20,Справочник!$A$2:$C$415,3,FALSE)</f>
        <v>Прочие краткосрочные активы</v>
      </c>
      <c r="F20" s="441">
        <v>1620</v>
      </c>
      <c r="G20" s="442" t="s">
        <v>129</v>
      </c>
      <c r="H20" s="443">
        <v>141986</v>
      </c>
      <c r="I20" s="444"/>
      <c r="J20" s="444"/>
      <c r="K20" s="443">
        <v>141986</v>
      </c>
      <c r="L20" s="444"/>
      <c r="M20" s="444"/>
    </row>
    <row r="21" spans="1:13">
      <c r="A21" s="467" t="str">
        <f t="shared" si="2"/>
        <v xml:space="preserve"> "АлАс"</v>
      </c>
      <c r="B21" s="260">
        <f t="shared" si="0"/>
        <v>252779210.18000001</v>
      </c>
      <c r="C21" s="260">
        <f t="shared" si="1"/>
        <v>240696550.06999999</v>
      </c>
      <c r="D21" s="467">
        <f>VLOOKUP(F21,Справочник!$A$2:$C$415,3,FALSE)</f>
        <v>0</v>
      </c>
      <c r="F21" s="440">
        <v>2400</v>
      </c>
      <c r="G21" s="437" t="s">
        <v>21</v>
      </c>
      <c r="H21" s="439">
        <v>252779210.18000001</v>
      </c>
      <c r="I21" s="438"/>
      <c r="J21" s="438"/>
      <c r="K21" s="439">
        <v>12082660.109999999</v>
      </c>
      <c r="L21" s="439">
        <v>240696550.06999999</v>
      </c>
      <c r="M21" s="438"/>
    </row>
    <row r="22" spans="1:13">
      <c r="A22" s="467" t="str">
        <f t="shared" si="2"/>
        <v xml:space="preserve"> "АлАс"</v>
      </c>
      <c r="B22" s="260">
        <f t="shared" si="0"/>
        <v>269460923.66000003</v>
      </c>
      <c r="C22" s="260">
        <f t="shared" si="1"/>
        <v>269460923.66000003</v>
      </c>
      <c r="D22" s="467" t="str">
        <f>VLOOKUP(F22,Справочник!$A$2:$C$415,3,FALSE)</f>
        <v>Основные средства</v>
      </c>
      <c r="F22" s="441">
        <v>2410</v>
      </c>
      <c r="G22" s="442" t="s">
        <v>21</v>
      </c>
      <c r="H22" s="443">
        <v>269460923.66000003</v>
      </c>
      <c r="I22" s="444"/>
      <c r="J22" s="444"/>
      <c r="K22" s="444"/>
      <c r="L22" s="443">
        <v>269460923.66000003</v>
      </c>
      <c r="M22" s="444"/>
    </row>
    <row r="23" spans="1:13">
      <c r="A23" s="467" t="str">
        <f t="shared" si="2"/>
        <v xml:space="preserve"> "АлАс"</v>
      </c>
      <c r="B23" s="260">
        <f t="shared" si="0"/>
        <v>-16681713.48</v>
      </c>
      <c r="C23" s="260">
        <f t="shared" si="1"/>
        <v>-28764373.59</v>
      </c>
      <c r="D23" s="467" t="str">
        <f>VLOOKUP(F23,Справочник!$A$2:$C$415,3,FALSE)</f>
        <v>Основные средства</v>
      </c>
      <c r="F23" s="441">
        <v>2420</v>
      </c>
      <c r="G23" s="442" t="s">
        <v>152</v>
      </c>
      <c r="H23" s="444"/>
      <c r="I23" s="443">
        <v>16681713.48</v>
      </c>
      <c r="J23" s="444"/>
      <c r="K23" s="443">
        <v>12082660.109999999</v>
      </c>
      <c r="L23" s="444"/>
      <c r="M23" s="443">
        <v>28764373.59</v>
      </c>
    </row>
    <row r="24" spans="1:13">
      <c r="A24" s="467" t="str">
        <f t="shared" si="2"/>
        <v xml:space="preserve"> "АлАс"</v>
      </c>
      <c r="B24" s="260">
        <f t="shared" si="0"/>
        <v>-7035</v>
      </c>
      <c r="C24" s="260">
        <f t="shared" si="1"/>
        <v>-7920</v>
      </c>
      <c r="D24" s="467">
        <f>VLOOKUP(F24,Справочник!$A$2:$C$415,3,FALSE)</f>
        <v>0</v>
      </c>
      <c r="F24" s="440">
        <v>3100</v>
      </c>
      <c r="G24" s="437" t="s">
        <v>33</v>
      </c>
      <c r="H24" s="438"/>
      <c r="I24" s="439">
        <v>7035</v>
      </c>
      <c r="J24" s="439">
        <v>1767997</v>
      </c>
      <c r="K24" s="439">
        <v>1768882</v>
      </c>
      <c r="L24" s="438"/>
      <c r="M24" s="439">
        <v>7920</v>
      </c>
    </row>
    <row r="25" spans="1:13">
      <c r="A25" s="467" t="str">
        <f t="shared" si="2"/>
        <v xml:space="preserve"> "АлАс"</v>
      </c>
      <c r="B25" s="260">
        <f t="shared" si="0"/>
        <v>-2756</v>
      </c>
      <c r="C25" s="260">
        <f t="shared" si="1"/>
        <v>-4950</v>
      </c>
      <c r="D25" s="467" t="str">
        <f>VLOOKUP(F25,Справочник!$A$2:$C$415,3,FALSE)</f>
        <v>Прочие краткосрочные обязательства</v>
      </c>
      <c r="F25" s="441">
        <v>3120</v>
      </c>
      <c r="G25" s="442" t="s">
        <v>178</v>
      </c>
      <c r="H25" s="444"/>
      <c r="I25" s="443">
        <v>2756</v>
      </c>
      <c r="J25" s="443">
        <v>42356</v>
      </c>
      <c r="K25" s="443">
        <v>44550</v>
      </c>
      <c r="L25" s="444"/>
      <c r="M25" s="443">
        <v>4950</v>
      </c>
    </row>
    <row r="26" spans="1:13">
      <c r="A26" s="467" t="str">
        <f t="shared" si="2"/>
        <v xml:space="preserve"> "АлАс"</v>
      </c>
      <c r="B26" s="260">
        <f t="shared" si="0"/>
        <v>-2700</v>
      </c>
      <c r="C26" s="260">
        <f t="shared" si="1"/>
        <v>-2970</v>
      </c>
      <c r="D26" s="467" t="str">
        <f>VLOOKUP(F26,Справочник!$A$2:$C$415,3,FALSE)</f>
        <v>Прочие краткосрочные обязательства</v>
      </c>
      <c r="F26" s="441">
        <v>3150</v>
      </c>
      <c r="G26" s="442" t="s">
        <v>180</v>
      </c>
      <c r="H26" s="444"/>
      <c r="I26" s="443">
        <v>2700</v>
      </c>
      <c r="J26" s="443">
        <v>26460</v>
      </c>
      <c r="K26" s="443">
        <v>26730</v>
      </c>
      <c r="L26" s="444"/>
      <c r="M26" s="443">
        <v>2970</v>
      </c>
    </row>
    <row r="27" spans="1:13">
      <c r="A27" s="467" t="str">
        <f t="shared" si="2"/>
        <v xml:space="preserve"> "АлАс"</v>
      </c>
      <c r="B27" s="260">
        <f t="shared" si="0"/>
        <v>0</v>
      </c>
      <c r="C27" s="260">
        <f t="shared" si="1"/>
        <v>0</v>
      </c>
      <c r="D27" s="467" t="str">
        <f>VLOOKUP(F27,Справочник!$A$2:$C$415,3,FALSE)</f>
        <v>Прочие краткосрочные обязательства</v>
      </c>
      <c r="F27" s="441">
        <v>3160</v>
      </c>
      <c r="G27" s="442" t="s">
        <v>181</v>
      </c>
      <c r="H27" s="444"/>
      <c r="I27" s="444"/>
      <c r="J27" s="443">
        <v>155418</v>
      </c>
      <c r="K27" s="443">
        <v>155418</v>
      </c>
      <c r="L27" s="444"/>
      <c r="M27" s="444"/>
    </row>
    <row r="28" spans="1:13">
      <c r="A28" s="467" t="str">
        <f t="shared" si="2"/>
        <v xml:space="preserve"> "АлАс"</v>
      </c>
      <c r="B28" s="260">
        <f t="shared" si="0"/>
        <v>0</v>
      </c>
      <c r="C28" s="260">
        <f t="shared" si="1"/>
        <v>0</v>
      </c>
      <c r="D28" s="467" t="str">
        <f>VLOOKUP(F28,Справочник!$A$2:$C$415,3,FALSE)</f>
        <v>Прочие краткосрочные обязательства</v>
      </c>
      <c r="F28" s="441">
        <v>3180</v>
      </c>
      <c r="G28" s="442" t="s">
        <v>183</v>
      </c>
      <c r="H28" s="444"/>
      <c r="I28" s="444"/>
      <c r="J28" s="443">
        <v>1540395</v>
      </c>
      <c r="K28" s="443">
        <v>1540395</v>
      </c>
      <c r="L28" s="444"/>
      <c r="M28" s="444"/>
    </row>
    <row r="29" spans="1:13">
      <c r="A29" s="467" t="str">
        <f t="shared" si="2"/>
        <v xml:space="preserve"> "АлАс"</v>
      </c>
      <c r="B29" s="260">
        <f t="shared" si="0"/>
        <v>-1579</v>
      </c>
      <c r="C29" s="260">
        <f t="shared" si="1"/>
        <v>0</v>
      </c>
      <c r="D29" s="467" t="str">
        <f>VLOOKUP(F29,Справочник!$A$2:$C$415,3,FALSE)</f>
        <v>Прочие краткосрочные обязательства</v>
      </c>
      <c r="F29" s="441">
        <v>3190</v>
      </c>
      <c r="G29" s="442" t="s">
        <v>184</v>
      </c>
      <c r="H29" s="444"/>
      <c r="I29" s="443">
        <v>1579</v>
      </c>
      <c r="J29" s="443">
        <v>3368</v>
      </c>
      <c r="K29" s="443">
        <v>1789</v>
      </c>
      <c r="L29" s="444"/>
      <c r="M29" s="444"/>
    </row>
    <row r="30" spans="1:13" ht="24">
      <c r="A30" s="467" t="str">
        <f>A29</f>
        <v xml:space="preserve"> "АлАс"</v>
      </c>
      <c r="B30" s="260">
        <f t="shared" si="0"/>
        <v>-7250</v>
      </c>
      <c r="C30" s="260">
        <f t="shared" si="1"/>
        <v>-7975</v>
      </c>
      <c r="D30" s="467">
        <f>VLOOKUP(F30,Справочник!$A$2:$C$415,3,FALSE)</f>
        <v>0</v>
      </c>
      <c r="F30" s="440">
        <v>3200</v>
      </c>
      <c r="G30" s="437" t="s">
        <v>185</v>
      </c>
      <c r="H30" s="438"/>
      <c r="I30" s="439">
        <v>7250</v>
      </c>
      <c r="J30" s="439">
        <v>71950</v>
      </c>
      <c r="K30" s="439">
        <v>72675</v>
      </c>
      <c r="L30" s="438"/>
      <c r="M30" s="439">
        <v>7975</v>
      </c>
    </row>
    <row r="31" spans="1:13">
      <c r="A31" s="467" t="str">
        <f t="shared" si="2"/>
        <v xml:space="preserve"> "АлАс"</v>
      </c>
      <c r="B31" s="260">
        <f t="shared" si="0"/>
        <v>-2250</v>
      </c>
      <c r="C31" s="260">
        <f t="shared" si="1"/>
        <v>-2475</v>
      </c>
      <c r="D31" s="467" t="str">
        <f>VLOOKUP(F31,Справочник!$A$2:$C$415,3,FALSE)</f>
        <v>Прочие краткосрочные обязательства</v>
      </c>
      <c r="F31" s="441">
        <v>3210</v>
      </c>
      <c r="G31" s="442" t="s">
        <v>186</v>
      </c>
      <c r="H31" s="444"/>
      <c r="I31" s="443">
        <v>2250</v>
      </c>
      <c r="J31" s="443">
        <v>22950</v>
      </c>
      <c r="K31" s="443">
        <v>23175</v>
      </c>
      <c r="L31" s="444"/>
      <c r="M31" s="443">
        <v>2475</v>
      </c>
    </row>
    <row r="32" spans="1:13">
      <c r="A32" s="467" t="str">
        <f t="shared" si="2"/>
        <v xml:space="preserve"> "АлАс"</v>
      </c>
      <c r="B32" s="260">
        <f t="shared" si="0"/>
        <v>-5000</v>
      </c>
      <c r="C32" s="260">
        <f t="shared" si="1"/>
        <v>-5500</v>
      </c>
      <c r="D32" s="467" t="str">
        <f>VLOOKUP(F32,Справочник!$A$2:$C$415,3,FALSE)</f>
        <v>Прочие краткосрочные обязательства</v>
      </c>
      <c r="F32" s="441">
        <v>3220</v>
      </c>
      <c r="G32" s="442" t="s">
        <v>187</v>
      </c>
      <c r="H32" s="444"/>
      <c r="I32" s="443">
        <v>5000</v>
      </c>
      <c r="J32" s="443">
        <v>49000</v>
      </c>
      <c r="K32" s="443">
        <v>49500</v>
      </c>
      <c r="L32" s="444"/>
      <c r="M32" s="443">
        <v>5500</v>
      </c>
    </row>
    <row r="33" spans="1:13">
      <c r="A33" s="467" t="str">
        <f t="shared" si="2"/>
        <v xml:space="preserve"> "АлАс"</v>
      </c>
      <c r="B33" s="260">
        <f t="shared" si="0"/>
        <v>-88726105.799999997</v>
      </c>
      <c r="C33" s="260">
        <f t="shared" si="1"/>
        <v>-131801630.23999999</v>
      </c>
      <c r="D33" s="467">
        <f>VLOOKUP(F33,Справочник!$A$2:$C$415,3,FALSE)</f>
        <v>0</v>
      </c>
      <c r="F33" s="440">
        <v>3300</v>
      </c>
      <c r="G33" s="437" t="s">
        <v>76</v>
      </c>
      <c r="H33" s="438"/>
      <c r="I33" s="439">
        <v>88726105.799999997</v>
      </c>
      <c r="J33" s="439">
        <v>13248851.68</v>
      </c>
      <c r="K33" s="439">
        <v>56324376.119999997</v>
      </c>
      <c r="L33" s="438"/>
      <c r="M33" s="439">
        <v>131801630.23999999</v>
      </c>
    </row>
    <row r="34" spans="1:13">
      <c r="A34" s="467" t="str">
        <f t="shared" si="2"/>
        <v xml:space="preserve"> "АлАс"</v>
      </c>
      <c r="B34" s="260">
        <f t="shared" si="0"/>
        <v>-34601.18</v>
      </c>
      <c r="C34" s="260">
        <f t="shared" si="1"/>
        <v>-11650.12</v>
      </c>
      <c r="D34" s="467" t="str">
        <f>VLOOKUP(F34,Справочник!$A$2:$C$415,3,FALSE)</f>
        <v>Краткосрочная торговая и прочая кредиторская задолженность</v>
      </c>
      <c r="F34" s="441">
        <v>3310</v>
      </c>
      <c r="G34" s="442" t="s">
        <v>190</v>
      </c>
      <c r="H34" s="444"/>
      <c r="I34" s="443">
        <v>34601.18</v>
      </c>
      <c r="J34" s="443">
        <v>2040589.18</v>
      </c>
      <c r="K34" s="443">
        <v>2017638.12</v>
      </c>
      <c r="L34" s="444"/>
      <c r="M34" s="443">
        <v>11650.12</v>
      </c>
    </row>
    <row r="35" spans="1:13">
      <c r="A35" s="467" t="str">
        <f t="shared" si="2"/>
        <v xml:space="preserve"> "АлАс"</v>
      </c>
      <c r="B35" s="260">
        <f t="shared" si="0"/>
        <v>0</v>
      </c>
      <c r="C35" s="260">
        <f t="shared" si="1"/>
        <v>-44550</v>
      </c>
      <c r="D35" s="467" t="str">
        <f>VLOOKUP(F35,Справочник!$A$2:$C$415,3,FALSE)</f>
        <v>Вознаграждения работникам</v>
      </c>
      <c r="F35" s="441">
        <v>3350</v>
      </c>
      <c r="G35" s="442" t="s">
        <v>194</v>
      </c>
      <c r="H35" s="444"/>
      <c r="I35" s="444"/>
      <c r="J35" s="443">
        <v>450450</v>
      </c>
      <c r="K35" s="443">
        <v>495000</v>
      </c>
      <c r="L35" s="444"/>
      <c r="M35" s="443">
        <v>44550</v>
      </c>
    </row>
    <row r="36" spans="1:13">
      <c r="A36" s="467" t="str">
        <f t="shared" si="2"/>
        <v xml:space="preserve"> "АлАс"</v>
      </c>
      <c r="B36" s="260">
        <f t="shared" si="0"/>
        <v>-1372395.83</v>
      </c>
      <c r="C36" s="260">
        <f t="shared" si="1"/>
        <v>-973958.33</v>
      </c>
      <c r="D36" s="467" t="str">
        <f>VLOOKUP(F36,Справочник!$A$2:$C$415,3,FALSE)</f>
        <v>Краткосрочная торговая и прочая кредиторская задолженность</v>
      </c>
      <c r="F36" s="441">
        <v>3380</v>
      </c>
      <c r="G36" s="442" t="s">
        <v>197</v>
      </c>
      <c r="H36" s="444"/>
      <c r="I36" s="443">
        <v>1372395.83</v>
      </c>
      <c r="J36" s="443">
        <v>10757812.5</v>
      </c>
      <c r="K36" s="443">
        <v>10359375</v>
      </c>
      <c r="L36" s="444"/>
      <c r="M36" s="443">
        <v>973958.33</v>
      </c>
    </row>
    <row r="37" spans="1:13">
      <c r="A37" s="467" t="str">
        <f t="shared" si="2"/>
        <v xml:space="preserve"> "АлАс"</v>
      </c>
      <c r="B37" s="260">
        <f t="shared" si="0"/>
        <v>-87319108.790000007</v>
      </c>
      <c r="C37" s="260">
        <f t="shared" si="1"/>
        <v>-130771471.79000001</v>
      </c>
      <c r="D37" s="467">
        <f>VLOOKUP(F37,Справочник!$A$2:$C$415,3,FALSE)</f>
        <v>0</v>
      </c>
      <c r="F37" s="445">
        <v>3390</v>
      </c>
      <c r="G37" s="446" t="s">
        <v>198</v>
      </c>
      <c r="H37" s="447"/>
      <c r="I37" s="448">
        <v>87319108.790000007</v>
      </c>
      <c r="J37" s="447"/>
      <c r="K37" s="448">
        <v>43452363</v>
      </c>
      <c r="L37" s="447"/>
      <c r="M37" s="448">
        <v>130771471.79000001</v>
      </c>
    </row>
    <row r="38" spans="1:13">
      <c r="A38" s="467" t="str">
        <f t="shared" si="2"/>
        <v xml:space="preserve"> "АлАс"</v>
      </c>
      <c r="B38" s="260">
        <f t="shared" si="0"/>
        <v>-87319108.790000007</v>
      </c>
      <c r="C38" s="260">
        <f t="shared" si="1"/>
        <v>-130771471.79000001</v>
      </c>
      <c r="D38" s="467" t="str">
        <f>VLOOKUP(F38,Справочник!$A$2:$C$415,3,FALSE)</f>
        <v>Краткосрочная торговая и прочая кредиторская задолженность</v>
      </c>
      <c r="F38" s="449">
        <v>3396</v>
      </c>
      <c r="G38" s="442" t="s">
        <v>204</v>
      </c>
      <c r="H38" s="444"/>
      <c r="I38" s="443">
        <v>87319108.790000007</v>
      </c>
      <c r="J38" s="444"/>
      <c r="K38" s="443">
        <v>43452363</v>
      </c>
      <c r="L38" s="444"/>
      <c r="M38" s="443">
        <v>130771471.79000001</v>
      </c>
    </row>
    <row r="39" spans="1:13">
      <c r="A39" s="467" t="str">
        <f t="shared" si="2"/>
        <v xml:space="preserve"> "АлАс"</v>
      </c>
      <c r="B39" s="260">
        <f t="shared" si="0"/>
        <v>-50320</v>
      </c>
      <c r="C39" s="260">
        <f t="shared" si="1"/>
        <v>-50320</v>
      </c>
      <c r="D39" s="467">
        <f>VLOOKUP(F39,Справочник!$A$2:$C$415,3,FALSE)</f>
        <v>0</v>
      </c>
      <c r="F39" s="440">
        <v>3400</v>
      </c>
      <c r="G39" s="437" t="s">
        <v>39</v>
      </c>
      <c r="H39" s="438"/>
      <c r="I39" s="439">
        <v>50320</v>
      </c>
      <c r="J39" s="438"/>
      <c r="K39" s="438"/>
      <c r="L39" s="438"/>
      <c r="M39" s="439">
        <v>50320</v>
      </c>
    </row>
    <row r="40" spans="1:13" ht="24">
      <c r="A40" s="467" t="str">
        <f t="shared" si="2"/>
        <v xml:space="preserve"> "АлАс"</v>
      </c>
      <c r="B40" s="260">
        <f t="shared" si="0"/>
        <v>-50320</v>
      </c>
      <c r="C40" s="260">
        <f t="shared" si="1"/>
        <v>-50320</v>
      </c>
      <c r="D40" s="467" t="str">
        <f>VLOOKUP(F40,Справочник!$A$2:$C$415,3,FALSE)</f>
        <v>Краткосрочные резервы</v>
      </c>
      <c r="F40" s="441">
        <v>3430</v>
      </c>
      <c r="G40" s="442" t="s">
        <v>207</v>
      </c>
      <c r="H40" s="444"/>
      <c r="I40" s="443">
        <v>50320</v>
      </c>
      <c r="J40" s="444"/>
      <c r="K40" s="444"/>
      <c r="L40" s="444"/>
      <c r="M40" s="443">
        <v>50320</v>
      </c>
    </row>
    <row r="41" spans="1:13">
      <c r="A41" s="467" t="str">
        <f t="shared" si="2"/>
        <v xml:space="preserve"> "АлАс"</v>
      </c>
      <c r="B41" s="260">
        <f t="shared" si="0"/>
        <v>-96875000</v>
      </c>
      <c r="C41" s="260">
        <f t="shared" si="1"/>
        <v>-68750000</v>
      </c>
      <c r="D41" s="467">
        <f>VLOOKUP(F41,Справочник!$A$2:$C$415,3,FALSE)</f>
        <v>0</v>
      </c>
      <c r="F41" s="440">
        <v>4000</v>
      </c>
      <c r="G41" s="437" t="s">
        <v>213</v>
      </c>
      <c r="H41" s="438"/>
      <c r="I41" s="439">
        <v>96875000</v>
      </c>
      <c r="J41" s="439">
        <v>28125000</v>
      </c>
      <c r="K41" s="438"/>
      <c r="L41" s="438"/>
      <c r="M41" s="439">
        <v>68750000</v>
      </c>
    </row>
    <row r="42" spans="1:13">
      <c r="A42" s="467" t="str">
        <f t="shared" si="2"/>
        <v xml:space="preserve"> "АлАс"</v>
      </c>
      <c r="B42" s="260">
        <f t="shared" si="0"/>
        <v>-96875000</v>
      </c>
      <c r="C42" s="260">
        <f t="shared" si="1"/>
        <v>-68750000</v>
      </c>
      <c r="D42" s="467" t="str">
        <f>VLOOKUP(F42,Справочник!$A$2:$C$415,3,FALSE)</f>
        <v>Долгосрочные займы</v>
      </c>
      <c r="F42" s="441">
        <v>4010</v>
      </c>
      <c r="G42" s="442" t="s">
        <v>214</v>
      </c>
      <c r="H42" s="444"/>
      <c r="I42" s="443">
        <v>96875000</v>
      </c>
      <c r="J42" s="443">
        <v>28125000</v>
      </c>
      <c r="K42" s="444"/>
      <c r="L42" s="444"/>
      <c r="M42" s="443">
        <v>68750000</v>
      </c>
    </row>
    <row r="43" spans="1:13">
      <c r="A43" s="467" t="str">
        <f t="shared" si="2"/>
        <v xml:space="preserve"> "АлАс"</v>
      </c>
      <c r="B43" s="260">
        <f t="shared" si="0"/>
        <v>-137026000</v>
      </c>
      <c r="C43" s="260">
        <f t="shared" si="1"/>
        <v>-137026000</v>
      </c>
      <c r="D43" s="467">
        <f>VLOOKUP(F43,Справочник!$A$2:$C$415,3,FALSE)</f>
        <v>0</v>
      </c>
      <c r="F43" s="440">
        <v>5000</v>
      </c>
      <c r="G43" s="437" t="s">
        <v>45</v>
      </c>
      <c r="H43" s="438"/>
      <c r="I43" s="439">
        <v>137026000</v>
      </c>
      <c r="J43" s="438"/>
      <c r="K43" s="438"/>
      <c r="L43" s="438"/>
      <c r="M43" s="439">
        <v>137026000</v>
      </c>
    </row>
    <row r="44" spans="1:13">
      <c r="A44" s="467" t="str">
        <f t="shared" si="2"/>
        <v xml:space="preserve"> "АлАс"</v>
      </c>
      <c r="B44" s="260">
        <f t="shared" si="0"/>
        <v>-137026000</v>
      </c>
      <c r="C44" s="260">
        <f t="shared" si="1"/>
        <v>-137026000</v>
      </c>
      <c r="D44" s="467" t="str">
        <f>VLOOKUP(F44,Справочник!$A$2:$C$415,3,FALSE)</f>
        <v>Уставный (акционерный) капитал</v>
      </c>
      <c r="F44" s="441">
        <v>5030</v>
      </c>
      <c r="G44" s="442" t="s">
        <v>242</v>
      </c>
      <c r="H44" s="444"/>
      <c r="I44" s="443">
        <v>137026000</v>
      </c>
      <c r="J44" s="444"/>
      <c r="K44" s="444"/>
      <c r="L44" s="444"/>
      <c r="M44" s="443">
        <v>137026000</v>
      </c>
    </row>
    <row r="45" spans="1:13">
      <c r="A45" s="467" t="str">
        <f t="shared" si="2"/>
        <v xml:space="preserve"> "АлАс"</v>
      </c>
      <c r="B45" s="260">
        <f t="shared" si="0"/>
        <v>68782630.989999995</v>
      </c>
      <c r="C45" s="260">
        <f t="shared" si="1"/>
        <v>68782630.989999995</v>
      </c>
      <c r="D45" s="467">
        <f>VLOOKUP(F45,Справочник!$A$2:$C$415,3,FALSE)</f>
        <v>0</v>
      </c>
      <c r="F45" s="440">
        <v>5500</v>
      </c>
      <c r="G45" s="437" t="s">
        <v>253</v>
      </c>
      <c r="H45" s="438"/>
      <c r="I45" s="450">
        <v>-68782630.989999995</v>
      </c>
      <c r="J45" s="438"/>
      <c r="K45" s="438"/>
      <c r="L45" s="438"/>
      <c r="M45" s="450">
        <v>-68782630.989999995</v>
      </c>
    </row>
    <row r="46" spans="1:13" ht="24">
      <c r="A46" s="467" t="str">
        <f t="shared" si="2"/>
        <v xml:space="preserve"> "АлАс"</v>
      </c>
      <c r="B46" s="260">
        <f t="shared" si="0"/>
        <v>44829013.659999996</v>
      </c>
      <c r="C46" s="260">
        <f t="shared" si="1"/>
        <v>44829013.659999996</v>
      </c>
      <c r="D46" s="467" t="str">
        <f>VLOOKUP(F46,Справочник!$A$2:$C$415,3,FALSE)</f>
        <v>Нераспределенная прибыль (непокрытый убыток)</v>
      </c>
      <c r="F46" s="441">
        <v>5510</v>
      </c>
      <c r="G46" s="442" t="s">
        <v>254</v>
      </c>
      <c r="H46" s="444"/>
      <c r="I46" s="451">
        <v>-44829013.659999996</v>
      </c>
      <c r="J46" s="444"/>
      <c r="K46" s="444"/>
      <c r="L46" s="444"/>
      <c r="M46" s="451">
        <v>-44829013.659999996</v>
      </c>
    </row>
    <row r="47" spans="1:13" ht="24">
      <c r="A47" s="467" t="str">
        <f t="shared" si="2"/>
        <v xml:space="preserve"> "АлАс"</v>
      </c>
      <c r="B47" s="260">
        <f t="shared" si="0"/>
        <v>23953617.329999998</v>
      </c>
      <c r="C47" s="260">
        <f t="shared" si="1"/>
        <v>23953617.329999998</v>
      </c>
      <c r="D47" s="467" t="str">
        <f>VLOOKUP(F47,Справочник!$A$2:$C$415,3,FALSE)</f>
        <v>Нераспределенная прибыль (непокрытый убыток)</v>
      </c>
      <c r="F47" s="441">
        <v>5520</v>
      </c>
      <c r="G47" s="442" t="s">
        <v>255</v>
      </c>
      <c r="H47" s="444"/>
      <c r="I47" s="451">
        <v>-23953617.329999998</v>
      </c>
      <c r="J47" s="444"/>
      <c r="K47" s="444"/>
      <c r="L47" s="444"/>
      <c r="M47" s="451">
        <v>-23953617.329999998</v>
      </c>
    </row>
    <row r="48" spans="1:13">
      <c r="A48" s="467" t="str">
        <f t="shared" si="2"/>
        <v xml:space="preserve"> "АлАс"</v>
      </c>
      <c r="B48" s="260">
        <f t="shared" si="0"/>
        <v>0</v>
      </c>
      <c r="C48" s="260">
        <f t="shared" si="1"/>
        <v>27416280.760000002</v>
      </c>
      <c r="D48" s="467">
        <f>VLOOKUP(F48,Справочник!$A$2:$C$415,3,FALSE)</f>
        <v>0</v>
      </c>
      <c r="F48" s="440">
        <v>5600</v>
      </c>
      <c r="G48" s="437" t="s">
        <v>256</v>
      </c>
      <c r="H48" s="438"/>
      <c r="I48" s="438"/>
      <c r="J48" s="439">
        <v>27416280.760000002</v>
      </c>
      <c r="K48" s="438"/>
      <c r="L48" s="438"/>
      <c r="M48" s="450">
        <v>-27416280.760000002</v>
      </c>
    </row>
    <row r="49" spans="1:13">
      <c r="A49" s="467" t="str">
        <f t="shared" si="2"/>
        <v xml:space="preserve"> "АлАс"</v>
      </c>
      <c r="B49" s="260">
        <f t="shared" si="0"/>
        <v>0</v>
      </c>
      <c r="C49" s="260">
        <f t="shared" si="1"/>
        <v>27416280.760000002</v>
      </c>
      <c r="D49" s="467" t="str">
        <f>VLOOKUP(F49,Справочник!$A$2:$C$415,3,FALSE)</f>
        <v>Нераспределенная прибыль (непокрытый убыток)</v>
      </c>
      <c r="F49" s="441">
        <v>5610</v>
      </c>
      <c r="G49" s="442" t="s">
        <v>256</v>
      </c>
      <c r="H49" s="444"/>
      <c r="I49" s="444"/>
      <c r="J49" s="443">
        <v>27416280.760000002</v>
      </c>
      <c r="K49" s="444"/>
      <c r="L49" s="444"/>
      <c r="M49" s="451">
        <v>-27416280.760000002</v>
      </c>
    </row>
    <row r="50" spans="1:13" ht="24">
      <c r="A50" s="467" t="str">
        <f t="shared" si="2"/>
        <v xml:space="preserve"> "АлАс"</v>
      </c>
      <c r="B50" s="260">
        <f t="shared" si="0"/>
        <v>0</v>
      </c>
      <c r="C50" s="260">
        <f t="shared" si="1"/>
        <v>0</v>
      </c>
      <c r="D50" s="467">
        <f>VLOOKUP(F50,Справочник!$A$2:$C$415,3,FALSE)</f>
        <v>0</v>
      </c>
      <c r="F50" s="440">
        <v>7000</v>
      </c>
      <c r="G50" s="437" t="s">
        <v>279</v>
      </c>
      <c r="H50" s="438"/>
      <c r="I50" s="438"/>
      <c r="J50" s="439">
        <v>1350000</v>
      </c>
      <c r="K50" s="439">
        <v>1350000</v>
      </c>
      <c r="L50" s="438"/>
      <c r="M50" s="438"/>
    </row>
    <row r="51" spans="1:13">
      <c r="A51" s="467" t="str">
        <f t="shared" si="2"/>
        <v xml:space="preserve"> "АлАс"</v>
      </c>
      <c r="B51" s="260">
        <f t="shared" si="0"/>
        <v>0</v>
      </c>
      <c r="C51" s="260">
        <f t="shared" si="1"/>
        <v>0</v>
      </c>
      <c r="D51" s="467" t="str">
        <f>VLOOKUP(F51,Справочник!$A$2:$C$415,3,FALSE)</f>
        <v>Себестоимость реализованных товаров и услуг</v>
      </c>
      <c r="F51" s="441">
        <v>7010</v>
      </c>
      <c r="G51" s="442" t="s">
        <v>279</v>
      </c>
      <c r="H51" s="444"/>
      <c r="I51" s="444"/>
      <c r="J51" s="443">
        <v>1350000</v>
      </c>
      <c r="K51" s="443">
        <v>1350000</v>
      </c>
      <c r="L51" s="444"/>
      <c r="M51" s="444"/>
    </row>
    <row r="52" spans="1:13">
      <c r="A52" s="467" t="str">
        <f t="shared" si="2"/>
        <v xml:space="preserve"> "АлАс"</v>
      </c>
      <c r="B52" s="260">
        <f t="shared" si="0"/>
        <v>0</v>
      </c>
      <c r="C52" s="260">
        <f t="shared" si="1"/>
        <v>0</v>
      </c>
      <c r="D52" s="467">
        <f>VLOOKUP(F52,Справочник!$A$2:$C$415,3,FALSE)</f>
        <v>0</v>
      </c>
      <c r="F52" s="440">
        <v>7200</v>
      </c>
      <c r="G52" s="437" t="s">
        <v>55</v>
      </c>
      <c r="H52" s="438"/>
      <c r="I52" s="438"/>
      <c r="J52" s="439">
        <v>15706905.76</v>
      </c>
      <c r="K52" s="439">
        <v>15706905.76</v>
      </c>
      <c r="L52" s="438"/>
      <c r="M52" s="438"/>
    </row>
    <row r="53" spans="1:13">
      <c r="A53" s="467" t="str">
        <f t="shared" si="2"/>
        <v xml:space="preserve"> "АлАс"</v>
      </c>
      <c r="B53" s="260">
        <f t="shared" si="0"/>
        <v>0</v>
      </c>
      <c r="C53" s="260">
        <f t="shared" si="1"/>
        <v>0</v>
      </c>
      <c r="D53" s="467" t="str">
        <f>VLOOKUP(F53,Справочник!$A$2:$C$415,3,FALSE)</f>
        <v>Административные расходы</v>
      </c>
      <c r="F53" s="441">
        <v>7210</v>
      </c>
      <c r="G53" s="442" t="s">
        <v>55</v>
      </c>
      <c r="H53" s="444"/>
      <c r="I53" s="444"/>
      <c r="J53" s="443">
        <v>15706905.76</v>
      </c>
      <c r="K53" s="443">
        <v>15706905.76</v>
      </c>
      <c r="L53" s="444"/>
      <c r="M53" s="444"/>
    </row>
    <row r="54" spans="1:13">
      <c r="A54" s="467" t="str">
        <f t="shared" si="2"/>
        <v xml:space="preserve"> "АлАс"</v>
      </c>
      <c r="B54" s="260">
        <f t="shared" si="0"/>
        <v>0</v>
      </c>
      <c r="C54" s="260">
        <f t="shared" si="1"/>
        <v>0</v>
      </c>
      <c r="D54" s="467">
        <f>VLOOKUP(F54,Справочник!$A$2:$C$415,3,FALSE)</f>
        <v>0</v>
      </c>
      <c r="F54" s="440">
        <v>7300</v>
      </c>
      <c r="G54" s="437" t="s">
        <v>281</v>
      </c>
      <c r="H54" s="438"/>
      <c r="I54" s="438"/>
      <c r="J54" s="439">
        <v>10359375</v>
      </c>
      <c r="K54" s="439">
        <v>10359375</v>
      </c>
      <c r="L54" s="438"/>
      <c r="M54" s="438"/>
    </row>
    <row r="55" spans="1:13">
      <c r="A55" s="467" t="str">
        <f t="shared" si="2"/>
        <v xml:space="preserve"> "АлАс"</v>
      </c>
      <c r="B55" s="260">
        <f t="shared" si="0"/>
        <v>0</v>
      </c>
      <c r="C55" s="260">
        <f t="shared" si="1"/>
        <v>0</v>
      </c>
      <c r="D55" s="467" t="str">
        <f>VLOOKUP(F55,Справочник!$A$2:$C$415,3,FALSE)</f>
        <v>Расходы по финансированию</v>
      </c>
      <c r="F55" s="441">
        <v>7310</v>
      </c>
      <c r="G55" s="442" t="s">
        <v>282</v>
      </c>
      <c r="H55" s="444"/>
      <c r="I55" s="444"/>
      <c r="J55" s="443">
        <v>10359375</v>
      </c>
      <c r="K55" s="443">
        <v>10359375</v>
      </c>
      <c r="L55" s="444"/>
      <c r="M55" s="444"/>
    </row>
    <row r="56" spans="1:13">
      <c r="A56" s="467" t="str">
        <f t="shared" si="2"/>
        <v xml:space="preserve"> "АлАс"</v>
      </c>
      <c r="B56" s="260">
        <f t="shared" si="0"/>
        <v>253909079.81</v>
      </c>
      <c r="C56" s="260">
        <f t="shared" si="1"/>
        <v>241444933.49000001</v>
      </c>
      <c r="D56" s="467" t="e">
        <f>VLOOKUP(F56,Справочник!$A$2:$C$415,3,FALSE)</f>
        <v>#N/A</v>
      </c>
      <c r="F56" s="676" t="s">
        <v>615</v>
      </c>
      <c r="G56" s="676"/>
      <c r="H56" s="453">
        <v>253909079.81</v>
      </c>
      <c r="I56" s="453">
        <v>253909079.81</v>
      </c>
      <c r="J56" s="453">
        <v>221768260.19999999</v>
      </c>
      <c r="K56" s="453">
        <v>221768260.19999999</v>
      </c>
      <c r="L56" s="453">
        <v>241444933.49000001</v>
      </c>
      <c r="M56" s="453">
        <v>241444933.49000001</v>
      </c>
    </row>
    <row r="57" spans="1:13">
      <c r="A57" s="467" t="str">
        <f t="shared" si="2"/>
        <v xml:space="preserve"> "АлАс"</v>
      </c>
      <c r="B57" s="260">
        <f t="shared" si="0"/>
        <v>0</v>
      </c>
      <c r="C57" s="260">
        <f t="shared" si="1"/>
        <v>0</v>
      </c>
      <c r="D57" s="467">
        <f>VLOOKUP(F57,Справочник!$A$2:$C$415,3,FALSE)</f>
        <v>0</v>
      </c>
      <c r="F57" s="440"/>
      <c r="G57" s="437"/>
      <c r="H57" s="438"/>
      <c r="I57" s="438"/>
      <c r="J57" s="439"/>
      <c r="K57" s="439"/>
      <c r="L57" s="438"/>
      <c r="M57" s="438"/>
    </row>
    <row r="58" spans="1:13">
      <c r="A58" s="467" t="str">
        <f t="shared" si="2"/>
        <v xml:space="preserve"> "АлАс"</v>
      </c>
      <c r="B58" s="260">
        <f t="shared" si="0"/>
        <v>0</v>
      </c>
      <c r="C58" s="260">
        <f t="shared" si="1"/>
        <v>0</v>
      </c>
      <c r="D58" s="467">
        <f>VLOOKUP(F58,Справочник!$A$2:$C$415,3,FALSE)</f>
        <v>0</v>
      </c>
      <c r="F58" s="441"/>
      <c r="G58" s="442"/>
      <c r="H58" s="444"/>
      <c r="I58" s="444"/>
      <c r="J58" s="443"/>
      <c r="K58" s="443"/>
      <c r="L58" s="444"/>
      <c r="M58" s="444"/>
    </row>
    <row r="59" spans="1:13">
      <c r="A59" s="467" t="str">
        <f t="shared" si="2"/>
        <v xml:space="preserve"> "АлАс"</v>
      </c>
      <c r="B59" s="260">
        <f t="shared" si="0"/>
        <v>0</v>
      </c>
      <c r="C59" s="260">
        <f t="shared" si="1"/>
        <v>0</v>
      </c>
      <c r="D59" s="467">
        <f>VLOOKUP(F59,Справочник!$A$2:$C$415,3,FALSE)</f>
        <v>0</v>
      </c>
      <c r="F59" s="440"/>
      <c r="G59" s="437"/>
      <c r="H59" s="438"/>
      <c r="I59" s="438"/>
      <c r="J59" s="439"/>
      <c r="K59" s="439"/>
      <c r="L59" s="438"/>
      <c r="M59" s="438"/>
    </row>
    <row r="60" spans="1:13">
      <c r="A60" s="467" t="str">
        <f t="shared" si="2"/>
        <v xml:space="preserve"> "АлАс"</v>
      </c>
      <c r="B60" s="260">
        <f t="shared" si="0"/>
        <v>0</v>
      </c>
      <c r="C60" s="260">
        <f t="shared" si="1"/>
        <v>0</v>
      </c>
      <c r="D60" s="467">
        <f>VLOOKUP(F60,Справочник!$A$2:$C$415,3,FALSE)</f>
        <v>0</v>
      </c>
      <c r="F60" s="441"/>
      <c r="G60" s="442"/>
      <c r="H60" s="444"/>
      <c r="I60" s="444"/>
      <c r="J60" s="443"/>
      <c r="K60" s="443"/>
      <c r="L60" s="444"/>
      <c r="M60" s="444"/>
    </row>
    <row r="61" spans="1:13">
      <c r="A61" s="467" t="str">
        <f t="shared" si="2"/>
        <v xml:space="preserve"> "АлАс"</v>
      </c>
      <c r="B61" s="260">
        <f t="shared" si="0"/>
        <v>0</v>
      </c>
      <c r="C61" s="260">
        <f t="shared" si="1"/>
        <v>0</v>
      </c>
      <c r="D61" s="467">
        <f>VLOOKUP(F61,Справочник!$A$2:$C$415,3,FALSE)</f>
        <v>0</v>
      </c>
      <c r="F61" s="440"/>
      <c r="G61" s="437"/>
      <c r="H61" s="438"/>
      <c r="I61" s="438"/>
      <c r="J61" s="439"/>
      <c r="K61" s="439"/>
      <c r="L61" s="438"/>
      <c r="M61" s="438"/>
    </row>
    <row r="62" spans="1:13">
      <c r="A62" s="467" t="str">
        <f t="shared" si="2"/>
        <v xml:space="preserve"> "АлАс"</v>
      </c>
      <c r="B62" s="260">
        <f t="shared" si="0"/>
        <v>0</v>
      </c>
      <c r="C62" s="260">
        <f t="shared" si="1"/>
        <v>0</v>
      </c>
      <c r="D62" s="467">
        <f>VLOOKUP(F62,Справочник!$A$2:$C$415,3,FALSE)</f>
        <v>0</v>
      </c>
      <c r="F62" s="441"/>
      <c r="G62" s="442"/>
      <c r="H62" s="444"/>
      <c r="I62" s="444"/>
      <c r="J62" s="443"/>
      <c r="K62" s="443"/>
      <c r="L62" s="444"/>
      <c r="M62" s="444"/>
    </row>
    <row r="63" spans="1:13">
      <c r="A63" s="467" t="str">
        <f t="shared" si="2"/>
        <v xml:space="preserve"> "АлАс"</v>
      </c>
      <c r="B63" s="260">
        <f t="shared" si="0"/>
        <v>0</v>
      </c>
      <c r="C63" s="260">
        <f t="shared" si="1"/>
        <v>0</v>
      </c>
      <c r="D63" s="467">
        <f>VLOOKUP(F63,Справочник!$A$2:$C$415,3,FALSE)</f>
        <v>0</v>
      </c>
      <c r="F63" s="441"/>
      <c r="G63" s="442"/>
      <c r="H63" s="444"/>
      <c r="I63" s="444"/>
      <c r="J63" s="456"/>
      <c r="K63" s="456"/>
      <c r="L63" s="444"/>
      <c r="M63" s="444"/>
    </row>
    <row r="64" spans="1:13">
      <c r="A64" s="467" t="str">
        <f t="shared" si="2"/>
        <v xml:space="preserve"> "АлАс"</v>
      </c>
      <c r="B64" s="260">
        <f t="shared" si="0"/>
        <v>0</v>
      </c>
      <c r="C64" s="260">
        <f t="shared" si="1"/>
        <v>0</v>
      </c>
      <c r="D64" s="467">
        <f>VLOOKUP(F64,Справочник!$A$2:$C$415,3,FALSE)</f>
        <v>0</v>
      </c>
      <c r="F64" s="440"/>
      <c r="G64" s="437"/>
      <c r="H64" s="438"/>
      <c r="I64" s="438"/>
      <c r="J64" s="439"/>
      <c r="K64" s="439"/>
      <c r="L64" s="438"/>
      <c r="M64" s="438"/>
    </row>
    <row r="65" spans="1:13">
      <c r="A65" s="467" t="str">
        <f t="shared" si="2"/>
        <v xml:space="preserve"> "АлАс"</v>
      </c>
      <c r="B65" s="260">
        <f t="shared" si="0"/>
        <v>0</v>
      </c>
      <c r="C65" s="260">
        <f t="shared" si="1"/>
        <v>0</v>
      </c>
      <c r="D65" s="467">
        <f>VLOOKUP(F65,Справочник!$A$2:$C$415,3,FALSE)</f>
        <v>0</v>
      </c>
      <c r="F65" s="441"/>
      <c r="G65" s="442"/>
      <c r="H65" s="444"/>
      <c r="I65" s="444"/>
      <c r="J65" s="443"/>
      <c r="K65" s="443"/>
      <c r="L65" s="444"/>
      <c r="M65" s="444"/>
    </row>
    <row r="66" spans="1:13">
      <c r="A66" s="467" t="str">
        <f t="shared" si="2"/>
        <v xml:space="preserve"> "АлАс"</v>
      </c>
      <c r="B66" s="260">
        <f t="shared" si="0"/>
        <v>0</v>
      </c>
      <c r="C66" s="260">
        <f t="shared" si="1"/>
        <v>0</v>
      </c>
      <c r="D66" s="467">
        <f>VLOOKUP(F66,Справочник!$A$2:$C$415,3,FALSE)</f>
        <v>0</v>
      </c>
      <c r="F66" s="440"/>
      <c r="G66" s="437"/>
      <c r="H66" s="438"/>
      <c r="I66" s="438"/>
      <c r="J66" s="439"/>
      <c r="K66" s="439"/>
      <c r="L66" s="438"/>
      <c r="M66" s="438"/>
    </row>
    <row r="67" spans="1:13">
      <c r="A67" s="467" t="str">
        <f t="shared" si="2"/>
        <v xml:space="preserve"> "АлАс"</v>
      </c>
      <c r="B67" s="260">
        <f t="shared" si="0"/>
        <v>0</v>
      </c>
      <c r="C67" s="260">
        <f t="shared" si="1"/>
        <v>0</v>
      </c>
      <c r="D67" s="467">
        <f>VLOOKUP(F67,Справочник!$A$2:$C$415,3,FALSE)</f>
        <v>0</v>
      </c>
      <c r="F67" s="441"/>
      <c r="G67" s="442"/>
      <c r="H67" s="444"/>
      <c r="I67" s="444"/>
      <c r="J67" s="443"/>
      <c r="K67" s="443"/>
      <c r="L67" s="444"/>
      <c r="M67" s="444"/>
    </row>
    <row r="68" spans="1:13">
      <c r="A68" s="467" t="str">
        <f t="shared" si="2"/>
        <v xml:space="preserve"> "АлАс"</v>
      </c>
      <c r="B68" s="260">
        <f t="shared" si="0"/>
        <v>0</v>
      </c>
      <c r="C68" s="260">
        <f t="shared" si="1"/>
        <v>0</v>
      </c>
      <c r="D68" s="467">
        <f>VLOOKUP(F68,Справочник!$A$2:$C$415,3,FALSE)</f>
        <v>0</v>
      </c>
      <c r="F68" s="440"/>
      <c r="G68" s="437"/>
      <c r="H68" s="438"/>
      <c r="I68" s="438"/>
      <c r="J68" s="439"/>
      <c r="K68" s="439"/>
      <c r="L68" s="438"/>
      <c r="M68" s="438"/>
    </row>
    <row r="69" spans="1:13">
      <c r="A69" s="467" t="str">
        <f t="shared" si="2"/>
        <v xml:space="preserve"> "АлАс"</v>
      </c>
      <c r="B69" s="260">
        <f t="shared" si="0"/>
        <v>0</v>
      </c>
      <c r="C69" s="260">
        <f t="shared" si="1"/>
        <v>0</v>
      </c>
      <c r="D69" s="467">
        <f>VLOOKUP(F69,Справочник!$A$2:$C$415,3,FALSE)</f>
        <v>0</v>
      </c>
      <c r="F69" s="441"/>
      <c r="G69" s="442"/>
      <c r="H69" s="444"/>
      <c r="I69" s="444"/>
      <c r="J69" s="443"/>
      <c r="K69" s="443"/>
      <c r="L69" s="444"/>
      <c r="M69" s="444"/>
    </row>
    <row r="70" spans="1:13">
      <c r="A70" s="467" t="str">
        <f t="shared" si="2"/>
        <v xml:space="preserve"> "АлАс"</v>
      </c>
      <c r="B70" s="260">
        <f t="shared" si="0"/>
        <v>0</v>
      </c>
      <c r="C70" s="260">
        <f t="shared" si="1"/>
        <v>0</v>
      </c>
      <c r="D70" s="467">
        <f>VLOOKUP(F70,Справочник!$A$2:$C$415,3,FALSE)</f>
        <v>0</v>
      </c>
      <c r="F70" s="440"/>
      <c r="G70" s="437"/>
      <c r="H70" s="438"/>
      <c r="I70" s="438"/>
      <c r="J70" s="439"/>
      <c r="K70" s="439"/>
      <c r="L70" s="438"/>
      <c r="M70" s="438"/>
    </row>
    <row r="71" spans="1:13">
      <c r="A71" s="467" t="str">
        <f t="shared" si="2"/>
        <v xml:space="preserve"> "АлАс"</v>
      </c>
      <c r="B71" s="260">
        <f t="shared" si="0"/>
        <v>0</v>
      </c>
      <c r="C71" s="260">
        <f t="shared" si="1"/>
        <v>0</v>
      </c>
      <c r="D71" s="467">
        <f>VLOOKUP(F71,Справочник!$A$2:$C$415,3,FALSE)</f>
        <v>0</v>
      </c>
      <c r="F71" s="441"/>
      <c r="G71" s="442"/>
      <c r="H71" s="444"/>
      <c r="I71" s="444"/>
      <c r="J71" s="443"/>
      <c r="K71" s="443"/>
      <c r="L71" s="444"/>
      <c r="M71" s="444"/>
    </row>
    <row r="72" spans="1:13">
      <c r="A72" s="467" t="str">
        <f t="shared" si="2"/>
        <v xml:space="preserve"> "АлАс"</v>
      </c>
      <c r="B72" s="260">
        <f t="shared" ref="B72:B135" si="3">IF(ISBLANK(H72)=FALSE,H72,-I72)</f>
        <v>0</v>
      </c>
      <c r="C72" s="260">
        <f t="shared" si="1"/>
        <v>0</v>
      </c>
      <c r="D72" s="467">
        <f>VLOOKUP(F72,Справочник!$A$2:$C$415,3,FALSE)</f>
        <v>0</v>
      </c>
      <c r="F72" s="441"/>
      <c r="G72" s="442"/>
      <c r="H72" s="444"/>
      <c r="I72" s="444"/>
      <c r="J72" s="443"/>
      <c r="K72" s="443"/>
      <c r="L72" s="444"/>
      <c r="M72" s="444"/>
    </row>
    <row r="73" spans="1:13">
      <c r="A73" s="467" t="str">
        <f t="shared" si="2"/>
        <v xml:space="preserve"> "АлАс"</v>
      </c>
      <c r="B73" s="260">
        <f t="shared" si="3"/>
        <v>0</v>
      </c>
      <c r="C73" s="260">
        <f t="shared" si="1"/>
        <v>0</v>
      </c>
      <c r="D73" s="467">
        <f>VLOOKUP(F73,Справочник!$A$2:$C$415,3,FALSE)</f>
        <v>0</v>
      </c>
      <c r="F73" s="676"/>
      <c r="G73" s="676"/>
      <c r="H73" s="453"/>
      <c r="I73" s="453"/>
      <c r="J73" s="453"/>
      <c r="K73" s="453"/>
      <c r="L73" s="453"/>
      <c r="M73" s="453"/>
    </row>
    <row r="74" spans="1:13">
      <c r="A74" s="467" t="str">
        <f t="shared" si="2"/>
        <v xml:space="preserve"> "АлАс"</v>
      </c>
      <c r="B74" s="260">
        <f t="shared" si="3"/>
        <v>0</v>
      </c>
      <c r="C74" s="260">
        <f t="shared" ref="C74:C137" si="4">IF(ISBLANK(L74)=FALSE,L74,-M74)</f>
        <v>0</v>
      </c>
      <c r="D74" s="467">
        <f>VLOOKUP(F74,Справочник!$A$2:$C$415,3,FALSE)</f>
        <v>0</v>
      </c>
      <c r="F74" s="441"/>
      <c r="G74" s="442"/>
      <c r="H74" s="444"/>
      <c r="I74" s="443"/>
      <c r="J74" s="444"/>
      <c r="K74" s="443"/>
      <c r="L74" s="444"/>
      <c r="M74" s="443"/>
    </row>
    <row r="75" spans="1:13">
      <c r="A75" s="467" t="str">
        <f t="shared" ref="A75:A138" si="5">A74</f>
        <v xml:space="preserve"> "АлАс"</v>
      </c>
      <c r="B75" s="260">
        <f t="shared" si="3"/>
        <v>0</v>
      </c>
      <c r="C75" s="260">
        <f t="shared" si="4"/>
        <v>0</v>
      </c>
      <c r="D75" s="467">
        <f>VLOOKUP(F75,Справочник!$A$2:$C$415,3,FALSE)</f>
        <v>0</v>
      </c>
      <c r="F75" s="441"/>
      <c r="G75" s="442"/>
      <c r="H75" s="444"/>
      <c r="I75" s="443"/>
      <c r="J75" s="444"/>
      <c r="K75" s="444"/>
      <c r="L75" s="444"/>
      <c r="M75" s="443"/>
    </row>
    <row r="76" spans="1:13">
      <c r="A76" s="467" t="str">
        <f t="shared" si="5"/>
        <v xml:space="preserve"> "АлАс"</v>
      </c>
      <c r="B76" s="260">
        <f t="shared" si="3"/>
        <v>0</v>
      </c>
      <c r="C76" s="260">
        <f t="shared" si="4"/>
        <v>0</v>
      </c>
      <c r="D76" s="467">
        <f>VLOOKUP(F76,Справочник!$A$2:$C$415,3,FALSE)</f>
        <v>0</v>
      </c>
      <c r="F76" s="440"/>
      <c r="G76" s="437"/>
      <c r="H76" s="438"/>
      <c r="I76" s="438"/>
      <c r="J76" s="439"/>
      <c r="K76" s="439"/>
      <c r="L76" s="438"/>
      <c r="M76" s="438"/>
    </row>
    <row r="77" spans="1:13">
      <c r="A77" s="467" t="str">
        <f t="shared" si="5"/>
        <v xml:space="preserve"> "АлАс"</v>
      </c>
      <c r="B77" s="260">
        <f t="shared" si="3"/>
        <v>0</v>
      </c>
      <c r="C77" s="260">
        <f t="shared" si="4"/>
        <v>0</v>
      </c>
      <c r="D77" s="467">
        <f>VLOOKUP(F77,Справочник!$A$2:$C$415,3,FALSE)</f>
        <v>0</v>
      </c>
      <c r="F77" s="441"/>
      <c r="G77" s="442"/>
      <c r="H77" s="444"/>
      <c r="I77" s="444"/>
      <c r="J77" s="443"/>
      <c r="K77" s="443"/>
      <c r="L77" s="444"/>
      <c r="M77" s="444"/>
    </row>
    <row r="78" spans="1:13">
      <c r="A78" s="467" t="str">
        <f t="shared" si="5"/>
        <v xml:space="preserve"> "АлАс"</v>
      </c>
      <c r="B78" s="260">
        <f t="shared" si="3"/>
        <v>0</v>
      </c>
      <c r="C78" s="260">
        <f t="shared" si="4"/>
        <v>0</v>
      </c>
      <c r="D78" s="467">
        <f>VLOOKUP(F78,Справочник!$A$2:$C$415,3,FALSE)</f>
        <v>0</v>
      </c>
      <c r="F78" s="440"/>
      <c r="G78" s="437"/>
      <c r="H78" s="438"/>
      <c r="I78" s="438"/>
      <c r="J78" s="439"/>
      <c r="K78" s="439"/>
      <c r="L78" s="438"/>
      <c r="M78" s="438"/>
    </row>
    <row r="79" spans="1:13">
      <c r="A79" s="467" t="str">
        <f t="shared" si="5"/>
        <v xml:space="preserve"> "АлАс"</v>
      </c>
      <c r="B79" s="260">
        <f t="shared" si="3"/>
        <v>0</v>
      </c>
      <c r="C79" s="260">
        <f t="shared" si="4"/>
        <v>0</v>
      </c>
      <c r="D79" s="467">
        <f>VLOOKUP(F79,Справочник!$A$2:$C$415,3,FALSE)</f>
        <v>0</v>
      </c>
      <c r="F79" s="441"/>
      <c r="G79" s="442"/>
      <c r="H79" s="444"/>
      <c r="I79" s="444"/>
      <c r="J79" s="443"/>
      <c r="K79" s="443"/>
      <c r="L79" s="444"/>
      <c r="M79" s="444"/>
    </row>
    <row r="80" spans="1:13">
      <c r="A80" s="467" t="str">
        <f t="shared" si="5"/>
        <v xml:space="preserve"> "АлАс"</v>
      </c>
      <c r="B80" s="260">
        <f t="shared" si="3"/>
        <v>0</v>
      </c>
      <c r="C80" s="260">
        <f t="shared" si="4"/>
        <v>0</v>
      </c>
      <c r="D80" s="467">
        <f>VLOOKUP(F80,Справочник!$A$2:$C$415,3,FALSE)</f>
        <v>0</v>
      </c>
      <c r="F80" s="441"/>
      <c r="G80" s="442"/>
      <c r="H80" s="444"/>
      <c r="I80" s="444"/>
      <c r="J80" s="443"/>
      <c r="K80" s="443"/>
      <c r="L80" s="444"/>
      <c r="M80" s="444"/>
    </row>
    <row r="81" spans="1:13">
      <c r="A81" s="467" t="str">
        <f t="shared" si="5"/>
        <v xml:space="preserve"> "АлАс"</v>
      </c>
      <c r="B81" s="260">
        <f t="shared" si="3"/>
        <v>0</v>
      </c>
      <c r="C81" s="260">
        <f t="shared" si="4"/>
        <v>0</v>
      </c>
      <c r="D81" s="467">
        <f>VLOOKUP(F81,Справочник!$A$2:$C$415,3,FALSE)</f>
        <v>0</v>
      </c>
      <c r="F81" s="440"/>
      <c r="G81" s="437"/>
      <c r="H81" s="438"/>
      <c r="I81" s="438"/>
      <c r="J81" s="439"/>
      <c r="K81" s="439"/>
      <c r="L81" s="438"/>
      <c r="M81" s="438"/>
    </row>
    <row r="82" spans="1:13">
      <c r="A82" s="467" t="str">
        <f t="shared" si="5"/>
        <v xml:space="preserve"> "АлАс"</v>
      </c>
      <c r="B82" s="260">
        <f t="shared" si="3"/>
        <v>0</v>
      </c>
      <c r="C82" s="260">
        <f t="shared" si="4"/>
        <v>0</v>
      </c>
      <c r="D82" s="467">
        <f>VLOOKUP(F82,Справочник!$A$2:$C$415,3,FALSE)</f>
        <v>0</v>
      </c>
      <c r="F82" s="441"/>
      <c r="G82" s="442"/>
      <c r="H82" s="444"/>
      <c r="I82" s="444"/>
      <c r="J82" s="443"/>
      <c r="K82" s="443"/>
      <c r="L82" s="444"/>
      <c r="M82" s="444"/>
    </row>
    <row r="83" spans="1:13">
      <c r="A83" s="467" t="str">
        <f t="shared" si="5"/>
        <v xml:space="preserve"> "АлАс"</v>
      </c>
      <c r="B83" s="260">
        <f t="shared" si="3"/>
        <v>0</v>
      </c>
      <c r="C83" s="260">
        <f t="shared" si="4"/>
        <v>0</v>
      </c>
      <c r="D83" s="467">
        <f>VLOOKUP(F83,Справочник!$A$2:$C$415,3,FALSE)</f>
        <v>0</v>
      </c>
      <c r="F83" s="440"/>
      <c r="G83" s="437"/>
      <c r="H83" s="438"/>
      <c r="I83" s="438"/>
      <c r="J83" s="439"/>
      <c r="K83" s="439"/>
      <c r="L83" s="438"/>
      <c r="M83" s="438"/>
    </row>
    <row r="84" spans="1:13">
      <c r="A84" s="467" t="str">
        <f t="shared" si="5"/>
        <v xml:space="preserve"> "АлАс"</v>
      </c>
      <c r="B84" s="260">
        <f t="shared" si="3"/>
        <v>0</v>
      </c>
      <c r="C84" s="260">
        <f t="shared" si="4"/>
        <v>0</v>
      </c>
      <c r="D84" s="467">
        <f>VLOOKUP(F84,Справочник!$A$2:$C$415,3,FALSE)</f>
        <v>0</v>
      </c>
      <c r="F84" s="441"/>
      <c r="G84" s="442"/>
      <c r="H84" s="444"/>
      <c r="I84" s="444"/>
      <c r="J84" s="443"/>
      <c r="K84" s="443"/>
      <c r="L84" s="444"/>
      <c r="M84" s="444"/>
    </row>
    <row r="85" spans="1:13">
      <c r="A85" s="467" t="str">
        <f t="shared" si="5"/>
        <v xml:space="preserve"> "АлАс"</v>
      </c>
      <c r="B85" s="260">
        <f t="shared" si="3"/>
        <v>0</v>
      </c>
      <c r="C85" s="260">
        <f t="shared" si="4"/>
        <v>0</v>
      </c>
      <c r="D85" s="467">
        <f>VLOOKUP(F85,Справочник!$A$2:$C$415,3,FALSE)</f>
        <v>0</v>
      </c>
      <c r="F85" s="441"/>
      <c r="G85" s="442"/>
      <c r="H85" s="444"/>
      <c r="I85" s="444"/>
      <c r="J85" s="443"/>
      <c r="K85" s="443"/>
      <c r="L85" s="444"/>
      <c r="M85" s="444"/>
    </row>
    <row r="86" spans="1:13">
      <c r="A86" s="467" t="str">
        <f t="shared" si="5"/>
        <v xml:space="preserve"> "АлАс"</v>
      </c>
      <c r="B86" s="260">
        <f t="shared" si="3"/>
        <v>0</v>
      </c>
      <c r="C86" s="260">
        <f t="shared" si="4"/>
        <v>0</v>
      </c>
      <c r="D86" s="467">
        <f>VLOOKUP(F86,Справочник!$A$2:$C$415,3,FALSE)</f>
        <v>0</v>
      </c>
      <c r="F86" s="441"/>
      <c r="G86" s="442"/>
      <c r="H86" s="444"/>
      <c r="I86" s="444"/>
      <c r="J86" s="443"/>
      <c r="K86" s="443"/>
      <c r="L86" s="444"/>
      <c r="M86" s="444"/>
    </row>
    <row r="87" spans="1:13">
      <c r="A87" s="467" t="str">
        <f t="shared" si="5"/>
        <v xml:space="preserve"> "АлАс"</v>
      </c>
      <c r="B87" s="260">
        <f t="shared" si="3"/>
        <v>0</v>
      </c>
      <c r="C87" s="260">
        <f t="shared" si="4"/>
        <v>0</v>
      </c>
      <c r="D87" s="467">
        <f>VLOOKUP(F87,Справочник!$A$2:$C$415,3,FALSE)</f>
        <v>0</v>
      </c>
      <c r="F87" s="440"/>
      <c r="G87" s="437"/>
      <c r="H87" s="438"/>
      <c r="I87" s="438"/>
      <c r="J87" s="439"/>
      <c r="K87" s="439"/>
      <c r="L87" s="438"/>
      <c r="M87" s="438"/>
    </row>
    <row r="88" spans="1:13">
      <c r="A88" s="467" t="str">
        <f t="shared" si="5"/>
        <v xml:space="preserve"> "АлАс"</v>
      </c>
      <c r="B88" s="260">
        <f t="shared" si="3"/>
        <v>0</v>
      </c>
      <c r="C88" s="260">
        <f t="shared" si="4"/>
        <v>0</v>
      </c>
      <c r="D88" s="467">
        <f>VLOOKUP(F88,Справочник!$A$2:$C$415,3,FALSE)</f>
        <v>0</v>
      </c>
      <c r="F88" s="441"/>
      <c r="G88" s="442"/>
      <c r="H88" s="444"/>
      <c r="I88" s="444"/>
      <c r="J88" s="443"/>
      <c r="K88" s="443"/>
      <c r="L88" s="444"/>
      <c r="M88" s="444"/>
    </row>
    <row r="89" spans="1:13">
      <c r="A89" s="467" t="str">
        <f t="shared" si="5"/>
        <v xml:space="preserve"> "АлАс"</v>
      </c>
      <c r="B89" s="260">
        <f t="shared" si="3"/>
        <v>0</v>
      </c>
      <c r="C89" s="260">
        <f t="shared" si="4"/>
        <v>0</v>
      </c>
      <c r="D89" s="467">
        <f>VLOOKUP(F89,Справочник!$A$2:$C$415,3,FALSE)</f>
        <v>0</v>
      </c>
      <c r="F89" s="441"/>
      <c r="G89" s="442"/>
      <c r="H89" s="444"/>
      <c r="I89" s="444"/>
      <c r="J89" s="443"/>
      <c r="K89" s="443"/>
      <c r="L89" s="444"/>
      <c r="M89" s="444"/>
    </row>
    <row r="90" spans="1:13">
      <c r="A90" s="467" t="str">
        <f t="shared" si="5"/>
        <v xml:space="preserve"> "АлАс"</v>
      </c>
      <c r="B90" s="260">
        <f t="shared" si="3"/>
        <v>0</v>
      </c>
      <c r="C90" s="260">
        <f t="shared" si="4"/>
        <v>0</v>
      </c>
      <c r="D90" s="467">
        <f>VLOOKUP(F90,Справочник!$A$2:$C$415,3,FALSE)</f>
        <v>0</v>
      </c>
      <c r="F90" s="440"/>
      <c r="G90" s="437"/>
      <c r="H90" s="438"/>
      <c r="I90" s="438"/>
      <c r="J90" s="439"/>
      <c r="K90" s="439"/>
      <c r="L90" s="438"/>
      <c r="M90" s="438"/>
    </row>
    <row r="91" spans="1:13">
      <c r="A91" s="467" t="str">
        <f t="shared" si="5"/>
        <v xml:space="preserve"> "АлАс"</v>
      </c>
      <c r="B91" s="260">
        <f t="shared" si="3"/>
        <v>0</v>
      </c>
      <c r="C91" s="260">
        <f t="shared" si="4"/>
        <v>0</v>
      </c>
      <c r="D91" s="467">
        <f>VLOOKUP(F91,Справочник!$A$2:$C$415,3,FALSE)</f>
        <v>0</v>
      </c>
      <c r="F91" s="441"/>
      <c r="G91" s="442"/>
      <c r="H91" s="444"/>
      <c r="I91" s="444"/>
      <c r="J91" s="443"/>
      <c r="K91" s="443"/>
      <c r="L91" s="444"/>
      <c r="M91" s="444"/>
    </row>
    <row r="92" spans="1:13">
      <c r="A92" s="467" t="str">
        <f t="shared" si="5"/>
        <v xml:space="preserve"> "АлАс"</v>
      </c>
      <c r="B92" s="260">
        <f t="shared" si="3"/>
        <v>0</v>
      </c>
      <c r="C92" s="260">
        <f t="shared" si="4"/>
        <v>0</v>
      </c>
      <c r="D92" s="467">
        <f>VLOOKUP(F92,Справочник!$A$2:$C$415,3,FALSE)</f>
        <v>0</v>
      </c>
      <c r="F92" s="441"/>
      <c r="G92" s="442"/>
      <c r="H92" s="444"/>
      <c r="I92" s="444"/>
      <c r="J92" s="443"/>
      <c r="K92" s="443"/>
      <c r="L92" s="444"/>
      <c r="M92" s="444"/>
    </row>
    <row r="93" spans="1:13">
      <c r="A93" s="467" t="str">
        <f t="shared" si="5"/>
        <v xml:space="preserve"> "АлАс"</v>
      </c>
      <c r="B93" s="260">
        <f t="shared" si="3"/>
        <v>0</v>
      </c>
      <c r="C93" s="260">
        <f t="shared" si="4"/>
        <v>0</v>
      </c>
      <c r="D93" s="467">
        <f>VLOOKUP(F93,Справочник!$A$2:$C$415,3,FALSE)</f>
        <v>0</v>
      </c>
      <c r="F93" s="440"/>
      <c r="G93" s="437"/>
      <c r="H93" s="438"/>
      <c r="I93" s="438"/>
      <c r="J93" s="439"/>
      <c r="K93" s="439"/>
      <c r="L93" s="438"/>
      <c r="M93" s="438"/>
    </row>
    <row r="94" spans="1:13">
      <c r="A94" s="467" t="str">
        <f t="shared" si="5"/>
        <v xml:space="preserve"> "АлАс"</v>
      </c>
      <c r="B94" s="260">
        <f t="shared" si="3"/>
        <v>0</v>
      </c>
      <c r="C94" s="260">
        <f t="shared" si="4"/>
        <v>0</v>
      </c>
      <c r="D94" s="467">
        <f>VLOOKUP(F94,Справочник!$A$2:$C$415,3,FALSE)</f>
        <v>0</v>
      </c>
      <c r="F94" s="441"/>
      <c r="G94" s="442"/>
      <c r="H94" s="444"/>
      <c r="I94" s="444"/>
      <c r="J94" s="443"/>
      <c r="K94" s="443"/>
      <c r="L94" s="444"/>
      <c r="M94" s="444"/>
    </row>
    <row r="95" spans="1:13">
      <c r="A95" s="467" t="str">
        <f t="shared" si="5"/>
        <v xml:space="preserve"> "АлАс"</v>
      </c>
      <c r="B95" s="260">
        <f t="shared" si="3"/>
        <v>0</v>
      </c>
      <c r="C95" s="260">
        <f t="shared" si="4"/>
        <v>0</v>
      </c>
      <c r="D95" s="467">
        <f>VLOOKUP(F95,Справочник!$A$2:$C$415,3,FALSE)</f>
        <v>0</v>
      </c>
      <c r="F95" s="441"/>
      <c r="G95" s="442"/>
      <c r="H95" s="444"/>
      <c r="I95" s="444"/>
      <c r="J95" s="443"/>
      <c r="K95" s="443"/>
      <c r="L95" s="444"/>
      <c r="M95" s="444"/>
    </row>
    <row r="96" spans="1:13">
      <c r="A96" s="467" t="str">
        <f t="shared" si="5"/>
        <v xml:space="preserve"> "АлАс"</v>
      </c>
      <c r="B96" s="260">
        <f t="shared" si="3"/>
        <v>0</v>
      </c>
      <c r="C96" s="260">
        <f t="shared" si="4"/>
        <v>0</v>
      </c>
      <c r="D96" s="467">
        <f>VLOOKUP(F96,Справочник!$A$2:$C$415,3,FALSE)</f>
        <v>0</v>
      </c>
      <c r="F96" s="440"/>
      <c r="G96" s="437"/>
      <c r="H96" s="438"/>
      <c r="I96" s="438"/>
      <c r="J96" s="439"/>
      <c r="K96" s="439"/>
      <c r="L96" s="438"/>
      <c r="M96" s="438"/>
    </row>
    <row r="97" spans="1:13">
      <c r="A97" s="467" t="str">
        <f t="shared" si="5"/>
        <v xml:space="preserve"> "АлАс"</v>
      </c>
      <c r="B97" s="260">
        <f t="shared" si="3"/>
        <v>0</v>
      </c>
      <c r="C97" s="260">
        <f t="shared" si="4"/>
        <v>0</v>
      </c>
      <c r="D97" s="467">
        <f>VLOOKUP(F97,Справочник!$A$2:$C$415,3,FALSE)</f>
        <v>0</v>
      </c>
      <c r="F97" s="441"/>
      <c r="G97" s="442"/>
      <c r="H97" s="444"/>
      <c r="I97" s="444"/>
      <c r="J97" s="443"/>
      <c r="K97" s="443"/>
      <c r="L97" s="444"/>
      <c r="M97" s="444"/>
    </row>
    <row r="98" spans="1:13">
      <c r="A98" s="467" t="str">
        <f t="shared" si="5"/>
        <v xml:space="preserve"> "АлАс"</v>
      </c>
      <c r="B98" s="260">
        <f t="shared" si="3"/>
        <v>0</v>
      </c>
      <c r="C98" s="260">
        <f t="shared" si="4"/>
        <v>0</v>
      </c>
      <c r="D98" s="467">
        <f>VLOOKUP(F98,Справочник!$A$2:$C$415,3,FALSE)</f>
        <v>0</v>
      </c>
      <c r="F98" s="440"/>
      <c r="G98" s="437"/>
      <c r="H98" s="438"/>
      <c r="I98" s="438"/>
      <c r="J98" s="439"/>
      <c r="K98" s="439"/>
      <c r="L98" s="438"/>
      <c r="M98" s="438"/>
    </row>
    <row r="99" spans="1:13">
      <c r="A99" s="467" t="str">
        <f t="shared" si="5"/>
        <v xml:space="preserve"> "АлАс"</v>
      </c>
      <c r="B99" s="260">
        <f t="shared" si="3"/>
        <v>0</v>
      </c>
      <c r="C99" s="260">
        <f t="shared" si="4"/>
        <v>0</v>
      </c>
      <c r="D99" s="467">
        <f>VLOOKUP(F99,Справочник!$A$2:$C$415,3,FALSE)</f>
        <v>0</v>
      </c>
      <c r="F99" s="441"/>
      <c r="G99" s="442"/>
      <c r="H99" s="444"/>
      <c r="I99" s="444"/>
      <c r="J99" s="443"/>
      <c r="K99" s="443"/>
      <c r="L99" s="444"/>
      <c r="M99" s="444"/>
    </row>
    <row r="100" spans="1:13">
      <c r="A100" s="467" t="str">
        <f t="shared" si="5"/>
        <v xml:space="preserve"> "АлАс"</v>
      </c>
      <c r="B100" s="260">
        <f t="shared" si="3"/>
        <v>0</v>
      </c>
      <c r="C100" s="260">
        <f t="shared" si="4"/>
        <v>0</v>
      </c>
      <c r="D100" s="467">
        <f>VLOOKUP(F100,Справочник!$A$2:$C$415,3,FALSE)</f>
        <v>0</v>
      </c>
      <c r="F100" s="441"/>
      <c r="G100" s="442"/>
      <c r="H100" s="444"/>
      <c r="I100" s="444"/>
      <c r="J100" s="443"/>
      <c r="K100" s="443"/>
      <c r="L100" s="444"/>
      <c r="M100" s="444"/>
    </row>
    <row r="101" spans="1:13">
      <c r="A101" s="467" t="str">
        <f t="shared" si="5"/>
        <v xml:space="preserve"> "АлАс"</v>
      </c>
      <c r="B101" s="260">
        <f t="shared" si="3"/>
        <v>0</v>
      </c>
      <c r="C101" s="260">
        <f t="shared" si="4"/>
        <v>0</v>
      </c>
      <c r="D101" s="467">
        <f>VLOOKUP(F101,Справочник!$A$2:$C$415,3,FALSE)</f>
        <v>0</v>
      </c>
      <c r="F101" s="441"/>
      <c r="G101" s="442"/>
      <c r="H101" s="444"/>
      <c r="I101" s="444"/>
      <c r="J101" s="443"/>
      <c r="K101" s="443"/>
      <c r="L101" s="444"/>
      <c r="M101" s="444"/>
    </row>
    <row r="102" spans="1:13">
      <c r="A102" s="467" t="str">
        <f t="shared" si="5"/>
        <v xml:space="preserve"> "АлАс"</v>
      </c>
      <c r="B102" s="260">
        <f t="shared" si="3"/>
        <v>0</v>
      </c>
      <c r="C102" s="260">
        <f t="shared" si="4"/>
        <v>0</v>
      </c>
      <c r="D102" s="467">
        <f>VLOOKUP(F102,Справочник!$A$2:$C$415,3,FALSE)</f>
        <v>0</v>
      </c>
      <c r="F102" s="676"/>
      <c r="G102" s="676"/>
      <c r="H102" s="453"/>
      <c r="I102" s="453"/>
      <c r="J102" s="453"/>
      <c r="K102" s="453"/>
      <c r="L102" s="453"/>
      <c r="M102" s="453"/>
    </row>
    <row r="103" spans="1:13">
      <c r="A103" s="467" t="str">
        <f t="shared" si="5"/>
        <v xml:space="preserve"> "АлАс"</v>
      </c>
      <c r="B103" s="260">
        <f t="shared" si="3"/>
        <v>0</v>
      </c>
      <c r="C103" s="260">
        <f t="shared" si="4"/>
        <v>0</v>
      </c>
      <c r="D103" s="467">
        <f>VLOOKUP(F103,Справочник!$A$2:$C$415,3,FALSE)</f>
        <v>0</v>
      </c>
      <c r="F103" s="425"/>
      <c r="G103" s="426"/>
      <c r="H103" s="428"/>
      <c r="I103" s="428"/>
      <c r="J103" s="427"/>
      <c r="K103" s="427"/>
      <c r="L103" s="428"/>
      <c r="M103" s="428"/>
    </row>
    <row r="104" spans="1:13">
      <c r="A104" s="467" t="str">
        <f t="shared" si="5"/>
        <v xml:space="preserve"> "АлАс"</v>
      </c>
      <c r="B104" s="260">
        <f t="shared" si="3"/>
        <v>0</v>
      </c>
      <c r="C104" s="260">
        <f t="shared" si="4"/>
        <v>0</v>
      </c>
      <c r="D104" s="467">
        <f>VLOOKUP(F104,Справочник!$A$2:$C$415,3,FALSE)</f>
        <v>0</v>
      </c>
      <c r="F104" s="424"/>
      <c r="G104" s="421"/>
      <c r="H104" s="422"/>
      <c r="I104" s="422"/>
      <c r="J104" s="423"/>
      <c r="K104" s="423"/>
      <c r="L104" s="422"/>
      <c r="M104" s="422"/>
    </row>
    <row r="105" spans="1:13">
      <c r="A105" s="467" t="str">
        <f t="shared" si="5"/>
        <v xml:space="preserve"> "АлАс"</v>
      </c>
      <c r="B105" s="260">
        <f t="shared" si="3"/>
        <v>0</v>
      </c>
      <c r="C105" s="260">
        <f t="shared" si="4"/>
        <v>0</v>
      </c>
      <c r="D105" s="467">
        <f>VLOOKUP(F105,Справочник!$A$2:$C$415,3,FALSE)</f>
        <v>0</v>
      </c>
      <c r="F105" s="425"/>
      <c r="G105" s="426"/>
      <c r="H105" s="428"/>
      <c r="I105" s="428"/>
      <c r="J105" s="427"/>
      <c r="K105" s="427"/>
      <c r="L105" s="428"/>
      <c r="M105" s="428"/>
    </row>
    <row r="106" spans="1:13">
      <c r="A106" s="467" t="str">
        <f t="shared" si="5"/>
        <v xml:space="preserve"> "АлАс"</v>
      </c>
      <c r="B106" s="260">
        <f t="shared" si="3"/>
        <v>0</v>
      </c>
      <c r="C106" s="260">
        <f t="shared" si="4"/>
        <v>0</v>
      </c>
      <c r="D106" s="467">
        <f>VLOOKUP(F106,Справочник!$A$2:$C$415,3,FALSE)</f>
        <v>0</v>
      </c>
      <c r="F106" s="424"/>
      <c r="G106" s="421"/>
      <c r="H106" s="422"/>
      <c r="I106" s="422"/>
      <c r="J106" s="423"/>
      <c r="K106" s="423"/>
      <c r="L106" s="422"/>
      <c r="M106" s="422"/>
    </row>
    <row r="107" spans="1:13">
      <c r="A107" s="467" t="str">
        <f t="shared" si="5"/>
        <v xml:space="preserve"> "АлАс"</v>
      </c>
      <c r="B107" s="260">
        <f t="shared" si="3"/>
        <v>0</v>
      </c>
      <c r="C107" s="260">
        <f t="shared" si="4"/>
        <v>0</v>
      </c>
      <c r="D107" s="467">
        <f>VLOOKUP(F107,Справочник!$A$2:$C$415,3,FALSE)</f>
        <v>0</v>
      </c>
      <c r="F107" s="425"/>
      <c r="G107" s="426"/>
      <c r="H107" s="428"/>
      <c r="I107" s="428"/>
      <c r="J107" s="427"/>
      <c r="K107" s="427"/>
      <c r="L107" s="428"/>
      <c r="M107" s="428"/>
    </row>
    <row r="108" spans="1:13">
      <c r="A108" s="467" t="str">
        <f t="shared" si="5"/>
        <v xml:space="preserve"> "АлАс"</v>
      </c>
      <c r="B108" s="260">
        <f t="shared" si="3"/>
        <v>0</v>
      </c>
      <c r="C108" s="260">
        <f t="shared" si="4"/>
        <v>0</v>
      </c>
      <c r="D108" s="467">
        <f>VLOOKUP(F108,Справочник!$A$2:$C$415,3,FALSE)</f>
        <v>0</v>
      </c>
      <c r="F108" s="425"/>
      <c r="G108" s="426"/>
      <c r="H108" s="428"/>
      <c r="I108" s="428"/>
      <c r="J108" s="427"/>
      <c r="K108" s="427"/>
      <c r="L108" s="428"/>
      <c r="M108" s="428"/>
    </row>
    <row r="109" spans="1:13">
      <c r="A109" s="467" t="str">
        <f t="shared" si="5"/>
        <v xml:space="preserve"> "АлАс"</v>
      </c>
      <c r="B109" s="260">
        <f t="shared" si="3"/>
        <v>0</v>
      </c>
      <c r="C109" s="260">
        <f t="shared" si="4"/>
        <v>0</v>
      </c>
      <c r="D109" s="467">
        <f>VLOOKUP(F109,Справочник!$A$2:$C$415,3,FALSE)</f>
        <v>0</v>
      </c>
      <c r="F109" s="424"/>
      <c r="G109" s="421"/>
      <c r="H109" s="422"/>
      <c r="I109" s="422"/>
      <c r="J109" s="423"/>
      <c r="K109" s="423"/>
      <c r="L109" s="422"/>
      <c r="M109" s="422"/>
    </row>
    <row r="110" spans="1:13">
      <c r="A110" s="467" t="str">
        <f t="shared" si="5"/>
        <v xml:space="preserve"> "АлАс"</v>
      </c>
      <c r="B110" s="260">
        <f t="shared" si="3"/>
        <v>0</v>
      </c>
      <c r="C110" s="260">
        <f t="shared" si="4"/>
        <v>0</v>
      </c>
      <c r="D110" s="467">
        <f>VLOOKUP(F110,Справочник!$A$2:$C$415,3,FALSE)</f>
        <v>0</v>
      </c>
      <c r="F110" s="425"/>
      <c r="G110" s="426"/>
      <c r="H110" s="428"/>
      <c r="I110" s="428"/>
      <c r="J110" s="427"/>
      <c r="K110" s="427"/>
      <c r="L110" s="428"/>
      <c r="M110" s="428"/>
    </row>
    <row r="111" spans="1:13">
      <c r="A111" s="467" t="str">
        <f t="shared" si="5"/>
        <v xml:space="preserve"> "АлАс"</v>
      </c>
      <c r="B111" s="260">
        <f t="shared" si="3"/>
        <v>0</v>
      </c>
      <c r="C111" s="260">
        <f t="shared" si="4"/>
        <v>0</v>
      </c>
      <c r="D111" s="467">
        <f>VLOOKUP(F111,Справочник!$A$2:$C$415,3,FALSE)</f>
        <v>0</v>
      </c>
      <c r="F111" s="678"/>
      <c r="G111" s="678"/>
      <c r="H111" s="429"/>
      <c r="I111" s="429"/>
      <c r="J111" s="429"/>
      <c r="K111" s="429"/>
      <c r="L111" s="429"/>
      <c r="M111" s="429"/>
    </row>
    <row r="112" spans="1:13">
      <c r="A112" s="467" t="str">
        <f t="shared" si="5"/>
        <v xml:space="preserve"> "АлАс"</v>
      </c>
      <c r="B112" s="260">
        <f t="shared" si="3"/>
        <v>0</v>
      </c>
      <c r="C112" s="260">
        <f t="shared" si="4"/>
        <v>0</v>
      </c>
      <c r="D112" s="467">
        <f>VLOOKUP(F112,Справочник!$A$2:$C$415,3,FALSE)</f>
        <v>0</v>
      </c>
      <c r="F112" s="361"/>
      <c r="G112" s="357"/>
      <c r="H112" s="358"/>
      <c r="I112" s="360"/>
      <c r="J112" s="359"/>
      <c r="K112" s="360"/>
      <c r="L112" s="358"/>
      <c r="M112" s="360"/>
    </row>
    <row r="113" spans="1:13">
      <c r="A113" s="467" t="str">
        <f t="shared" si="5"/>
        <v xml:space="preserve"> "АлАс"</v>
      </c>
      <c r="B113" s="260">
        <f t="shared" si="3"/>
        <v>0</v>
      </c>
      <c r="C113" s="260">
        <f t="shared" si="4"/>
        <v>0</v>
      </c>
      <c r="D113" s="467">
        <f>VLOOKUP(F113,Справочник!$A$2:$C$415,3,FALSE)</f>
        <v>0</v>
      </c>
      <c r="F113" s="372"/>
      <c r="G113" s="373"/>
      <c r="H113" s="374"/>
      <c r="I113" s="376"/>
      <c r="J113" s="375"/>
      <c r="K113" s="376"/>
      <c r="L113" s="374"/>
      <c r="M113" s="376"/>
    </row>
    <row r="114" spans="1:13">
      <c r="A114" s="467" t="str">
        <f t="shared" si="5"/>
        <v xml:space="preserve"> "АлАс"</v>
      </c>
      <c r="B114" s="260">
        <f t="shared" si="3"/>
        <v>0</v>
      </c>
      <c r="C114" s="260">
        <f t="shared" si="4"/>
        <v>0</v>
      </c>
      <c r="D114" s="467">
        <f>VLOOKUP(F114,Справочник!$A$2:$C$415,3,FALSE)</f>
        <v>0</v>
      </c>
      <c r="F114" s="362"/>
      <c r="G114" s="363"/>
      <c r="H114" s="366"/>
      <c r="I114" s="364"/>
      <c r="J114" s="365"/>
      <c r="K114" s="366"/>
      <c r="L114" s="366"/>
      <c r="M114" s="364"/>
    </row>
    <row r="115" spans="1:13">
      <c r="A115" s="467" t="str">
        <f t="shared" si="5"/>
        <v xml:space="preserve"> "АлАс"</v>
      </c>
      <c r="B115" s="260">
        <f t="shared" si="3"/>
        <v>0</v>
      </c>
      <c r="C115" s="260">
        <f t="shared" si="4"/>
        <v>0</v>
      </c>
      <c r="D115" s="467">
        <f>VLOOKUP(F115,Справочник!$A$2:$C$415,3,FALSE)</f>
        <v>0</v>
      </c>
      <c r="F115" s="362"/>
      <c r="G115" s="363"/>
      <c r="H115" s="364"/>
      <c r="I115" s="365"/>
      <c r="J115" s="365"/>
      <c r="K115" s="364"/>
      <c r="L115" s="364"/>
      <c r="M115" s="366"/>
    </row>
    <row r="116" spans="1:13">
      <c r="A116" s="467" t="str">
        <f t="shared" si="5"/>
        <v xml:space="preserve"> "АлАс"</v>
      </c>
      <c r="B116" s="260">
        <f t="shared" si="3"/>
        <v>0</v>
      </c>
      <c r="C116" s="260">
        <f t="shared" si="4"/>
        <v>0</v>
      </c>
      <c r="D116" s="467">
        <f>VLOOKUP(F116,Справочник!$A$2:$C$415,3,FALSE)</f>
        <v>0</v>
      </c>
      <c r="F116" s="361"/>
      <c r="G116" s="357"/>
      <c r="H116" s="358"/>
      <c r="I116" s="360"/>
      <c r="J116" s="360"/>
      <c r="K116" s="358"/>
      <c r="L116" s="358"/>
      <c r="M116" s="360"/>
    </row>
    <row r="117" spans="1:13">
      <c r="A117" s="467" t="str">
        <f t="shared" si="5"/>
        <v xml:space="preserve"> "АлАс"</v>
      </c>
      <c r="B117" s="260">
        <f t="shared" si="3"/>
        <v>0</v>
      </c>
      <c r="C117" s="260">
        <f t="shared" si="4"/>
        <v>0</v>
      </c>
      <c r="D117" s="467">
        <f>VLOOKUP(F117,Справочник!$A$2:$C$415,3,FALSE)</f>
        <v>0</v>
      </c>
      <c r="F117" s="362"/>
      <c r="G117" s="363"/>
      <c r="H117" s="366"/>
      <c r="I117" s="364"/>
      <c r="J117" s="364"/>
      <c r="K117" s="366"/>
      <c r="L117" s="366"/>
      <c r="M117" s="364"/>
    </row>
    <row r="118" spans="1:13">
      <c r="A118" s="467" t="str">
        <f t="shared" si="5"/>
        <v xml:space="preserve"> "АлАс"</v>
      </c>
      <c r="B118" s="260">
        <f t="shared" si="3"/>
        <v>0</v>
      </c>
      <c r="C118" s="260">
        <f t="shared" si="4"/>
        <v>0</v>
      </c>
      <c r="D118" s="467">
        <f>VLOOKUP(F118,Справочник!$A$2:$C$415,3,FALSE)</f>
        <v>0</v>
      </c>
      <c r="F118" s="361"/>
      <c r="G118" s="357"/>
      <c r="H118" s="358"/>
      <c r="I118" s="360"/>
      <c r="J118" s="359"/>
      <c r="K118" s="358"/>
      <c r="L118" s="358"/>
      <c r="M118" s="360"/>
    </row>
    <row r="119" spans="1:13">
      <c r="A119" s="467" t="str">
        <f t="shared" si="5"/>
        <v xml:space="preserve"> "АлАс"</v>
      </c>
      <c r="B119" s="260">
        <f t="shared" si="3"/>
        <v>0</v>
      </c>
      <c r="C119" s="260">
        <f t="shared" si="4"/>
        <v>0</v>
      </c>
      <c r="D119" s="467">
        <f>VLOOKUP(F119,Справочник!$A$2:$C$415,3,FALSE)</f>
        <v>0</v>
      </c>
      <c r="F119" s="362"/>
      <c r="G119" s="363"/>
      <c r="H119" s="366"/>
      <c r="I119" s="364"/>
      <c r="J119" s="365"/>
      <c r="K119" s="366"/>
      <c r="L119" s="366"/>
      <c r="M119" s="364"/>
    </row>
    <row r="120" spans="1:13">
      <c r="A120" s="467" t="str">
        <f t="shared" si="5"/>
        <v xml:space="preserve"> "АлАс"</v>
      </c>
      <c r="B120" s="260">
        <f t="shared" si="3"/>
        <v>0</v>
      </c>
      <c r="C120" s="260">
        <f t="shared" si="4"/>
        <v>0</v>
      </c>
      <c r="D120" s="467">
        <f>VLOOKUP(F120,Справочник!$A$2:$C$415,3,FALSE)</f>
        <v>0</v>
      </c>
      <c r="F120" s="361"/>
      <c r="G120" s="357"/>
      <c r="H120" s="358"/>
      <c r="I120" s="360"/>
      <c r="J120" s="360"/>
      <c r="K120" s="360"/>
      <c r="L120" s="358"/>
      <c r="M120" s="360"/>
    </row>
    <row r="121" spans="1:13">
      <c r="A121" s="467" t="str">
        <f t="shared" si="5"/>
        <v xml:space="preserve"> "АлАс"</v>
      </c>
      <c r="B121" s="260">
        <f t="shared" si="3"/>
        <v>0</v>
      </c>
      <c r="C121" s="260">
        <f t="shared" si="4"/>
        <v>0</v>
      </c>
      <c r="D121" s="467">
        <f>VLOOKUP(F121,Справочник!$A$2:$C$415,3,FALSE)</f>
        <v>0</v>
      </c>
      <c r="F121" s="362"/>
      <c r="G121" s="363"/>
      <c r="H121" s="366"/>
      <c r="I121" s="365"/>
      <c r="J121" s="365"/>
      <c r="K121" s="364"/>
      <c r="L121" s="366"/>
      <c r="M121" s="364"/>
    </row>
    <row r="122" spans="1:13">
      <c r="A122" s="467" t="str">
        <f t="shared" si="5"/>
        <v xml:space="preserve"> "АлАс"</v>
      </c>
      <c r="B122" s="260">
        <f t="shared" si="3"/>
        <v>0</v>
      </c>
      <c r="C122" s="260">
        <f t="shared" si="4"/>
        <v>0</v>
      </c>
      <c r="D122" s="467">
        <f>VLOOKUP(F122,Справочник!$A$2:$C$415,3,FALSE)</f>
        <v>0</v>
      </c>
      <c r="F122" s="362"/>
      <c r="G122" s="363"/>
      <c r="H122" s="366"/>
      <c r="I122" s="365"/>
      <c r="J122" s="364"/>
      <c r="K122" s="364"/>
      <c r="L122" s="366"/>
      <c r="M122" s="364"/>
    </row>
    <row r="123" spans="1:13">
      <c r="A123" s="467" t="str">
        <f t="shared" si="5"/>
        <v xml:space="preserve"> "АлАс"</v>
      </c>
      <c r="B123" s="260">
        <f t="shared" si="3"/>
        <v>0</v>
      </c>
      <c r="C123" s="260">
        <f t="shared" si="4"/>
        <v>0</v>
      </c>
      <c r="D123" s="467">
        <f>VLOOKUP(F123,Справочник!$A$2:$C$415,3,FALSE)</f>
        <v>0</v>
      </c>
      <c r="F123" s="362"/>
      <c r="G123" s="363"/>
      <c r="H123" s="366"/>
      <c r="I123" s="364"/>
      <c r="J123" s="364"/>
      <c r="K123" s="364"/>
      <c r="L123" s="366"/>
      <c r="M123" s="366"/>
    </row>
    <row r="124" spans="1:13">
      <c r="A124" s="467" t="str">
        <f t="shared" si="5"/>
        <v xml:space="preserve"> "АлАс"</v>
      </c>
      <c r="B124" s="260">
        <f t="shared" si="3"/>
        <v>0</v>
      </c>
      <c r="C124" s="260">
        <f t="shared" si="4"/>
        <v>0</v>
      </c>
      <c r="D124" s="467">
        <f>VLOOKUP(F124,Справочник!$A$2:$C$415,3,FALSE)</f>
        <v>0</v>
      </c>
      <c r="F124" s="361"/>
      <c r="G124" s="357"/>
      <c r="H124" s="358"/>
      <c r="I124" s="359"/>
      <c r="J124" s="360"/>
      <c r="K124" s="360"/>
      <c r="L124" s="360"/>
      <c r="M124" s="358"/>
    </row>
    <row r="125" spans="1:13">
      <c r="A125" s="467" t="str">
        <f t="shared" si="5"/>
        <v xml:space="preserve"> "АлАс"</v>
      </c>
      <c r="B125" s="260">
        <f t="shared" si="3"/>
        <v>0</v>
      </c>
      <c r="C125" s="260">
        <f t="shared" si="4"/>
        <v>0</v>
      </c>
      <c r="D125" s="467">
        <f>VLOOKUP(F125,Справочник!$A$2:$C$415,3,FALSE)</f>
        <v>0</v>
      </c>
      <c r="F125" s="362"/>
      <c r="G125" s="363"/>
      <c r="H125" s="366"/>
      <c r="I125" s="365"/>
      <c r="J125" s="364"/>
      <c r="K125" s="364"/>
      <c r="L125" s="364"/>
      <c r="M125" s="366"/>
    </row>
    <row r="126" spans="1:13">
      <c r="A126" s="467" t="str">
        <f t="shared" si="5"/>
        <v xml:space="preserve"> "АлАс"</v>
      </c>
      <c r="B126" s="260">
        <f t="shared" si="3"/>
        <v>0</v>
      </c>
      <c r="C126" s="260">
        <f t="shared" si="4"/>
        <v>0</v>
      </c>
      <c r="D126" s="467">
        <f>VLOOKUP(F126,Справочник!$A$2:$C$415,3,FALSE)</f>
        <v>0</v>
      </c>
      <c r="F126" s="361"/>
      <c r="G126" s="357"/>
      <c r="H126" s="358"/>
      <c r="I126" s="360"/>
      <c r="J126" s="360"/>
      <c r="K126" s="360"/>
      <c r="L126" s="358"/>
      <c r="M126" s="360"/>
    </row>
    <row r="127" spans="1:13">
      <c r="A127" s="467" t="str">
        <f t="shared" si="5"/>
        <v xml:space="preserve"> "АлАс"</v>
      </c>
      <c r="B127" s="260">
        <f t="shared" si="3"/>
        <v>0</v>
      </c>
      <c r="C127" s="260">
        <f t="shared" si="4"/>
        <v>0</v>
      </c>
      <c r="D127" s="467">
        <f>VLOOKUP(F127,Справочник!$A$2:$C$415,3,FALSE)</f>
        <v>0</v>
      </c>
      <c r="F127" s="362"/>
      <c r="G127" s="363"/>
      <c r="H127" s="366"/>
      <c r="I127" s="364"/>
      <c r="J127" s="365"/>
      <c r="K127" s="364"/>
      <c r="L127" s="366"/>
      <c r="M127" s="364"/>
    </row>
    <row r="128" spans="1:13">
      <c r="A128" s="467" t="str">
        <f t="shared" si="5"/>
        <v xml:space="preserve"> "АлАс"</v>
      </c>
      <c r="B128" s="260">
        <f t="shared" si="3"/>
        <v>0</v>
      </c>
      <c r="C128" s="260">
        <f t="shared" si="4"/>
        <v>0</v>
      </c>
      <c r="D128" s="467">
        <f>VLOOKUP(F128,Справочник!$A$2:$C$415,3,FALSE)</f>
        <v>0</v>
      </c>
      <c r="F128" s="362"/>
      <c r="G128" s="363"/>
      <c r="H128" s="366"/>
      <c r="I128" s="365"/>
      <c r="J128" s="368"/>
      <c r="K128" s="366"/>
      <c r="L128" s="366"/>
      <c r="M128" s="364"/>
    </row>
    <row r="129" spans="1:13">
      <c r="A129" s="467" t="str">
        <f t="shared" si="5"/>
        <v xml:space="preserve"> "АлАс"</v>
      </c>
      <c r="B129" s="260">
        <f t="shared" si="3"/>
        <v>0</v>
      </c>
      <c r="C129" s="260">
        <f t="shared" si="4"/>
        <v>0</v>
      </c>
      <c r="D129" s="467">
        <f>VLOOKUP(F129,Справочник!$A$2:$C$415,3,FALSE)</f>
        <v>0</v>
      </c>
      <c r="F129" s="362"/>
      <c r="G129" s="363"/>
      <c r="H129" s="366"/>
      <c r="I129" s="364"/>
      <c r="J129" s="364"/>
      <c r="K129" s="366"/>
      <c r="L129" s="366"/>
      <c r="M129" s="364"/>
    </row>
    <row r="130" spans="1:13">
      <c r="A130" s="467" t="str">
        <f t="shared" si="5"/>
        <v xml:space="preserve"> "АлАс"</v>
      </c>
      <c r="B130" s="260">
        <f t="shared" si="3"/>
        <v>0</v>
      </c>
      <c r="C130" s="260">
        <f t="shared" si="4"/>
        <v>0</v>
      </c>
      <c r="D130" s="467">
        <f>VLOOKUP(F130,Справочник!$A$2:$C$415,3,FALSE)</f>
        <v>0</v>
      </c>
      <c r="F130" s="361"/>
      <c r="G130" s="357"/>
      <c r="H130" s="358"/>
      <c r="I130" s="359"/>
      <c r="J130" s="360"/>
      <c r="K130" s="360"/>
      <c r="L130" s="358"/>
      <c r="M130" s="358"/>
    </row>
    <row r="131" spans="1:13">
      <c r="A131" s="467" t="str">
        <f t="shared" si="5"/>
        <v xml:space="preserve"> "АлАс"</v>
      </c>
      <c r="B131" s="260">
        <f t="shared" si="3"/>
        <v>0</v>
      </c>
      <c r="C131" s="260">
        <f t="shared" si="4"/>
        <v>0</v>
      </c>
      <c r="D131" s="467">
        <f>VLOOKUP(F131,Справочник!$A$2:$C$415,3,FALSE)</f>
        <v>0</v>
      </c>
      <c r="F131" s="362"/>
      <c r="G131" s="363"/>
      <c r="H131" s="366"/>
      <c r="I131" s="365"/>
      <c r="J131" s="364"/>
      <c r="K131" s="364"/>
      <c r="L131" s="366"/>
      <c r="M131" s="366"/>
    </row>
    <row r="132" spans="1:13">
      <c r="A132" s="467" t="str">
        <f t="shared" si="5"/>
        <v xml:space="preserve"> "АлАс"</v>
      </c>
      <c r="B132" s="260">
        <f t="shared" si="3"/>
        <v>0</v>
      </c>
      <c r="C132" s="260">
        <f t="shared" si="4"/>
        <v>0</v>
      </c>
      <c r="D132" s="467">
        <f>VLOOKUP(F132,Справочник!$A$2:$C$415,3,FALSE)</f>
        <v>0</v>
      </c>
      <c r="F132" s="361"/>
      <c r="G132" s="357"/>
      <c r="H132" s="358"/>
      <c r="I132" s="359"/>
      <c r="J132" s="360"/>
      <c r="K132" s="360"/>
      <c r="L132" s="358"/>
      <c r="M132" s="358"/>
    </row>
    <row r="133" spans="1:13">
      <c r="A133" s="467" t="str">
        <f t="shared" si="5"/>
        <v xml:space="preserve"> "АлАс"</v>
      </c>
      <c r="B133" s="260">
        <f t="shared" si="3"/>
        <v>0</v>
      </c>
      <c r="C133" s="260">
        <f t="shared" si="4"/>
        <v>0</v>
      </c>
      <c r="D133" s="467">
        <f>VLOOKUP(F133,Справочник!$A$2:$C$415,3,FALSE)</f>
        <v>0</v>
      </c>
      <c r="F133" s="362"/>
      <c r="G133" s="363"/>
      <c r="H133" s="366"/>
      <c r="I133" s="365"/>
      <c r="J133" s="364"/>
      <c r="K133" s="364"/>
      <c r="L133" s="366"/>
      <c r="M133" s="366"/>
    </row>
    <row r="134" spans="1:13">
      <c r="A134" s="467" t="str">
        <f t="shared" si="5"/>
        <v xml:space="preserve"> "АлАс"</v>
      </c>
      <c r="B134" s="260">
        <f t="shared" si="3"/>
        <v>0</v>
      </c>
      <c r="C134" s="260">
        <f t="shared" si="4"/>
        <v>0</v>
      </c>
      <c r="D134" s="467">
        <f>VLOOKUP(F134,Справочник!$A$2:$C$415,3,FALSE)</f>
        <v>0</v>
      </c>
      <c r="F134" s="362"/>
      <c r="G134" s="363"/>
      <c r="H134" s="366"/>
      <c r="I134" s="365"/>
      <c r="J134" s="364"/>
      <c r="K134" s="364"/>
      <c r="L134" s="366"/>
      <c r="M134" s="366"/>
    </row>
    <row r="135" spans="1:13">
      <c r="A135" s="467" t="str">
        <f t="shared" si="5"/>
        <v xml:space="preserve"> "АлАс"</v>
      </c>
      <c r="B135" s="260">
        <f t="shared" si="3"/>
        <v>0</v>
      </c>
      <c r="C135" s="260">
        <f t="shared" si="4"/>
        <v>0</v>
      </c>
      <c r="D135" s="467">
        <f>VLOOKUP(F135,Справочник!$A$2:$C$415,3,FALSE)</f>
        <v>0</v>
      </c>
      <c r="F135" s="362"/>
      <c r="G135" s="363"/>
      <c r="H135" s="366"/>
      <c r="I135" s="365"/>
      <c r="J135" s="364"/>
      <c r="K135" s="364"/>
      <c r="L135" s="366"/>
      <c r="M135" s="366"/>
    </row>
    <row r="136" spans="1:13">
      <c r="A136" s="467" t="str">
        <f t="shared" si="5"/>
        <v xml:space="preserve"> "АлАс"</v>
      </c>
      <c r="B136" s="260">
        <f t="shared" ref="B136:B171" si="6">IF(ISBLANK(H136)=FALSE,H136,-I136)</f>
        <v>0</v>
      </c>
      <c r="C136" s="260">
        <f t="shared" si="4"/>
        <v>0</v>
      </c>
      <c r="D136" s="467">
        <f>VLOOKUP(F136,Справочник!$A$2:$C$415,3,FALSE)</f>
        <v>0</v>
      </c>
      <c r="F136" s="361"/>
      <c r="G136" s="357"/>
      <c r="H136" s="358"/>
      <c r="I136" s="359"/>
      <c r="J136" s="369"/>
      <c r="K136" s="369"/>
      <c r="L136" s="358"/>
      <c r="M136" s="358"/>
    </row>
    <row r="137" spans="1:13">
      <c r="A137" s="467" t="str">
        <f t="shared" si="5"/>
        <v xml:space="preserve"> "АлАс"</v>
      </c>
      <c r="B137" s="260">
        <f t="shared" si="6"/>
        <v>0</v>
      </c>
      <c r="C137" s="260">
        <f t="shared" si="4"/>
        <v>0</v>
      </c>
      <c r="D137" s="467">
        <f>VLOOKUP(F137,Справочник!$A$2:$C$415,3,FALSE)</f>
        <v>0</v>
      </c>
      <c r="F137" s="362"/>
      <c r="G137" s="363"/>
      <c r="H137" s="366"/>
      <c r="I137" s="365"/>
      <c r="J137" s="367"/>
      <c r="K137" s="367"/>
      <c r="L137" s="366"/>
      <c r="M137" s="366"/>
    </row>
    <row r="138" spans="1:13">
      <c r="A138" s="467" t="str">
        <f t="shared" si="5"/>
        <v xml:space="preserve"> "АлАс"</v>
      </c>
      <c r="B138" s="260">
        <f t="shared" si="6"/>
        <v>0</v>
      </c>
      <c r="C138" s="260">
        <f t="shared" ref="C138:C171" si="7">IF(ISBLANK(L138)=FALSE,L138,-M138)</f>
        <v>0</v>
      </c>
      <c r="D138" s="467">
        <f>VLOOKUP(F138,Справочник!$A$2:$C$415,3,FALSE)</f>
        <v>0</v>
      </c>
      <c r="F138" s="361"/>
      <c r="G138" s="357"/>
      <c r="H138" s="358"/>
      <c r="I138" s="359"/>
      <c r="J138" s="360"/>
      <c r="K138" s="360"/>
      <c r="L138" s="358"/>
      <c r="M138" s="358"/>
    </row>
    <row r="139" spans="1:13">
      <c r="A139" s="467" t="str">
        <f t="shared" ref="A139:A171" si="8">A138</f>
        <v xml:space="preserve"> "АлАс"</v>
      </c>
      <c r="B139" s="260">
        <f t="shared" si="6"/>
        <v>0</v>
      </c>
      <c r="C139" s="260">
        <f t="shared" si="7"/>
        <v>0</v>
      </c>
      <c r="D139" s="467">
        <f>VLOOKUP(F139,Справочник!$A$2:$C$415,3,FALSE)</f>
        <v>0</v>
      </c>
      <c r="F139" s="362"/>
      <c r="G139" s="363"/>
      <c r="H139" s="366"/>
      <c r="I139" s="365"/>
      <c r="J139" s="364"/>
      <c r="K139" s="364"/>
      <c r="L139" s="366"/>
      <c r="M139" s="366"/>
    </row>
    <row r="140" spans="1:13">
      <c r="A140" s="467" t="str">
        <f t="shared" si="8"/>
        <v xml:space="preserve"> "АлАс"</v>
      </c>
      <c r="B140" s="260">
        <f t="shared" si="6"/>
        <v>0</v>
      </c>
      <c r="C140" s="260">
        <f t="shared" si="7"/>
        <v>0</v>
      </c>
      <c r="D140" s="467">
        <f>VLOOKUP(F140,Справочник!$A$2:$C$415,3,FALSE)</f>
        <v>0</v>
      </c>
      <c r="F140" s="362"/>
      <c r="G140" s="363"/>
      <c r="H140" s="366"/>
      <c r="I140" s="365"/>
      <c r="J140" s="364"/>
      <c r="K140" s="364"/>
      <c r="L140" s="366"/>
      <c r="M140" s="366"/>
    </row>
    <row r="141" spans="1:13">
      <c r="A141" s="467" t="str">
        <f t="shared" si="8"/>
        <v xml:space="preserve"> "АлАс"</v>
      </c>
      <c r="B141" s="260">
        <f t="shared" si="6"/>
        <v>0</v>
      </c>
      <c r="C141" s="260">
        <f t="shared" si="7"/>
        <v>0</v>
      </c>
      <c r="D141" s="467">
        <f>VLOOKUP(F141,Справочник!$A$2:$C$415,3,FALSE)</f>
        <v>0</v>
      </c>
      <c r="F141" s="362"/>
      <c r="G141" s="363"/>
      <c r="H141" s="366"/>
      <c r="I141" s="365"/>
      <c r="J141" s="364"/>
      <c r="K141" s="364"/>
      <c r="L141" s="366"/>
      <c r="M141" s="366"/>
    </row>
    <row r="142" spans="1:13">
      <c r="A142" s="467" t="str">
        <f t="shared" si="8"/>
        <v xml:space="preserve"> "АлАс"</v>
      </c>
      <c r="B142" s="260">
        <f t="shared" si="6"/>
        <v>0</v>
      </c>
      <c r="C142" s="260">
        <f t="shared" si="7"/>
        <v>0</v>
      </c>
      <c r="D142" s="467">
        <f>VLOOKUP(F142,Справочник!$A$2:$C$415,3,FALSE)</f>
        <v>0</v>
      </c>
      <c r="F142" s="362"/>
      <c r="G142" s="363"/>
      <c r="H142" s="366"/>
      <c r="I142" s="365"/>
      <c r="J142" s="364"/>
      <c r="K142" s="364"/>
      <c r="L142" s="366"/>
      <c r="M142" s="366"/>
    </row>
    <row r="143" spans="1:13">
      <c r="A143" s="467" t="str">
        <f t="shared" si="8"/>
        <v xml:space="preserve"> "АлАс"</v>
      </c>
      <c r="B143" s="260">
        <f t="shared" si="6"/>
        <v>0</v>
      </c>
      <c r="C143" s="260">
        <f t="shared" si="7"/>
        <v>0</v>
      </c>
      <c r="D143" s="467">
        <f>VLOOKUP(F143,Справочник!$A$2:$C$415,3,FALSE)</f>
        <v>0</v>
      </c>
      <c r="F143" s="362"/>
      <c r="G143" s="363"/>
      <c r="H143" s="366"/>
      <c r="I143" s="365"/>
      <c r="J143" s="364"/>
      <c r="K143" s="364"/>
      <c r="L143" s="366"/>
      <c r="M143" s="366"/>
    </row>
    <row r="144" spans="1:13">
      <c r="A144" s="467" t="str">
        <f t="shared" si="8"/>
        <v xml:space="preserve"> "АлАс"</v>
      </c>
      <c r="B144" s="260">
        <f t="shared" si="6"/>
        <v>0</v>
      </c>
      <c r="C144" s="260">
        <f t="shared" si="7"/>
        <v>0</v>
      </c>
      <c r="D144" s="467">
        <f>VLOOKUP(F144,Справочник!$A$2:$C$415,3,FALSE)</f>
        <v>0</v>
      </c>
      <c r="F144" s="362"/>
      <c r="G144" s="363"/>
      <c r="H144" s="366"/>
      <c r="I144" s="365"/>
      <c r="J144" s="364"/>
      <c r="K144" s="364"/>
      <c r="L144" s="366"/>
      <c r="M144" s="366"/>
    </row>
    <row r="145" spans="1:13">
      <c r="A145" s="467" t="str">
        <f t="shared" si="8"/>
        <v xml:space="preserve"> "АлАс"</v>
      </c>
      <c r="B145" s="260">
        <f t="shared" si="6"/>
        <v>0</v>
      </c>
      <c r="C145" s="260">
        <f t="shared" si="7"/>
        <v>0</v>
      </c>
      <c r="D145" s="467">
        <f>VLOOKUP(F145,Справочник!$A$2:$C$415,3,FALSE)</f>
        <v>0</v>
      </c>
      <c r="F145" s="361"/>
      <c r="G145" s="357"/>
      <c r="H145" s="358"/>
      <c r="I145" s="359"/>
      <c r="J145" s="360"/>
      <c r="K145" s="360"/>
      <c r="L145" s="369"/>
      <c r="M145" s="358"/>
    </row>
    <row r="146" spans="1:13">
      <c r="A146" s="467" t="str">
        <f t="shared" si="8"/>
        <v xml:space="preserve"> "АлАс"</v>
      </c>
      <c r="B146" s="260">
        <f t="shared" si="6"/>
        <v>0</v>
      </c>
      <c r="C146" s="260">
        <f t="shared" si="7"/>
        <v>0</v>
      </c>
      <c r="D146" s="467">
        <f>VLOOKUP(F146,Справочник!$A$2:$C$415,3,FALSE)</f>
        <v>0</v>
      </c>
      <c r="F146" s="361"/>
      <c r="G146" s="357"/>
      <c r="H146" s="358"/>
      <c r="I146" s="359"/>
      <c r="J146" s="369"/>
      <c r="K146" s="369"/>
      <c r="L146" s="358"/>
      <c r="M146" s="358"/>
    </row>
    <row r="147" spans="1:13">
      <c r="A147" s="467" t="str">
        <f t="shared" si="8"/>
        <v xml:space="preserve"> "АлАс"</v>
      </c>
      <c r="B147" s="260">
        <f t="shared" si="6"/>
        <v>0</v>
      </c>
      <c r="C147" s="260">
        <f t="shared" si="7"/>
        <v>0</v>
      </c>
      <c r="D147" s="467">
        <f>VLOOKUP(F147,Справочник!$A$2:$C$415,3,FALSE)</f>
        <v>0</v>
      </c>
      <c r="F147" s="362"/>
      <c r="G147" s="363"/>
      <c r="H147" s="366"/>
      <c r="I147" s="365"/>
      <c r="J147" s="364"/>
      <c r="K147" s="364"/>
      <c r="L147" s="366"/>
      <c r="M147" s="366"/>
    </row>
    <row r="148" spans="1:13">
      <c r="A148" s="467" t="str">
        <f t="shared" si="8"/>
        <v xml:space="preserve"> "АлАс"</v>
      </c>
      <c r="B148" s="260">
        <f t="shared" si="6"/>
        <v>0</v>
      </c>
      <c r="C148" s="260">
        <f t="shared" si="7"/>
        <v>0</v>
      </c>
      <c r="D148" s="467">
        <f>VLOOKUP(F148,Справочник!$A$2:$C$415,3,FALSE)</f>
        <v>0</v>
      </c>
      <c r="F148" s="362"/>
      <c r="G148" s="363"/>
      <c r="H148" s="366"/>
      <c r="I148" s="365"/>
      <c r="J148" s="364"/>
      <c r="K148" s="364"/>
      <c r="L148" s="367"/>
      <c r="M148" s="366"/>
    </row>
    <row r="149" spans="1:13">
      <c r="A149" s="467" t="str">
        <f t="shared" si="8"/>
        <v xml:space="preserve"> "АлАс"</v>
      </c>
      <c r="B149" s="260">
        <f t="shared" si="6"/>
        <v>0</v>
      </c>
      <c r="C149" s="260">
        <f t="shared" si="7"/>
        <v>0</v>
      </c>
      <c r="D149" s="467">
        <f>VLOOKUP(F149,Справочник!$A$2:$C$415,3,FALSE)</f>
        <v>0</v>
      </c>
      <c r="F149" s="362"/>
      <c r="G149" s="363"/>
      <c r="H149" s="366"/>
      <c r="I149" s="365"/>
      <c r="J149" s="364"/>
      <c r="K149" s="364"/>
      <c r="L149" s="366"/>
      <c r="M149" s="366"/>
    </row>
    <row r="150" spans="1:13">
      <c r="A150" s="467" t="str">
        <f t="shared" si="8"/>
        <v xml:space="preserve"> "АлАс"</v>
      </c>
      <c r="B150" s="260">
        <f t="shared" si="6"/>
        <v>0</v>
      </c>
      <c r="C150" s="260">
        <f t="shared" si="7"/>
        <v>0</v>
      </c>
      <c r="D150" s="467">
        <f>VLOOKUP(F150,Справочник!$A$2:$C$415,3,FALSE)</f>
        <v>0</v>
      </c>
      <c r="F150" s="362"/>
      <c r="G150" s="363"/>
      <c r="H150" s="366"/>
      <c r="I150" s="365"/>
      <c r="J150" s="364"/>
      <c r="K150" s="364"/>
      <c r="L150" s="366"/>
      <c r="M150" s="366"/>
    </row>
    <row r="151" spans="1:13">
      <c r="A151" s="467" t="str">
        <f t="shared" si="8"/>
        <v xml:space="preserve"> "АлАс"</v>
      </c>
      <c r="B151" s="260">
        <f t="shared" si="6"/>
        <v>0</v>
      </c>
      <c r="C151" s="260">
        <f t="shared" si="7"/>
        <v>0</v>
      </c>
      <c r="D151" s="467">
        <f>VLOOKUP(F151,Справочник!$A$2:$C$415,3,FALSE)</f>
        <v>0</v>
      </c>
      <c r="F151" s="361"/>
      <c r="G151" s="357"/>
      <c r="H151" s="358"/>
      <c r="I151" s="359"/>
      <c r="J151" s="360"/>
      <c r="K151" s="360"/>
      <c r="L151" s="358"/>
      <c r="M151" s="358"/>
    </row>
    <row r="152" spans="1:13">
      <c r="A152" s="467" t="str">
        <f t="shared" si="8"/>
        <v xml:space="preserve"> "АлАс"</v>
      </c>
      <c r="B152" s="260">
        <f t="shared" si="6"/>
        <v>0</v>
      </c>
      <c r="C152" s="260">
        <f t="shared" si="7"/>
        <v>0</v>
      </c>
      <c r="D152" s="467">
        <f>VLOOKUP(F152,Справочник!$A$2:$C$415,3,FALSE)</f>
        <v>0</v>
      </c>
      <c r="F152" s="362"/>
      <c r="G152" s="363"/>
      <c r="H152" s="366"/>
      <c r="I152" s="365"/>
      <c r="J152" s="364"/>
      <c r="K152" s="364"/>
      <c r="L152" s="366"/>
      <c r="M152" s="366"/>
    </row>
    <row r="153" spans="1:13">
      <c r="A153" s="467" t="str">
        <f t="shared" si="8"/>
        <v xml:space="preserve"> "АлАс"</v>
      </c>
      <c r="B153" s="260">
        <f t="shared" si="6"/>
        <v>0</v>
      </c>
      <c r="C153" s="260">
        <f t="shared" si="7"/>
        <v>0</v>
      </c>
      <c r="D153" s="467">
        <f>VLOOKUP(F153,Справочник!$A$2:$C$415,3,FALSE)</f>
        <v>0</v>
      </c>
      <c r="F153" s="362"/>
      <c r="G153" s="363"/>
      <c r="H153" s="366"/>
      <c r="I153" s="365"/>
      <c r="J153" s="364"/>
      <c r="K153" s="364"/>
      <c r="L153" s="366"/>
      <c r="M153" s="366"/>
    </row>
    <row r="154" spans="1:13">
      <c r="A154" s="467" t="str">
        <f t="shared" si="8"/>
        <v xml:space="preserve"> "АлАс"</v>
      </c>
      <c r="B154" s="260">
        <f t="shared" si="6"/>
        <v>0</v>
      </c>
      <c r="C154" s="260">
        <f t="shared" si="7"/>
        <v>0</v>
      </c>
      <c r="D154" s="467">
        <f>VLOOKUP(F154,Справочник!$A$2:$C$415,3,FALSE)</f>
        <v>0</v>
      </c>
      <c r="F154" s="361"/>
      <c r="G154" s="357"/>
      <c r="H154" s="358"/>
      <c r="I154" s="359"/>
      <c r="J154" s="360"/>
      <c r="K154" s="360"/>
      <c r="L154" s="358"/>
      <c r="M154" s="358"/>
    </row>
    <row r="155" spans="1:13">
      <c r="A155" s="467" t="str">
        <f t="shared" si="8"/>
        <v xml:space="preserve"> "АлАс"</v>
      </c>
      <c r="B155" s="260">
        <f t="shared" si="6"/>
        <v>0</v>
      </c>
      <c r="C155" s="260">
        <f t="shared" si="7"/>
        <v>0</v>
      </c>
      <c r="D155" s="467">
        <f>VLOOKUP(F155,Справочник!$A$2:$C$415,3,FALSE)</f>
        <v>0</v>
      </c>
      <c r="F155" s="362"/>
      <c r="G155" s="363"/>
      <c r="H155" s="366"/>
      <c r="I155" s="365"/>
      <c r="J155" s="364"/>
      <c r="K155" s="364"/>
      <c r="L155" s="366"/>
      <c r="M155" s="366"/>
    </row>
    <row r="156" spans="1:13">
      <c r="A156" s="467" t="str">
        <f t="shared" si="8"/>
        <v xml:space="preserve"> "АлАс"</v>
      </c>
      <c r="B156" s="260">
        <f t="shared" si="6"/>
        <v>0</v>
      </c>
      <c r="C156" s="260">
        <f t="shared" si="7"/>
        <v>0</v>
      </c>
      <c r="D156" s="467">
        <f>VLOOKUP(F156,Справочник!$A$2:$C$415,3,FALSE)</f>
        <v>0</v>
      </c>
      <c r="F156" s="362"/>
      <c r="G156" s="363"/>
      <c r="H156" s="366"/>
      <c r="I156" s="365"/>
      <c r="J156" s="364"/>
      <c r="K156" s="364"/>
      <c r="L156" s="366"/>
      <c r="M156" s="366"/>
    </row>
    <row r="157" spans="1:13">
      <c r="A157" s="467" t="str">
        <f t="shared" si="8"/>
        <v xml:space="preserve"> "АлАс"</v>
      </c>
      <c r="B157" s="260">
        <f t="shared" si="6"/>
        <v>0</v>
      </c>
      <c r="C157" s="260">
        <f t="shared" si="7"/>
        <v>0</v>
      </c>
      <c r="D157" s="467">
        <f>VLOOKUP(F157,Справочник!$A$2:$C$415,3,FALSE)</f>
        <v>0</v>
      </c>
      <c r="F157" s="361"/>
      <c r="G157" s="357"/>
      <c r="H157" s="358"/>
      <c r="I157" s="359"/>
      <c r="J157" s="360"/>
      <c r="K157" s="360"/>
      <c r="L157" s="358"/>
      <c r="M157" s="358"/>
    </row>
    <row r="158" spans="1:13">
      <c r="A158" s="467" t="str">
        <f t="shared" si="8"/>
        <v xml:space="preserve"> "АлАс"</v>
      </c>
      <c r="B158" s="260">
        <f t="shared" si="6"/>
        <v>0</v>
      </c>
      <c r="C158" s="260">
        <f t="shared" si="7"/>
        <v>0</v>
      </c>
      <c r="D158" s="467">
        <f>VLOOKUP(F158,Справочник!$A$2:$C$415,3,FALSE)</f>
        <v>0</v>
      </c>
      <c r="F158" s="362"/>
      <c r="G158" s="363"/>
      <c r="H158" s="366"/>
      <c r="I158" s="365"/>
      <c r="J158" s="364"/>
      <c r="K158" s="364"/>
      <c r="L158" s="366"/>
      <c r="M158" s="366"/>
    </row>
    <row r="159" spans="1:13">
      <c r="A159" s="467" t="str">
        <f t="shared" si="8"/>
        <v xml:space="preserve"> "АлАс"</v>
      </c>
      <c r="B159" s="260">
        <f t="shared" si="6"/>
        <v>0</v>
      </c>
      <c r="C159" s="260">
        <f t="shared" si="7"/>
        <v>0</v>
      </c>
      <c r="D159" s="467">
        <f>VLOOKUP(F159,Справочник!$A$2:$C$415,3,FALSE)</f>
        <v>0</v>
      </c>
      <c r="F159" s="362"/>
      <c r="G159" s="363"/>
      <c r="H159" s="366"/>
      <c r="I159" s="365"/>
      <c r="J159" s="364"/>
      <c r="K159" s="364"/>
      <c r="L159" s="366"/>
      <c r="M159" s="366"/>
    </row>
    <row r="160" spans="1:13">
      <c r="A160" s="467" t="str">
        <f t="shared" si="8"/>
        <v xml:space="preserve"> "АлАс"</v>
      </c>
      <c r="B160" s="260">
        <f t="shared" si="6"/>
        <v>0</v>
      </c>
      <c r="C160" s="260">
        <f t="shared" si="7"/>
        <v>0</v>
      </c>
      <c r="D160" s="467">
        <f>VLOOKUP(F160,Справочник!$A$2:$C$415,3,FALSE)</f>
        <v>0</v>
      </c>
      <c r="F160" s="362"/>
      <c r="G160" s="363"/>
      <c r="H160" s="366"/>
      <c r="I160" s="365"/>
      <c r="J160" s="364"/>
      <c r="K160" s="364"/>
      <c r="L160" s="366"/>
      <c r="M160" s="366"/>
    </row>
    <row r="161" spans="1:13">
      <c r="A161" s="467" t="str">
        <f t="shared" si="8"/>
        <v xml:space="preserve"> "АлАс"</v>
      </c>
      <c r="B161" s="260">
        <f t="shared" si="6"/>
        <v>0</v>
      </c>
      <c r="C161" s="260">
        <f t="shared" si="7"/>
        <v>0</v>
      </c>
      <c r="D161" s="467">
        <f>VLOOKUP(F161,Справочник!$A$2:$C$415,3,FALSE)</f>
        <v>0</v>
      </c>
      <c r="F161" s="361"/>
      <c r="G161" s="357"/>
      <c r="H161" s="358"/>
      <c r="I161" s="359"/>
      <c r="J161" s="360"/>
      <c r="K161" s="360"/>
      <c r="L161" s="358"/>
      <c r="M161" s="358"/>
    </row>
    <row r="162" spans="1:13">
      <c r="A162" s="467" t="str">
        <f t="shared" si="8"/>
        <v xml:space="preserve"> "АлАс"</v>
      </c>
      <c r="B162" s="260">
        <f t="shared" si="6"/>
        <v>0</v>
      </c>
      <c r="C162" s="260">
        <f t="shared" si="7"/>
        <v>0</v>
      </c>
      <c r="D162" s="467">
        <f>VLOOKUP(F162,Справочник!$A$2:$C$415,3,FALSE)</f>
        <v>0</v>
      </c>
      <c r="F162" s="362"/>
      <c r="G162" s="363"/>
      <c r="H162" s="366"/>
      <c r="I162" s="365"/>
      <c r="J162" s="364"/>
      <c r="K162" s="364"/>
      <c r="L162" s="366"/>
      <c r="M162" s="366"/>
    </row>
    <row r="163" spans="1:13">
      <c r="A163" s="467" t="str">
        <f t="shared" si="8"/>
        <v xml:space="preserve"> "АлАс"</v>
      </c>
      <c r="B163" s="260">
        <f t="shared" si="6"/>
        <v>0</v>
      </c>
      <c r="C163" s="260">
        <f t="shared" si="7"/>
        <v>0</v>
      </c>
      <c r="D163" s="467">
        <f>VLOOKUP(F163,Справочник!$A$2:$C$415,3,FALSE)</f>
        <v>0</v>
      </c>
      <c r="F163" s="362"/>
      <c r="G163" s="363"/>
      <c r="H163" s="366"/>
      <c r="I163" s="365"/>
      <c r="J163" s="364"/>
      <c r="K163" s="364"/>
      <c r="L163" s="366"/>
      <c r="M163" s="366"/>
    </row>
    <row r="164" spans="1:13">
      <c r="A164" s="467" t="str">
        <f t="shared" si="8"/>
        <v xml:space="preserve"> "АлАс"</v>
      </c>
      <c r="B164" s="260">
        <f t="shared" si="6"/>
        <v>0</v>
      </c>
      <c r="C164" s="260">
        <f t="shared" si="7"/>
        <v>0</v>
      </c>
      <c r="D164" s="467">
        <f>VLOOKUP(F164,Справочник!$A$2:$C$415,3,FALSE)</f>
        <v>0</v>
      </c>
      <c r="F164" s="362"/>
      <c r="G164" s="363"/>
      <c r="H164" s="366"/>
      <c r="I164" s="365"/>
      <c r="J164" s="364"/>
      <c r="K164" s="364"/>
      <c r="L164" s="366"/>
      <c r="M164" s="366"/>
    </row>
    <row r="165" spans="1:13">
      <c r="A165" s="467" t="str">
        <f t="shared" si="8"/>
        <v xml:space="preserve"> "АлАс"</v>
      </c>
      <c r="B165" s="260">
        <f t="shared" si="6"/>
        <v>0</v>
      </c>
      <c r="C165" s="260">
        <f t="shared" si="7"/>
        <v>0</v>
      </c>
      <c r="D165" s="467">
        <f>VLOOKUP(F165,Справочник!$A$2:$C$415,3,FALSE)</f>
        <v>0</v>
      </c>
      <c r="F165" s="362"/>
      <c r="G165" s="363"/>
      <c r="H165" s="366"/>
      <c r="I165" s="365"/>
      <c r="J165" s="364"/>
      <c r="K165" s="364"/>
      <c r="L165" s="366"/>
      <c r="M165" s="366"/>
    </row>
    <row r="166" spans="1:13">
      <c r="A166" s="467" t="str">
        <f t="shared" si="8"/>
        <v xml:space="preserve"> "АлАс"</v>
      </c>
      <c r="B166" s="260">
        <f t="shared" si="6"/>
        <v>0</v>
      </c>
      <c r="C166" s="260">
        <f t="shared" si="7"/>
        <v>0</v>
      </c>
      <c r="D166" s="467">
        <f>VLOOKUP(F166,Справочник!$A$2:$C$415,3,FALSE)</f>
        <v>0</v>
      </c>
      <c r="F166" s="362"/>
      <c r="G166" s="363"/>
      <c r="H166" s="366"/>
      <c r="I166" s="365"/>
      <c r="J166" s="364"/>
      <c r="K166" s="364"/>
      <c r="L166" s="366"/>
      <c r="M166" s="366"/>
    </row>
    <row r="167" spans="1:13">
      <c r="A167" s="467" t="str">
        <f t="shared" si="8"/>
        <v xml:space="preserve"> "АлАс"</v>
      </c>
      <c r="B167" s="260">
        <f t="shared" si="6"/>
        <v>0</v>
      </c>
      <c r="C167" s="260">
        <f t="shared" si="7"/>
        <v>0</v>
      </c>
      <c r="D167" s="467">
        <f>VLOOKUP(F167,Справочник!$A$2:$C$415,3,FALSE)</f>
        <v>0</v>
      </c>
      <c r="F167" s="361"/>
      <c r="G167" s="357"/>
      <c r="H167" s="358"/>
      <c r="I167" s="359"/>
      <c r="J167" s="360"/>
      <c r="K167" s="360"/>
      <c r="L167" s="358"/>
      <c r="M167" s="358"/>
    </row>
    <row r="168" spans="1:13">
      <c r="A168" s="467" t="str">
        <f t="shared" si="8"/>
        <v xml:space="preserve"> "АлАс"</v>
      </c>
      <c r="B168" s="260">
        <f t="shared" si="6"/>
        <v>0</v>
      </c>
      <c r="C168" s="260">
        <f t="shared" si="7"/>
        <v>0</v>
      </c>
      <c r="D168" s="467">
        <f>VLOOKUP(F168,Справочник!$A$2:$C$415,3,FALSE)</f>
        <v>0</v>
      </c>
      <c r="F168" s="362"/>
      <c r="G168" s="363"/>
      <c r="H168" s="366"/>
      <c r="I168" s="365"/>
      <c r="J168" s="364"/>
      <c r="K168" s="364"/>
      <c r="L168" s="366"/>
      <c r="M168" s="366"/>
    </row>
    <row r="169" spans="1:13">
      <c r="A169" s="467" t="str">
        <f t="shared" si="8"/>
        <v xml:space="preserve"> "АлАс"</v>
      </c>
      <c r="B169" s="260">
        <f t="shared" si="6"/>
        <v>0</v>
      </c>
      <c r="C169" s="260">
        <f t="shared" si="7"/>
        <v>0</v>
      </c>
      <c r="D169" s="467">
        <f>VLOOKUP(F169,Справочник!$A$2:$C$415,3,FALSE)</f>
        <v>0</v>
      </c>
      <c r="F169" s="361"/>
      <c r="G169" s="357"/>
      <c r="H169" s="358"/>
      <c r="I169" s="359"/>
      <c r="J169" s="360"/>
      <c r="K169" s="360"/>
      <c r="L169" s="358"/>
      <c r="M169" s="358"/>
    </row>
    <row r="170" spans="1:13">
      <c r="A170" s="467" t="str">
        <f t="shared" si="8"/>
        <v xml:space="preserve"> "АлАс"</v>
      </c>
      <c r="B170" s="260">
        <f t="shared" si="6"/>
        <v>0</v>
      </c>
      <c r="C170" s="260">
        <f t="shared" si="7"/>
        <v>0</v>
      </c>
      <c r="D170" s="467">
        <f>VLOOKUP(F170,Справочник!$A$2:$C$415,3,FALSE)</f>
        <v>0</v>
      </c>
      <c r="F170" s="362"/>
      <c r="G170" s="363"/>
      <c r="H170" s="366"/>
      <c r="I170" s="365"/>
      <c r="J170" s="364"/>
      <c r="K170" s="364"/>
      <c r="L170" s="366"/>
      <c r="M170" s="366"/>
    </row>
    <row r="171" spans="1:13">
      <c r="A171" s="467" t="str">
        <f t="shared" si="8"/>
        <v xml:space="preserve"> "АлАс"</v>
      </c>
      <c r="B171" s="260">
        <f t="shared" si="6"/>
        <v>0</v>
      </c>
      <c r="C171" s="260">
        <f t="shared" si="7"/>
        <v>0</v>
      </c>
      <c r="D171" s="467">
        <f>VLOOKUP(F171,Справочник!$A$2:$C$415,3,FALSE)</f>
        <v>0</v>
      </c>
      <c r="F171" s="353"/>
      <c r="G171" s="353"/>
      <c r="H171" s="370"/>
      <c r="I171" s="370"/>
      <c r="J171" s="370"/>
      <c r="K171" s="370"/>
      <c r="L171" s="370"/>
      <c r="M171" s="370"/>
    </row>
    <row r="172" spans="1:13">
      <c r="F172" s="352"/>
      <c r="G172" s="352"/>
      <c r="H172" s="352"/>
      <c r="I172" s="352"/>
      <c r="J172" s="352"/>
      <c r="K172" s="352"/>
      <c r="L172" s="352"/>
      <c r="M172" s="352"/>
    </row>
    <row r="173" spans="1:13">
      <c r="F173" s="351"/>
      <c r="G173" s="351"/>
      <c r="H173" s="351"/>
      <c r="I173" s="351"/>
      <c r="J173" s="351"/>
      <c r="K173" s="351"/>
      <c r="L173" s="351"/>
      <c r="M173" s="351"/>
    </row>
    <row r="174" spans="1:13">
      <c r="F174" s="354"/>
      <c r="G174" s="354"/>
      <c r="H174" s="355"/>
      <c r="I174" s="355"/>
      <c r="J174" s="352"/>
      <c r="K174" s="352"/>
      <c r="L174" s="352"/>
      <c r="M174" s="352"/>
    </row>
    <row r="175" spans="1:13">
      <c r="F175" s="352"/>
      <c r="G175" s="352"/>
      <c r="H175" s="356"/>
      <c r="I175" s="356"/>
      <c r="J175" s="352"/>
      <c r="K175" s="352"/>
      <c r="L175" s="352"/>
      <c r="M175" s="352"/>
    </row>
    <row r="176" spans="1:13">
      <c r="F176" s="351"/>
      <c r="G176" s="351"/>
      <c r="H176" s="351"/>
      <c r="I176" s="351"/>
      <c r="J176" s="351"/>
      <c r="K176" s="351"/>
      <c r="L176" s="351"/>
      <c r="M176" s="351"/>
    </row>
  </sheetData>
  <mergeCells count="12">
    <mergeCell ref="J6:K6"/>
    <mergeCell ref="L6:M6"/>
    <mergeCell ref="F73:G73"/>
    <mergeCell ref="F102:G102"/>
    <mergeCell ref="F111:G111"/>
    <mergeCell ref="F56:G56"/>
    <mergeCell ref="H6:I6"/>
    <mergeCell ref="B2:C2"/>
    <mergeCell ref="B3:C3"/>
    <mergeCell ref="B4:C4"/>
    <mergeCell ref="F6:F7"/>
    <mergeCell ref="G6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6"/>
  <sheetViews>
    <sheetView topLeftCell="E67" workbookViewId="0">
      <selection activeCell="I85" sqref="I85"/>
    </sheetView>
  </sheetViews>
  <sheetFormatPr defaultRowHeight="15" outlineLevelCol="1"/>
  <cols>
    <col min="1" max="1" width="26.42578125" style="467" customWidth="1" outlineLevel="1"/>
    <col min="2" max="2" width="23.85546875" style="138" customWidth="1" outlineLevel="1"/>
    <col min="3" max="3" width="22.85546875" style="138" customWidth="1" outlineLevel="1"/>
    <col min="4" max="5" width="9.140625" style="467" customWidth="1" outlineLevel="1"/>
    <col min="6" max="6" width="10.5703125" style="137" customWidth="1"/>
    <col min="7" max="7" width="53.140625" style="137" customWidth="1"/>
    <col min="8" max="8" width="15.85546875" style="137" bestFit="1" customWidth="1"/>
    <col min="9" max="9" width="16.42578125" style="137" bestFit="1" customWidth="1"/>
    <col min="10" max="12" width="15.85546875" style="137" bestFit="1" customWidth="1"/>
    <col min="13" max="13" width="16.42578125" style="137" bestFit="1" customWidth="1"/>
    <col min="14" max="16384" width="9.140625" style="467"/>
  </cols>
  <sheetData>
    <row r="1" spans="1:13">
      <c r="F1" s="371"/>
      <c r="G1" s="343"/>
      <c r="H1" s="343"/>
      <c r="I1" s="343"/>
      <c r="J1" s="343"/>
      <c r="K1" s="343"/>
      <c r="L1" s="343"/>
      <c r="M1" s="343"/>
    </row>
    <row r="2" spans="1:13" ht="15.75">
      <c r="B2" s="672"/>
      <c r="C2" s="672"/>
      <c r="F2" s="481" t="s">
        <v>737</v>
      </c>
      <c r="G2" s="482"/>
      <c r="H2" s="347"/>
      <c r="I2" s="347"/>
      <c r="J2" s="347"/>
      <c r="K2" s="347"/>
      <c r="L2" s="347"/>
      <c r="M2" s="347"/>
    </row>
    <row r="3" spans="1:13">
      <c r="B3" s="673"/>
      <c r="C3" s="673"/>
      <c r="F3" s="348"/>
      <c r="G3" s="348"/>
      <c r="H3" s="348"/>
      <c r="I3" s="348"/>
      <c r="J3" s="348"/>
      <c r="K3" s="348"/>
      <c r="L3" s="348"/>
      <c r="M3" s="348"/>
    </row>
    <row r="4" spans="1:13">
      <c r="B4" s="674"/>
      <c r="C4" s="674"/>
      <c r="F4" s="349" t="s">
        <v>359</v>
      </c>
      <c r="G4" s="349"/>
      <c r="H4" s="349"/>
      <c r="I4" s="349"/>
      <c r="J4" s="349"/>
      <c r="K4" s="349"/>
      <c r="L4" s="349"/>
      <c r="M4" s="349"/>
    </row>
    <row r="5" spans="1:13" ht="15.75" thickBot="1">
      <c r="B5" s="257"/>
      <c r="C5" s="257"/>
      <c r="F5" s="343"/>
      <c r="G5" s="343"/>
      <c r="H5" s="343"/>
      <c r="I5" s="343"/>
      <c r="J5" s="343"/>
      <c r="K5" s="343"/>
      <c r="L5" s="343"/>
      <c r="M5" s="343"/>
    </row>
    <row r="6" spans="1:13">
      <c r="B6" s="313" t="s">
        <v>361</v>
      </c>
      <c r="C6" s="314" t="s">
        <v>363</v>
      </c>
      <c r="F6" s="677" t="s">
        <v>360</v>
      </c>
      <c r="G6" s="675" t="s">
        <v>78</v>
      </c>
      <c r="H6" s="675" t="s">
        <v>361</v>
      </c>
      <c r="I6" s="675"/>
      <c r="J6" s="675" t="s">
        <v>367</v>
      </c>
      <c r="K6" s="675"/>
      <c r="L6" s="675" t="s">
        <v>363</v>
      </c>
      <c r="M6" s="675"/>
    </row>
    <row r="7" spans="1:13" ht="15.75" thickBot="1">
      <c r="B7" s="258" t="s">
        <v>364</v>
      </c>
      <c r="C7" s="259" t="s">
        <v>364</v>
      </c>
      <c r="F7" s="677"/>
      <c r="G7" s="675"/>
      <c r="H7" s="468" t="s">
        <v>364</v>
      </c>
      <c r="I7" s="468" t="s">
        <v>365</v>
      </c>
      <c r="J7" s="468" t="s">
        <v>364</v>
      </c>
      <c r="K7" s="468" t="s">
        <v>365</v>
      </c>
      <c r="L7" s="468" t="s">
        <v>364</v>
      </c>
      <c r="M7" s="468" t="s">
        <v>365</v>
      </c>
    </row>
    <row r="8" spans="1:13">
      <c r="A8" s="316" t="s">
        <v>754</v>
      </c>
      <c r="B8" s="260">
        <f t="shared" ref="B8:B71" si="0">IF(ISBLANK(H8)=FALSE,H8,-I8)</f>
        <v>233522026.41999999</v>
      </c>
      <c r="C8" s="260">
        <f>IF(ISBLANK(L8)=FALSE,L8,-M8)</f>
        <v>15851990.34</v>
      </c>
      <c r="F8" s="508">
        <v>1000</v>
      </c>
      <c r="G8" s="509" t="s">
        <v>72</v>
      </c>
      <c r="H8" s="510">
        <v>233522026.41999999</v>
      </c>
      <c r="I8" s="511"/>
      <c r="J8" s="510">
        <v>3884097016.8000002</v>
      </c>
      <c r="K8" s="510">
        <v>4101767052.8800001</v>
      </c>
      <c r="L8" s="510">
        <v>15851990.34</v>
      </c>
      <c r="M8" s="511"/>
    </row>
    <row r="9" spans="1:13">
      <c r="A9" s="467" t="str">
        <f>A8</f>
        <v xml:space="preserve"> "РЕСТ Ко"</v>
      </c>
      <c r="B9" s="260">
        <f t="shared" si="0"/>
        <v>227340039.72</v>
      </c>
      <c r="C9" s="260">
        <f>IF(ISBLANK(L9)=FALSE,L9,-M9)</f>
        <v>6749747.0599999996</v>
      </c>
      <c r="D9" s="467" t="str">
        <f>VLOOKUP(F9,Справочник!$A$2:$C$415,3,FALSE)</f>
        <v>Денежные средства и их эквиваленты</v>
      </c>
      <c r="F9" s="512">
        <v>1010</v>
      </c>
      <c r="G9" s="513" t="s">
        <v>80</v>
      </c>
      <c r="H9" s="514">
        <v>227340039.72</v>
      </c>
      <c r="I9" s="515"/>
      <c r="J9" s="514">
        <v>1560048251.0799999</v>
      </c>
      <c r="K9" s="514">
        <v>1780638543.74</v>
      </c>
      <c r="L9" s="514">
        <v>6749747.0599999996</v>
      </c>
      <c r="M9" s="515"/>
    </row>
    <row r="10" spans="1:13">
      <c r="A10" s="467" t="str">
        <f>A9</f>
        <v xml:space="preserve"> "РЕСТ Ко"</v>
      </c>
      <c r="B10" s="260">
        <f t="shared" si="0"/>
        <v>0</v>
      </c>
      <c r="C10" s="260">
        <f t="shared" ref="C10:C73" si="1">IF(ISBLANK(L10)=FALSE,L10,-M10)</f>
        <v>0</v>
      </c>
      <c r="D10" s="467">
        <f>VLOOKUP(F10,Справочник!$A$2:$C$415,3,FALSE)</f>
        <v>0</v>
      </c>
      <c r="F10" s="516">
        <v>1020</v>
      </c>
      <c r="G10" s="517" t="s">
        <v>81</v>
      </c>
      <c r="H10" s="518"/>
      <c r="I10" s="518"/>
      <c r="J10" s="519">
        <v>708592319.88999999</v>
      </c>
      <c r="K10" s="519">
        <v>708592319.88999999</v>
      </c>
      <c r="L10" s="518"/>
      <c r="M10" s="518"/>
    </row>
    <row r="11" spans="1:13">
      <c r="A11" s="467" t="str">
        <f t="shared" ref="A11:A74" si="2">A10</f>
        <v xml:space="preserve"> "РЕСТ Ко"</v>
      </c>
      <c r="B11" s="260">
        <f t="shared" si="0"/>
        <v>0</v>
      </c>
      <c r="C11" s="260">
        <f t="shared" si="1"/>
        <v>0</v>
      </c>
      <c r="D11" s="467" t="str">
        <f>VLOOKUP(F11,Справочник!$A$2:$C$415,3,FALSE)</f>
        <v>Денежные средства и их эквиваленты</v>
      </c>
      <c r="F11" s="520">
        <v>1021</v>
      </c>
      <c r="G11" s="513" t="s">
        <v>81</v>
      </c>
      <c r="H11" s="515"/>
      <c r="I11" s="515"/>
      <c r="J11" s="514">
        <v>707390944.69000006</v>
      </c>
      <c r="K11" s="514">
        <v>707390944.69000006</v>
      </c>
      <c r="L11" s="515"/>
      <c r="M11" s="515"/>
    </row>
    <row r="12" spans="1:13">
      <c r="A12" s="467" t="str">
        <f t="shared" si="2"/>
        <v xml:space="preserve"> "РЕСТ Ко"</v>
      </c>
      <c r="B12" s="260">
        <f t="shared" si="0"/>
        <v>0</v>
      </c>
      <c r="C12" s="260">
        <f t="shared" si="1"/>
        <v>0</v>
      </c>
      <c r="D12" s="467" t="str">
        <f>VLOOKUP(F12,Справочник!$A$2:$C$415,3,FALSE)</f>
        <v>Денежные средства и их эквиваленты</v>
      </c>
      <c r="F12" s="520">
        <v>1022</v>
      </c>
      <c r="G12" s="513" t="s">
        <v>82</v>
      </c>
      <c r="H12" s="515"/>
      <c r="I12" s="515"/>
      <c r="J12" s="514">
        <v>1201375.2</v>
      </c>
      <c r="K12" s="514">
        <v>1201375.2</v>
      </c>
      <c r="L12" s="515"/>
      <c r="M12" s="515"/>
    </row>
    <row r="13" spans="1:13">
      <c r="A13" s="467" t="str">
        <f t="shared" si="2"/>
        <v xml:space="preserve"> "РЕСТ Ко"</v>
      </c>
      <c r="B13" s="260">
        <f t="shared" si="0"/>
        <v>4347730.2699999996</v>
      </c>
      <c r="C13" s="260">
        <f t="shared" si="1"/>
        <v>7140092.8499999996</v>
      </c>
      <c r="D13" s="467" t="str">
        <f>VLOOKUP(F13,Справочник!$A$2:$C$415,3,FALSE)</f>
        <v>Денежные средства и их эквиваленты</v>
      </c>
      <c r="F13" s="512">
        <v>1030</v>
      </c>
      <c r="G13" s="513" t="s">
        <v>83</v>
      </c>
      <c r="H13" s="514">
        <v>4347730.2699999996</v>
      </c>
      <c r="I13" s="515"/>
      <c r="J13" s="514">
        <v>1566991295.8300002</v>
      </c>
      <c r="K13" s="514">
        <v>1564198933.2499998</v>
      </c>
      <c r="L13" s="514">
        <v>7140092.8499999996</v>
      </c>
      <c r="M13" s="515"/>
    </row>
    <row r="14" spans="1:13">
      <c r="A14" s="467" t="str">
        <f t="shared" si="2"/>
        <v xml:space="preserve"> "РЕСТ Ко"</v>
      </c>
      <c r="B14" s="260">
        <f t="shared" si="0"/>
        <v>1834256.43</v>
      </c>
      <c r="C14" s="260">
        <f t="shared" si="1"/>
        <v>1962150.43</v>
      </c>
      <c r="D14" s="467" t="str">
        <f>VLOOKUP(F14,Справочник!$A$2:$C$415,3,FALSE)</f>
        <v>Денежные средства и их эквиваленты</v>
      </c>
      <c r="F14" s="512">
        <v>1050</v>
      </c>
      <c r="G14" s="513" t="s">
        <v>85</v>
      </c>
      <c r="H14" s="514">
        <v>1834256.43</v>
      </c>
      <c r="I14" s="515"/>
      <c r="J14" s="514">
        <v>48465150</v>
      </c>
      <c r="K14" s="514">
        <v>48337256</v>
      </c>
      <c r="L14" s="514">
        <v>1962150.43</v>
      </c>
      <c r="M14" s="515"/>
    </row>
    <row r="15" spans="1:13">
      <c r="A15" s="467" t="str">
        <f t="shared" si="2"/>
        <v xml:space="preserve"> "РЕСТ Ко"</v>
      </c>
      <c r="B15" s="260">
        <f t="shared" si="0"/>
        <v>59826221.200000003</v>
      </c>
      <c r="C15" s="260">
        <f t="shared" si="1"/>
        <v>106625206.2</v>
      </c>
      <c r="D15" s="467">
        <f>VLOOKUP(F15,Справочник!$A$2:$C$415,3,FALSE)</f>
        <v>0</v>
      </c>
      <c r="F15" s="508">
        <v>1100</v>
      </c>
      <c r="G15" s="509" t="s">
        <v>87</v>
      </c>
      <c r="H15" s="510">
        <v>59826221.200000003</v>
      </c>
      <c r="I15" s="511"/>
      <c r="J15" s="510">
        <v>51700945</v>
      </c>
      <c r="K15" s="510">
        <v>4901960</v>
      </c>
      <c r="L15" s="510">
        <v>106625206.2</v>
      </c>
      <c r="M15" s="511"/>
    </row>
    <row r="16" spans="1:13">
      <c r="A16" s="467" t="str">
        <f t="shared" si="2"/>
        <v xml:space="preserve"> "РЕСТ Ко"</v>
      </c>
      <c r="B16" s="260">
        <f t="shared" si="0"/>
        <v>59826221.200000003</v>
      </c>
      <c r="C16" s="260">
        <f t="shared" si="1"/>
        <v>106625206.2</v>
      </c>
      <c r="D16" s="467" t="str">
        <f>VLOOKUP(F16,Справочник!$A$2:$C$415,3,FALSE)</f>
        <v>Прочие краткосрочные финансовые активы</v>
      </c>
      <c r="F16" s="512">
        <v>1110</v>
      </c>
      <c r="G16" s="513" t="s">
        <v>88</v>
      </c>
      <c r="H16" s="514">
        <v>59826221.200000003</v>
      </c>
      <c r="I16" s="515"/>
      <c r="J16" s="514">
        <v>51700945</v>
      </c>
      <c r="K16" s="514">
        <v>4901960</v>
      </c>
      <c r="L16" s="514">
        <v>106625206.2</v>
      </c>
      <c r="M16" s="515"/>
    </row>
    <row r="17" spans="1:13">
      <c r="A17" s="467" t="str">
        <f t="shared" si="2"/>
        <v xml:space="preserve"> "РЕСТ Ко"</v>
      </c>
      <c r="B17" s="260">
        <f t="shared" si="0"/>
        <v>138710054.47999999</v>
      </c>
      <c r="C17" s="260">
        <f t="shared" si="1"/>
        <v>8469112.5899999999</v>
      </c>
      <c r="D17" s="467">
        <f>VLOOKUP(F17,Справочник!$A$2:$C$415,3,FALSE)</f>
        <v>0</v>
      </c>
      <c r="F17" s="508">
        <v>1200</v>
      </c>
      <c r="G17" s="509" t="s">
        <v>93</v>
      </c>
      <c r="H17" s="510">
        <v>138710054.47999999</v>
      </c>
      <c r="I17" s="511"/>
      <c r="J17" s="510">
        <v>1434430909.8</v>
      </c>
      <c r="K17" s="510">
        <v>1564671851.6899998</v>
      </c>
      <c r="L17" s="510">
        <v>8469112.5899999999</v>
      </c>
      <c r="M17" s="511"/>
    </row>
    <row r="18" spans="1:13" ht="24">
      <c r="A18" s="467" t="str">
        <f t="shared" si="2"/>
        <v xml:space="preserve"> "РЕСТ Ко"</v>
      </c>
      <c r="B18" s="260">
        <f t="shared" si="0"/>
        <v>107932393.94</v>
      </c>
      <c r="C18" s="260">
        <f t="shared" si="1"/>
        <v>6526902.2400000002</v>
      </c>
      <c r="D18" s="467" t="str">
        <f>VLOOKUP(F18,Справочник!$A$2:$C$415,3,FALSE)</f>
        <v>Краткосрочная торговая и прочая дебиторская задолженность</v>
      </c>
      <c r="F18" s="512">
        <v>1210</v>
      </c>
      <c r="G18" s="513" t="s">
        <v>94</v>
      </c>
      <c r="H18" s="514">
        <v>107932393.94</v>
      </c>
      <c r="I18" s="515"/>
      <c r="J18" s="514">
        <v>1267471278.1400001</v>
      </c>
      <c r="K18" s="514">
        <v>1368876769.8399999</v>
      </c>
      <c r="L18" s="514">
        <v>6526902.2400000002</v>
      </c>
      <c r="M18" s="515"/>
    </row>
    <row r="19" spans="1:13">
      <c r="A19" s="467" t="str">
        <f t="shared" si="2"/>
        <v xml:space="preserve"> "РЕСТ Ко"</v>
      </c>
      <c r="B19" s="260">
        <f t="shared" si="0"/>
        <v>47155184.579999998</v>
      </c>
      <c r="C19" s="260">
        <f t="shared" si="1"/>
        <v>17355436.010000002</v>
      </c>
      <c r="D19" s="467">
        <f>VLOOKUP(F19,Справочник!$A$2:$C$415,3,FALSE)</f>
        <v>0</v>
      </c>
      <c r="F19" s="516">
        <v>1250</v>
      </c>
      <c r="G19" s="517" t="s">
        <v>98</v>
      </c>
      <c r="H19" s="519">
        <v>47155184.579999998</v>
      </c>
      <c r="I19" s="518"/>
      <c r="J19" s="519">
        <v>161003810.30000001</v>
      </c>
      <c r="K19" s="519">
        <v>190803558.87</v>
      </c>
      <c r="L19" s="519">
        <v>17355436.010000002</v>
      </c>
      <c r="M19" s="518"/>
    </row>
    <row r="20" spans="1:13">
      <c r="A20" s="467" t="str">
        <f t="shared" si="2"/>
        <v xml:space="preserve"> "РЕСТ Ко"</v>
      </c>
      <c r="B20" s="260">
        <f t="shared" si="0"/>
        <v>36702845.390000001</v>
      </c>
      <c r="C20" s="260">
        <f t="shared" si="1"/>
        <v>124883.17</v>
      </c>
      <c r="D20" s="467" t="str">
        <f>VLOOKUP(F20,Справочник!$A$2:$C$415,3,FALSE)</f>
        <v>Краткосрочная торговая и прочая дебиторская задолженность</v>
      </c>
      <c r="F20" s="520">
        <v>1251</v>
      </c>
      <c r="G20" s="513" t="s">
        <v>99</v>
      </c>
      <c r="H20" s="514">
        <v>36702845.390000001</v>
      </c>
      <c r="I20" s="515"/>
      <c r="J20" s="514">
        <v>153459795.65000001</v>
      </c>
      <c r="K20" s="514">
        <v>190037757.87</v>
      </c>
      <c r="L20" s="514">
        <v>124883.17</v>
      </c>
      <c r="M20" s="515"/>
    </row>
    <row r="21" spans="1:13" ht="24">
      <c r="A21" s="467" t="str">
        <f t="shared" si="2"/>
        <v xml:space="preserve"> "РЕСТ Ко"</v>
      </c>
      <c r="B21" s="260">
        <f t="shared" si="0"/>
        <v>10452339.189999999</v>
      </c>
      <c r="C21" s="260">
        <f t="shared" si="1"/>
        <v>17230552.84</v>
      </c>
      <c r="D21" s="467" t="str">
        <f>VLOOKUP(F21,Справочник!$A$2:$C$415,3,FALSE)</f>
        <v>Краткосрочная торговая и прочая дебиторская задолженность</v>
      </c>
      <c r="F21" s="520">
        <v>1254</v>
      </c>
      <c r="G21" s="513" t="s">
        <v>102</v>
      </c>
      <c r="H21" s="514">
        <v>10452339.189999999</v>
      </c>
      <c r="I21" s="515"/>
      <c r="J21" s="514">
        <v>7544014.6500000004</v>
      </c>
      <c r="K21" s="514">
        <v>765801</v>
      </c>
      <c r="L21" s="514">
        <v>17230552.84</v>
      </c>
      <c r="M21" s="515"/>
    </row>
    <row r="22" spans="1:13">
      <c r="A22" s="467" t="str">
        <f t="shared" si="2"/>
        <v xml:space="preserve"> "РЕСТ Ко"</v>
      </c>
      <c r="B22" s="260">
        <f t="shared" si="0"/>
        <v>0</v>
      </c>
      <c r="C22" s="260">
        <f t="shared" si="1"/>
        <v>94212.82</v>
      </c>
      <c r="D22" s="467" t="str">
        <f>VLOOKUP(F22,Справочник!$A$2:$C$415,3,FALSE)</f>
        <v>Краткосрочная торговая и прочая дебиторская задолженность</v>
      </c>
      <c r="F22" s="512">
        <v>1270</v>
      </c>
      <c r="G22" s="513" t="s">
        <v>104</v>
      </c>
      <c r="H22" s="515"/>
      <c r="I22" s="515"/>
      <c r="J22" s="514">
        <v>105314.72</v>
      </c>
      <c r="K22" s="514">
        <v>11101.9</v>
      </c>
      <c r="L22" s="514">
        <v>94212.82</v>
      </c>
      <c r="M22" s="515"/>
    </row>
    <row r="23" spans="1:13">
      <c r="A23" s="467" t="str">
        <f t="shared" si="2"/>
        <v xml:space="preserve"> "РЕСТ Ко"</v>
      </c>
      <c r="B23" s="260">
        <f t="shared" si="0"/>
        <v>1300000</v>
      </c>
      <c r="C23" s="260">
        <f t="shared" si="1"/>
        <v>2170085.56</v>
      </c>
      <c r="D23" s="467">
        <f>VLOOKUP(F23,Справочник!$A$2:$C$415,3,FALSE)</f>
        <v>0</v>
      </c>
      <c r="F23" s="516">
        <v>1280</v>
      </c>
      <c r="G23" s="517" t="s">
        <v>105</v>
      </c>
      <c r="H23" s="519">
        <v>1300000</v>
      </c>
      <c r="I23" s="518"/>
      <c r="J23" s="519">
        <v>5850506.6399999997</v>
      </c>
      <c r="K23" s="519">
        <v>4980421.08</v>
      </c>
      <c r="L23" s="519">
        <v>2170085.56</v>
      </c>
      <c r="M23" s="518"/>
    </row>
    <row r="24" spans="1:13">
      <c r="A24" s="467" t="str">
        <f t="shared" si="2"/>
        <v xml:space="preserve"> "РЕСТ Ко"</v>
      </c>
      <c r="B24" s="260">
        <f t="shared" si="0"/>
        <v>15800</v>
      </c>
      <c r="C24" s="260">
        <f t="shared" si="1"/>
        <v>1010885.56</v>
      </c>
      <c r="D24" s="467" t="str">
        <f>VLOOKUP(F24,Справочник!$A$2:$C$415,3,FALSE)</f>
        <v>Краткосрочная торговая и прочая дебиторская задолженность</v>
      </c>
      <c r="F24" s="520">
        <v>1281</v>
      </c>
      <c r="G24" s="513" t="s">
        <v>106</v>
      </c>
      <c r="H24" s="514">
        <v>15800</v>
      </c>
      <c r="I24" s="515"/>
      <c r="J24" s="514">
        <v>5850506.6399999997</v>
      </c>
      <c r="K24" s="514">
        <v>4855421.08</v>
      </c>
      <c r="L24" s="514">
        <v>1010885.56</v>
      </c>
      <c r="M24" s="515"/>
    </row>
    <row r="25" spans="1:13">
      <c r="A25" s="467" t="str">
        <f t="shared" si="2"/>
        <v xml:space="preserve"> "РЕСТ Ко"</v>
      </c>
      <c r="B25" s="260">
        <f t="shared" si="0"/>
        <v>1284200</v>
      </c>
      <c r="C25" s="260">
        <f t="shared" si="1"/>
        <v>1159200</v>
      </c>
      <c r="D25" s="467" t="str">
        <f>VLOOKUP(F25,Справочник!$A$2:$C$415,3,FALSE)</f>
        <v>Краткосрочная торговая и прочая дебиторская задолженность</v>
      </c>
      <c r="F25" s="520">
        <v>1284</v>
      </c>
      <c r="G25" s="513" t="s">
        <v>105</v>
      </c>
      <c r="H25" s="514">
        <v>1284200</v>
      </c>
      <c r="I25" s="515"/>
      <c r="J25" s="515"/>
      <c r="K25" s="514">
        <v>125000</v>
      </c>
      <c r="L25" s="514">
        <v>1159200</v>
      </c>
      <c r="M25" s="515"/>
    </row>
    <row r="26" spans="1:13">
      <c r="A26" s="467" t="str">
        <f t="shared" si="2"/>
        <v xml:space="preserve"> "РЕСТ Ко"</v>
      </c>
      <c r="B26" s="260">
        <f t="shared" si="0"/>
        <v>-17677524.039999999</v>
      </c>
      <c r="C26" s="260">
        <f t="shared" si="1"/>
        <v>-17677524.039999999</v>
      </c>
      <c r="D26" s="467" t="str">
        <f>VLOOKUP(F26,Справочник!$A$2:$C$415,3,FALSE)</f>
        <v>Краткосрочная торговая и прочая дебиторская задолженность</v>
      </c>
      <c r="F26" s="512">
        <v>1290</v>
      </c>
      <c r="G26" s="513" t="s">
        <v>109</v>
      </c>
      <c r="H26" s="515"/>
      <c r="I26" s="514">
        <v>17677524.039999999</v>
      </c>
      <c r="J26" s="515"/>
      <c r="K26" s="515"/>
      <c r="L26" s="515"/>
      <c r="M26" s="514">
        <v>17677524.039999999</v>
      </c>
    </row>
    <row r="27" spans="1:13">
      <c r="A27" s="467" t="str">
        <f t="shared" si="2"/>
        <v xml:space="preserve"> "РЕСТ Ко"</v>
      </c>
      <c r="B27" s="260">
        <f t="shared" si="0"/>
        <v>155112124.56999999</v>
      </c>
      <c r="C27" s="260">
        <f t="shared" si="1"/>
        <v>194023927</v>
      </c>
      <c r="D27" s="467">
        <f>VLOOKUP(F27,Справочник!$A$2:$C$415,3,FALSE)</f>
        <v>0</v>
      </c>
      <c r="F27" s="508">
        <v>1300</v>
      </c>
      <c r="G27" s="509" t="s">
        <v>110</v>
      </c>
      <c r="H27" s="510">
        <v>155112124.56999999</v>
      </c>
      <c r="I27" s="511"/>
      <c r="J27" s="510">
        <v>591686120.30999994</v>
      </c>
      <c r="K27" s="510">
        <v>552774317.88</v>
      </c>
      <c r="L27" s="510">
        <v>194023927</v>
      </c>
      <c r="M27" s="511"/>
    </row>
    <row r="28" spans="1:13">
      <c r="A28" s="467" t="str">
        <f t="shared" si="2"/>
        <v xml:space="preserve"> "РЕСТ Ко"</v>
      </c>
      <c r="B28" s="260">
        <f t="shared" si="0"/>
        <v>142718767.63999999</v>
      </c>
      <c r="C28" s="260">
        <f t="shared" si="1"/>
        <v>176961947.13</v>
      </c>
      <c r="D28" s="467">
        <f>VLOOKUP(F28,Справочник!$A$2:$C$415,3,FALSE)</f>
        <v>0</v>
      </c>
      <c r="F28" s="512">
        <v>1310</v>
      </c>
      <c r="G28" s="513" t="s">
        <v>111</v>
      </c>
      <c r="H28" s="514">
        <v>142718767.63999999</v>
      </c>
      <c r="I28" s="515"/>
      <c r="J28" s="514">
        <v>478663915.57999998</v>
      </c>
      <c r="K28" s="514">
        <v>444420736.08999997</v>
      </c>
      <c r="L28" s="514">
        <v>176961947.13</v>
      </c>
      <c r="M28" s="515"/>
    </row>
    <row r="29" spans="1:13">
      <c r="A29" s="467" t="str">
        <f t="shared" si="2"/>
        <v xml:space="preserve"> "РЕСТ Ко"</v>
      </c>
      <c r="B29" s="260">
        <f t="shared" si="0"/>
        <v>122654279.81</v>
      </c>
      <c r="C29" s="260">
        <f t="shared" si="1"/>
        <v>166683339.75</v>
      </c>
      <c r="D29" s="467" t="str">
        <f>VLOOKUP(F29,Справочник!$A$2:$C$415,3,FALSE)</f>
        <v>Запасы</v>
      </c>
      <c r="F29" s="520">
        <v>1311</v>
      </c>
      <c r="G29" s="513" t="s">
        <v>111</v>
      </c>
      <c r="H29" s="514">
        <v>122654279.81</v>
      </c>
      <c r="I29" s="515"/>
      <c r="J29" s="514">
        <v>472460404.70999998</v>
      </c>
      <c r="K29" s="514">
        <v>428431344.76999998</v>
      </c>
      <c r="L29" s="514">
        <v>166683339.75</v>
      </c>
      <c r="M29" s="515"/>
    </row>
    <row r="30" spans="1:13">
      <c r="A30" s="467" t="str">
        <f>A29</f>
        <v xml:space="preserve"> "РЕСТ Ко"</v>
      </c>
      <c r="B30" s="260">
        <f t="shared" si="0"/>
        <v>79455.360000000001</v>
      </c>
      <c r="C30" s="260">
        <f t="shared" si="1"/>
        <v>160647.67000000001</v>
      </c>
      <c r="D30" s="467" t="str">
        <f>VLOOKUP(F30,Справочник!$A$2:$C$415,3,FALSE)</f>
        <v>Запасы</v>
      </c>
      <c r="F30" s="520">
        <v>1311</v>
      </c>
      <c r="G30" s="513" t="s">
        <v>753</v>
      </c>
      <c r="H30" s="514">
        <v>79455.360000000001</v>
      </c>
      <c r="I30" s="515"/>
      <c r="J30" s="514">
        <v>342511.57</v>
      </c>
      <c r="K30" s="514">
        <v>261319.26</v>
      </c>
      <c r="L30" s="514">
        <v>160647.67000000001</v>
      </c>
      <c r="M30" s="515"/>
    </row>
    <row r="31" spans="1:13">
      <c r="A31" s="467" t="str">
        <f t="shared" si="2"/>
        <v xml:space="preserve"> "РЕСТ Ко"</v>
      </c>
      <c r="B31" s="260">
        <f t="shared" si="0"/>
        <v>19985032.469999999</v>
      </c>
      <c r="C31" s="260">
        <f t="shared" si="1"/>
        <v>10117959.710000001</v>
      </c>
      <c r="D31" s="467" t="str">
        <f>VLOOKUP(F31,Справочник!$A$2:$C$415,3,FALSE)</f>
        <v>Запасы</v>
      </c>
      <c r="F31" s="520">
        <v>1312</v>
      </c>
      <c r="G31" s="513" t="s">
        <v>566</v>
      </c>
      <c r="H31" s="514">
        <v>19985032.469999999</v>
      </c>
      <c r="I31" s="515"/>
      <c r="J31" s="514">
        <v>5860999.2999999998</v>
      </c>
      <c r="K31" s="514">
        <v>15728072.060000001</v>
      </c>
      <c r="L31" s="514">
        <v>10117959.710000001</v>
      </c>
      <c r="M31" s="515"/>
    </row>
    <row r="32" spans="1:13">
      <c r="A32" s="467" t="str">
        <f t="shared" si="2"/>
        <v xml:space="preserve"> "РЕСТ Ко"</v>
      </c>
      <c r="B32" s="260">
        <f t="shared" si="0"/>
        <v>0</v>
      </c>
      <c r="C32" s="260">
        <f t="shared" si="1"/>
        <v>6021118.8399999999</v>
      </c>
      <c r="D32" s="467" t="str">
        <f>VLOOKUP(F32,Справочник!$A$2:$C$415,3,FALSE)</f>
        <v>Запасы</v>
      </c>
      <c r="F32" s="512">
        <v>1320</v>
      </c>
      <c r="G32" s="513" t="s">
        <v>112</v>
      </c>
      <c r="H32" s="515"/>
      <c r="I32" s="515"/>
      <c r="J32" s="514">
        <v>7231965.5800000001</v>
      </c>
      <c r="K32" s="514">
        <v>1210846.74</v>
      </c>
      <c r="L32" s="514">
        <v>6021118.8399999999</v>
      </c>
      <c r="M32" s="515"/>
    </row>
    <row r="33" spans="1:13">
      <c r="A33" s="467" t="str">
        <f t="shared" si="2"/>
        <v xml:space="preserve"> "РЕСТ Ко"</v>
      </c>
      <c r="B33" s="260">
        <f t="shared" si="0"/>
        <v>12393356.93</v>
      </c>
      <c r="C33" s="260">
        <f t="shared" si="1"/>
        <v>11040861.029999999</v>
      </c>
      <c r="D33" s="467" t="str">
        <f>VLOOKUP(F33,Справочник!$A$2:$C$415,3,FALSE)</f>
        <v>Запасы</v>
      </c>
      <c r="F33" s="512">
        <v>1330</v>
      </c>
      <c r="G33" s="513" t="s">
        <v>113</v>
      </c>
      <c r="H33" s="514">
        <v>12393356.93</v>
      </c>
      <c r="I33" s="515"/>
      <c r="J33" s="514">
        <v>105790239.15000001</v>
      </c>
      <c r="K33" s="514">
        <v>107142735.05</v>
      </c>
      <c r="L33" s="514">
        <v>11040861.029999999</v>
      </c>
      <c r="M33" s="515"/>
    </row>
    <row r="34" spans="1:13">
      <c r="A34" s="467" t="str">
        <f t="shared" si="2"/>
        <v xml:space="preserve"> "РЕСТ Ко"</v>
      </c>
      <c r="B34" s="260">
        <f t="shared" si="0"/>
        <v>93705697.469999999</v>
      </c>
      <c r="C34" s="260">
        <f t="shared" si="1"/>
        <v>167183634.96000001</v>
      </c>
      <c r="D34" s="467">
        <f>VLOOKUP(F34,Справочник!$A$2:$C$415,3,FALSE)</f>
        <v>0</v>
      </c>
      <c r="F34" s="508">
        <v>1400</v>
      </c>
      <c r="G34" s="509" t="s">
        <v>11</v>
      </c>
      <c r="H34" s="510">
        <v>93705697.469999999</v>
      </c>
      <c r="I34" s="511"/>
      <c r="J34" s="510">
        <v>78310777.159999996</v>
      </c>
      <c r="K34" s="510">
        <v>4832839.67</v>
      </c>
      <c r="L34" s="510">
        <v>167183634.96000001</v>
      </c>
      <c r="M34" s="511"/>
    </row>
    <row r="35" spans="1:13">
      <c r="A35" s="467" t="str">
        <f t="shared" si="2"/>
        <v xml:space="preserve"> "РЕСТ Ко"</v>
      </c>
      <c r="B35" s="260">
        <f t="shared" si="0"/>
        <v>12423425.15</v>
      </c>
      <c r="C35" s="260">
        <f t="shared" si="1"/>
        <v>9273765.0299999993</v>
      </c>
      <c r="D35" s="467" t="str">
        <f>VLOOKUP(F35,Справочник!$A$2:$C$415,3,FALSE)</f>
        <v>Текущий подоходный налог</v>
      </c>
      <c r="F35" s="512">
        <v>1410</v>
      </c>
      <c r="G35" s="513" t="s">
        <v>74</v>
      </c>
      <c r="H35" s="514">
        <v>12423425.15</v>
      </c>
      <c r="I35" s="515"/>
      <c r="J35" s="514">
        <v>8312.89</v>
      </c>
      <c r="K35" s="514">
        <v>3157973.01</v>
      </c>
      <c r="L35" s="514">
        <v>9273765.0299999993</v>
      </c>
      <c r="M35" s="515"/>
    </row>
    <row r="36" spans="1:13">
      <c r="A36" s="467" t="str">
        <f t="shared" si="2"/>
        <v xml:space="preserve"> "РЕСТ Ко"</v>
      </c>
      <c r="B36" s="260">
        <f t="shared" si="0"/>
        <v>80255696.319999993</v>
      </c>
      <c r="C36" s="260">
        <f t="shared" si="1"/>
        <v>156883293.93000001</v>
      </c>
      <c r="D36" s="467" t="str">
        <f>VLOOKUP(F36,Справочник!$A$2:$C$415,3,FALSE)</f>
        <v>Прочие краткосрочные активы</v>
      </c>
      <c r="F36" s="512">
        <v>1420</v>
      </c>
      <c r="G36" s="513" t="s">
        <v>124</v>
      </c>
      <c r="H36" s="514">
        <v>80255696.319999993</v>
      </c>
      <c r="I36" s="515"/>
      <c r="J36" s="514">
        <v>78302464.269999996</v>
      </c>
      <c r="K36" s="514">
        <v>1674866.66</v>
      </c>
      <c r="L36" s="514">
        <v>156883293.93000001</v>
      </c>
      <c r="M36" s="515"/>
    </row>
    <row r="37" spans="1:13">
      <c r="A37" s="467" t="str">
        <f t="shared" si="2"/>
        <v xml:space="preserve"> "РЕСТ Ко"</v>
      </c>
      <c r="B37" s="260">
        <f t="shared" si="0"/>
        <v>1026576</v>
      </c>
      <c r="C37" s="260">
        <f t="shared" si="1"/>
        <v>1026576</v>
      </c>
      <c r="D37" s="467" t="str">
        <f>VLOOKUP(F37,Справочник!$A$2:$C$415,3,FALSE)</f>
        <v>Прочие краткосрочные активы</v>
      </c>
      <c r="F37" s="512">
        <v>1430</v>
      </c>
      <c r="G37" s="513" t="s">
        <v>125</v>
      </c>
      <c r="H37" s="514">
        <v>1026576</v>
      </c>
      <c r="I37" s="515"/>
      <c r="J37" s="515"/>
      <c r="K37" s="515"/>
      <c r="L37" s="514">
        <v>1026576</v>
      </c>
      <c r="M37" s="515"/>
    </row>
    <row r="38" spans="1:13">
      <c r="A38" s="467" t="str">
        <f t="shared" si="2"/>
        <v xml:space="preserve"> "РЕСТ Ко"</v>
      </c>
      <c r="B38" s="260">
        <f t="shared" si="0"/>
        <v>61398611.57</v>
      </c>
      <c r="C38" s="260">
        <f t="shared" si="1"/>
        <v>94672610.079999998</v>
      </c>
      <c r="D38" s="467">
        <f>VLOOKUP(F38,Справочник!$A$2:$C$415,3,FALSE)</f>
        <v>0</v>
      </c>
      <c r="F38" s="508">
        <v>1600</v>
      </c>
      <c r="G38" s="509" t="s">
        <v>13</v>
      </c>
      <c r="H38" s="510">
        <v>61398611.57</v>
      </c>
      <c r="I38" s="511"/>
      <c r="J38" s="510">
        <v>286211441.17000002</v>
      </c>
      <c r="K38" s="510">
        <v>252937442.66</v>
      </c>
      <c r="L38" s="510">
        <v>94672610.079999998</v>
      </c>
      <c r="M38" s="511"/>
    </row>
    <row r="39" spans="1:13">
      <c r="A39" s="467" t="str">
        <f t="shared" si="2"/>
        <v xml:space="preserve"> "РЕСТ Ко"</v>
      </c>
      <c r="B39" s="260">
        <f t="shared" si="0"/>
        <v>61051786.810000002</v>
      </c>
      <c r="C39" s="260">
        <f t="shared" si="1"/>
        <v>94493505.159999996</v>
      </c>
      <c r="D39" s="467" t="str">
        <f>VLOOKUP(F39,Справочник!$A$2:$C$415,3,FALSE)</f>
        <v>Прочие краткосрочные активы</v>
      </c>
      <c r="F39" s="512">
        <v>1610</v>
      </c>
      <c r="G39" s="513" t="s">
        <v>128</v>
      </c>
      <c r="H39" s="514">
        <v>61051786.810000002</v>
      </c>
      <c r="I39" s="515"/>
      <c r="J39" s="514">
        <v>285953545.88</v>
      </c>
      <c r="K39" s="514">
        <v>252511827.53</v>
      </c>
      <c r="L39" s="514">
        <v>94493505.159999996</v>
      </c>
      <c r="M39" s="515"/>
    </row>
    <row r="40" spans="1:13">
      <c r="A40" s="467" t="str">
        <f t="shared" si="2"/>
        <v xml:space="preserve"> "РЕСТ Ко"</v>
      </c>
      <c r="B40" s="260">
        <f t="shared" si="0"/>
        <v>346824.76</v>
      </c>
      <c r="C40" s="260">
        <f t="shared" si="1"/>
        <v>179104.92</v>
      </c>
      <c r="D40" s="467" t="str">
        <f>VLOOKUP(F40,Справочник!$A$2:$C$415,3,FALSE)</f>
        <v>Прочие краткосрочные активы</v>
      </c>
      <c r="F40" s="512">
        <v>1620</v>
      </c>
      <c r="G40" s="513" t="s">
        <v>129</v>
      </c>
      <c r="H40" s="514">
        <v>346824.76</v>
      </c>
      <c r="I40" s="515"/>
      <c r="J40" s="514">
        <v>257895.29</v>
      </c>
      <c r="K40" s="514">
        <v>425615.13</v>
      </c>
      <c r="L40" s="514">
        <v>179104.92</v>
      </c>
      <c r="M40" s="515"/>
    </row>
    <row r="41" spans="1:13">
      <c r="A41" s="467" t="str">
        <f t="shared" si="2"/>
        <v xml:space="preserve"> "РЕСТ Ко"</v>
      </c>
      <c r="B41" s="260">
        <f t="shared" si="0"/>
        <v>15902910.49</v>
      </c>
      <c r="C41" s="260">
        <f t="shared" si="1"/>
        <v>7769601.9299999997</v>
      </c>
      <c r="D41" s="467">
        <f>VLOOKUP(F41,Справочник!$A$2:$C$415,3,FALSE)</f>
        <v>0</v>
      </c>
      <c r="F41" s="508">
        <v>2100</v>
      </c>
      <c r="G41" s="509" t="s">
        <v>15</v>
      </c>
      <c r="H41" s="510">
        <v>15902910.49</v>
      </c>
      <c r="I41" s="511"/>
      <c r="J41" s="511"/>
      <c r="K41" s="510">
        <v>8133308.5599999996</v>
      </c>
      <c r="L41" s="510">
        <v>7769601.9299999997</v>
      </c>
      <c r="M41" s="511"/>
    </row>
    <row r="42" spans="1:13">
      <c r="A42" s="467" t="str">
        <f t="shared" si="2"/>
        <v xml:space="preserve"> "РЕСТ Ко"</v>
      </c>
      <c r="B42" s="260">
        <f t="shared" si="0"/>
        <v>59800</v>
      </c>
      <c r="C42" s="260">
        <f t="shared" si="1"/>
        <v>59800</v>
      </c>
      <c r="D42" s="467">
        <f>VLOOKUP(F42,Справочник!$A$2:$C$415,3,FALSE)</f>
        <v>0</v>
      </c>
      <c r="F42" s="516">
        <v>2150</v>
      </c>
      <c r="G42" s="517" t="s">
        <v>139</v>
      </c>
      <c r="H42" s="519">
        <v>59800</v>
      </c>
      <c r="I42" s="518"/>
      <c r="J42" s="518"/>
      <c r="K42" s="518"/>
      <c r="L42" s="519">
        <v>59800</v>
      </c>
      <c r="M42" s="518"/>
    </row>
    <row r="43" spans="1:13">
      <c r="A43" s="467" t="str">
        <f t="shared" si="2"/>
        <v xml:space="preserve"> "РЕСТ Ко"</v>
      </c>
      <c r="B43" s="260">
        <f t="shared" si="0"/>
        <v>59800</v>
      </c>
      <c r="C43" s="260">
        <f t="shared" si="1"/>
        <v>59800</v>
      </c>
      <c r="D43" s="467" t="str">
        <f>VLOOKUP(F43,Справочник!$A$2:$C$415,3,FALSE)</f>
        <v>Долгосрочная торговая и прочая дебиторская задолженность</v>
      </c>
      <c r="F43" s="520">
        <v>2151</v>
      </c>
      <c r="G43" s="513" t="s">
        <v>140</v>
      </c>
      <c r="H43" s="514">
        <v>59800</v>
      </c>
      <c r="I43" s="515"/>
      <c r="J43" s="515"/>
      <c r="K43" s="515"/>
      <c r="L43" s="514">
        <v>59800</v>
      </c>
      <c r="M43" s="515"/>
    </row>
    <row r="44" spans="1:13">
      <c r="A44" s="467" t="str">
        <f t="shared" si="2"/>
        <v xml:space="preserve"> "РЕСТ Ко"</v>
      </c>
      <c r="B44" s="260">
        <f t="shared" si="0"/>
        <v>15843110.49</v>
      </c>
      <c r="C44" s="260">
        <f t="shared" si="1"/>
        <v>7709801.9299999997</v>
      </c>
      <c r="D44" s="467">
        <f>VLOOKUP(F44,Справочник!$A$2:$C$415,3,FALSE)</f>
        <v>0</v>
      </c>
      <c r="F44" s="516">
        <v>2180</v>
      </c>
      <c r="G44" s="517" t="s">
        <v>145</v>
      </c>
      <c r="H44" s="519">
        <v>15843110.49</v>
      </c>
      <c r="I44" s="518"/>
      <c r="J44" s="518"/>
      <c r="K44" s="519">
        <v>8133308.5599999996</v>
      </c>
      <c r="L44" s="519">
        <v>7709801.9299999997</v>
      </c>
      <c r="M44" s="518"/>
    </row>
    <row r="45" spans="1:13">
      <c r="A45" s="467" t="str">
        <f t="shared" si="2"/>
        <v xml:space="preserve"> "РЕСТ Ко"</v>
      </c>
      <c r="B45" s="260">
        <f t="shared" si="0"/>
        <v>15843110.49</v>
      </c>
      <c r="C45" s="260">
        <f t="shared" si="1"/>
        <v>7709801.9299999997</v>
      </c>
      <c r="D45" s="467" t="str">
        <f>VLOOKUP(F45,Справочник!$A$2:$C$415,3,FALSE)</f>
        <v>Долгосрочная торговая и прочая дебиторская задолженность</v>
      </c>
      <c r="F45" s="520">
        <v>2184</v>
      </c>
      <c r="G45" s="513" t="s">
        <v>145</v>
      </c>
      <c r="H45" s="514">
        <v>15843110.49</v>
      </c>
      <c r="I45" s="515"/>
      <c r="J45" s="515"/>
      <c r="K45" s="514">
        <v>8133308.5599999996</v>
      </c>
      <c r="L45" s="514">
        <v>7709801.9299999997</v>
      </c>
      <c r="M45" s="515"/>
    </row>
    <row r="46" spans="1:13">
      <c r="A46" s="467" t="str">
        <f t="shared" si="2"/>
        <v xml:space="preserve"> "РЕСТ Ко"</v>
      </c>
      <c r="B46" s="260">
        <f t="shared" si="0"/>
        <v>201000</v>
      </c>
      <c r="C46" s="260">
        <f t="shared" si="1"/>
        <v>12981000</v>
      </c>
      <c r="D46" s="467">
        <f>VLOOKUP(F46,Справочник!$A$2:$C$415,3,FALSE)</f>
        <v>0</v>
      </c>
      <c r="F46" s="508">
        <v>2200</v>
      </c>
      <c r="G46" s="509" t="s">
        <v>147</v>
      </c>
      <c r="H46" s="510">
        <v>201000</v>
      </c>
      <c r="I46" s="511"/>
      <c r="J46" s="510">
        <v>12780000</v>
      </c>
      <c r="K46" s="511"/>
      <c r="L46" s="510">
        <v>12981000</v>
      </c>
      <c r="M46" s="511"/>
    </row>
    <row r="47" spans="1:13">
      <c r="A47" s="467" t="str">
        <f t="shared" si="2"/>
        <v xml:space="preserve"> "РЕСТ Ко"</v>
      </c>
      <c r="B47" s="260">
        <f t="shared" si="0"/>
        <v>201000</v>
      </c>
      <c r="C47" s="260">
        <f t="shared" si="1"/>
        <v>12981000</v>
      </c>
      <c r="D47" s="467" t="str">
        <f>VLOOKUP(F47,Справочник!$A$2:$C$415,3,FALSE)</f>
        <v>Инвестиции, учитываемые методом долевого участия</v>
      </c>
      <c r="F47" s="512">
        <v>2210</v>
      </c>
      <c r="G47" s="513" t="s">
        <v>148</v>
      </c>
      <c r="H47" s="514">
        <v>201000</v>
      </c>
      <c r="I47" s="515"/>
      <c r="J47" s="514">
        <v>12780000</v>
      </c>
      <c r="K47" s="515"/>
      <c r="L47" s="514">
        <v>12981000</v>
      </c>
      <c r="M47" s="515"/>
    </row>
    <row r="48" spans="1:13">
      <c r="A48" s="467" t="str">
        <f t="shared" si="2"/>
        <v xml:space="preserve"> "РЕСТ Ко"</v>
      </c>
      <c r="B48" s="260">
        <f t="shared" si="0"/>
        <v>209766548.28999999</v>
      </c>
      <c r="C48" s="260">
        <f t="shared" si="1"/>
        <v>185118477.72</v>
      </c>
      <c r="D48" s="467">
        <f>VLOOKUP(F48,Справочник!$A$2:$C$415,3,FALSE)</f>
        <v>0</v>
      </c>
      <c r="F48" s="508">
        <v>2400</v>
      </c>
      <c r="G48" s="509" t="s">
        <v>21</v>
      </c>
      <c r="H48" s="510">
        <v>209766548.28999999</v>
      </c>
      <c r="I48" s="511"/>
      <c r="J48" s="510">
        <v>81097163.049999997</v>
      </c>
      <c r="K48" s="510">
        <v>105745233.62</v>
      </c>
      <c r="L48" s="510">
        <v>185118477.72</v>
      </c>
      <c r="M48" s="511"/>
    </row>
    <row r="49" spans="1:13">
      <c r="A49" s="467" t="str">
        <f t="shared" si="2"/>
        <v xml:space="preserve"> "РЕСТ Ко"</v>
      </c>
      <c r="B49" s="260">
        <f t="shared" si="0"/>
        <v>264109347.27000001</v>
      </c>
      <c r="C49" s="260">
        <f t="shared" si="1"/>
        <v>277623489.60000002</v>
      </c>
      <c r="D49" s="467" t="str">
        <f>VLOOKUP(F49,Справочник!$A$2:$C$415,3,FALSE)</f>
        <v>Основные средства</v>
      </c>
      <c r="F49" s="512">
        <v>2410</v>
      </c>
      <c r="G49" s="513" t="s">
        <v>21</v>
      </c>
      <c r="H49" s="514">
        <v>264109347.27000001</v>
      </c>
      <c r="I49" s="515"/>
      <c r="J49" s="514">
        <v>57670677.07</v>
      </c>
      <c r="K49" s="514">
        <v>44156534.740000002</v>
      </c>
      <c r="L49" s="514">
        <v>277623489.60000002</v>
      </c>
      <c r="M49" s="515"/>
    </row>
    <row r="50" spans="1:13">
      <c r="A50" s="467" t="str">
        <f t="shared" si="2"/>
        <v xml:space="preserve"> "РЕСТ Ко"</v>
      </c>
      <c r="B50" s="260">
        <f t="shared" si="0"/>
        <v>-54342798.979999997</v>
      </c>
      <c r="C50" s="260">
        <f t="shared" si="1"/>
        <v>-92505011.879999995</v>
      </c>
      <c r="D50" s="467" t="str">
        <f>VLOOKUP(F50,Справочник!$A$2:$C$415,3,FALSE)</f>
        <v>Основные средства</v>
      </c>
      <c r="F50" s="512">
        <v>2420</v>
      </c>
      <c r="G50" s="513" t="s">
        <v>152</v>
      </c>
      <c r="H50" s="515"/>
      <c r="I50" s="514">
        <v>54342798.979999997</v>
      </c>
      <c r="J50" s="514">
        <v>23426485.98</v>
      </c>
      <c r="K50" s="514">
        <v>61588698.880000003</v>
      </c>
      <c r="L50" s="515"/>
      <c r="M50" s="514">
        <v>92505011.879999995</v>
      </c>
    </row>
    <row r="51" spans="1:13">
      <c r="A51" s="467" t="str">
        <f t="shared" si="2"/>
        <v xml:space="preserve"> "РЕСТ Ко"</v>
      </c>
      <c r="B51" s="260">
        <f t="shared" si="0"/>
        <v>5048831.96</v>
      </c>
      <c r="C51" s="260">
        <f t="shared" si="1"/>
        <v>4347100.5199999996</v>
      </c>
      <c r="D51" s="467">
        <f>VLOOKUP(F51,Справочник!$A$2:$C$415,3,FALSE)</f>
        <v>0</v>
      </c>
      <c r="F51" s="508">
        <v>2700</v>
      </c>
      <c r="G51" s="509" t="s">
        <v>75</v>
      </c>
      <c r="H51" s="510">
        <v>5048831.96</v>
      </c>
      <c r="I51" s="511"/>
      <c r="J51" s="511"/>
      <c r="K51" s="510">
        <v>701731.44</v>
      </c>
      <c r="L51" s="510">
        <v>4347100.5199999996</v>
      </c>
      <c r="M51" s="511"/>
    </row>
    <row r="52" spans="1:13">
      <c r="A52" s="467" t="str">
        <f t="shared" si="2"/>
        <v xml:space="preserve"> "РЕСТ Ко"</v>
      </c>
      <c r="B52" s="260">
        <f t="shared" si="0"/>
        <v>6258383.2300000004</v>
      </c>
      <c r="C52" s="260">
        <f t="shared" si="1"/>
        <v>6258383.2300000004</v>
      </c>
      <c r="D52" s="467" t="str">
        <f>VLOOKUP(F52,Справочник!$A$2:$C$415,3,FALSE)</f>
        <v>Нематериальные активы</v>
      </c>
      <c r="F52" s="512">
        <v>2730</v>
      </c>
      <c r="G52" s="513" t="s">
        <v>161</v>
      </c>
      <c r="H52" s="514">
        <v>6258383.2300000004</v>
      </c>
      <c r="I52" s="515"/>
      <c r="J52" s="515"/>
      <c r="K52" s="515"/>
      <c r="L52" s="514">
        <v>6258383.2300000004</v>
      </c>
      <c r="M52" s="515"/>
    </row>
    <row r="53" spans="1:13">
      <c r="A53" s="467" t="str">
        <f t="shared" si="2"/>
        <v xml:space="preserve"> "РЕСТ Ко"</v>
      </c>
      <c r="B53" s="260">
        <f t="shared" si="0"/>
        <v>-1209551.27</v>
      </c>
      <c r="C53" s="260">
        <f t="shared" si="1"/>
        <v>-1911282.71</v>
      </c>
      <c r="D53" s="467" t="str">
        <f>VLOOKUP(F53,Справочник!$A$2:$C$415,3,FALSE)</f>
        <v>Нематериальные активы</v>
      </c>
      <c r="F53" s="512">
        <v>2740</v>
      </c>
      <c r="G53" s="513" t="s">
        <v>162</v>
      </c>
      <c r="H53" s="515"/>
      <c r="I53" s="514">
        <v>1209551.27</v>
      </c>
      <c r="J53" s="515"/>
      <c r="K53" s="514">
        <v>701731.44</v>
      </c>
      <c r="L53" s="515"/>
      <c r="M53" s="514">
        <v>1911282.71</v>
      </c>
    </row>
    <row r="54" spans="1:13">
      <c r="A54" s="467" t="str">
        <f t="shared" si="2"/>
        <v xml:space="preserve"> "РЕСТ Ко"</v>
      </c>
      <c r="B54" s="260">
        <f t="shared" si="0"/>
        <v>0</v>
      </c>
      <c r="C54" s="260">
        <f t="shared" si="1"/>
        <v>0</v>
      </c>
      <c r="D54" s="467">
        <f>VLOOKUP(F54,Справочник!$A$2:$C$415,3,FALSE)</f>
        <v>0</v>
      </c>
      <c r="F54" s="508">
        <v>2900</v>
      </c>
      <c r="G54" s="509" t="s">
        <v>166</v>
      </c>
      <c r="H54" s="511"/>
      <c r="I54" s="511"/>
      <c r="J54" s="510">
        <v>317552.90000000002</v>
      </c>
      <c r="K54" s="510">
        <v>317552.90000000002</v>
      </c>
      <c r="L54" s="511"/>
      <c r="M54" s="511"/>
    </row>
    <row r="55" spans="1:13">
      <c r="A55" s="467" t="str">
        <f t="shared" si="2"/>
        <v xml:space="preserve"> "РЕСТ Ко"</v>
      </c>
      <c r="B55" s="260">
        <f t="shared" si="0"/>
        <v>0</v>
      </c>
      <c r="C55" s="260">
        <f t="shared" si="1"/>
        <v>0</v>
      </c>
      <c r="D55" s="467">
        <f>VLOOKUP(F55,Справочник!$A$2:$C$415,3,FALSE)</f>
        <v>0</v>
      </c>
      <c r="F55" s="516">
        <v>2930</v>
      </c>
      <c r="G55" s="517" t="s">
        <v>23</v>
      </c>
      <c r="H55" s="518"/>
      <c r="I55" s="518"/>
      <c r="J55" s="519">
        <v>317552.90000000002</v>
      </c>
      <c r="K55" s="519">
        <v>317552.90000000002</v>
      </c>
      <c r="L55" s="518"/>
      <c r="M55" s="518"/>
    </row>
    <row r="56" spans="1:13">
      <c r="A56" s="467" t="str">
        <f t="shared" si="2"/>
        <v xml:space="preserve"> "РЕСТ Ко"</v>
      </c>
      <c r="B56" s="260">
        <f t="shared" si="0"/>
        <v>0</v>
      </c>
      <c r="C56" s="260">
        <f t="shared" si="1"/>
        <v>0</v>
      </c>
      <c r="D56" s="467" t="str">
        <f>VLOOKUP(F56,Справочник!$A$2:$C$415,3,FALSE)</f>
        <v>Прочие долгосрочные активы</v>
      </c>
      <c r="F56" s="520">
        <v>2933</v>
      </c>
      <c r="G56" s="513" t="s">
        <v>170</v>
      </c>
      <c r="H56" s="515"/>
      <c r="I56" s="515"/>
      <c r="J56" s="514">
        <v>317552.90000000002</v>
      </c>
      <c r="K56" s="514">
        <v>317552.90000000002</v>
      </c>
      <c r="L56" s="515"/>
      <c r="M56" s="515"/>
    </row>
    <row r="57" spans="1:13">
      <c r="A57" s="467" t="str">
        <f t="shared" si="2"/>
        <v xml:space="preserve"> "РЕСТ Ко"</v>
      </c>
      <c r="B57" s="260">
        <f t="shared" si="0"/>
        <v>-121800221.3</v>
      </c>
      <c r="C57" s="260">
        <f t="shared" si="1"/>
        <v>-209880517.31999999</v>
      </c>
      <c r="D57" s="467">
        <f>VLOOKUP(F57,Справочник!$A$2:$C$415,3,FALSE)</f>
        <v>0</v>
      </c>
      <c r="F57" s="508">
        <v>3100</v>
      </c>
      <c r="G57" s="509" t="s">
        <v>33</v>
      </c>
      <c r="H57" s="511"/>
      <c r="I57" s="510">
        <v>121800221.3</v>
      </c>
      <c r="J57" s="510">
        <v>91607128.239999995</v>
      </c>
      <c r="K57" s="510">
        <v>179687424.25999999</v>
      </c>
      <c r="L57" s="511"/>
      <c r="M57" s="510">
        <v>209880517.31999999</v>
      </c>
    </row>
    <row r="58" spans="1:13">
      <c r="A58" s="467" t="str">
        <f t="shared" si="2"/>
        <v xml:space="preserve"> "РЕСТ Ко"</v>
      </c>
      <c r="B58" s="260">
        <f t="shared" si="0"/>
        <v>-146298.75</v>
      </c>
      <c r="C58" s="260">
        <f t="shared" si="1"/>
        <v>-146295.75</v>
      </c>
      <c r="D58" s="467" t="str">
        <f>VLOOKUP(F58,Справочник!$A$2:$C$415,3,FALSE)</f>
        <v xml:space="preserve">Текущие налоговые обязательства по подоходному налогу </v>
      </c>
      <c r="F58" s="512">
        <v>3110</v>
      </c>
      <c r="G58" s="513" t="s">
        <v>177</v>
      </c>
      <c r="H58" s="515"/>
      <c r="I58" s="514">
        <v>146298.75</v>
      </c>
      <c r="J58" s="514">
        <v>3157973.01</v>
      </c>
      <c r="K58" s="514">
        <v>3157970.01</v>
      </c>
      <c r="L58" s="515"/>
      <c r="M58" s="514">
        <v>146295.75</v>
      </c>
    </row>
    <row r="59" spans="1:13">
      <c r="A59" s="467" t="str">
        <f t="shared" si="2"/>
        <v xml:space="preserve"> "РЕСТ Ко"</v>
      </c>
      <c r="B59" s="260">
        <f t="shared" si="0"/>
        <v>-1189357.32</v>
      </c>
      <c r="C59" s="260">
        <f t="shared" si="1"/>
        <v>-1505693.58</v>
      </c>
      <c r="D59" s="467" t="str">
        <f>VLOOKUP(F59,Справочник!$A$2:$C$415,3,FALSE)</f>
        <v>Прочие краткосрочные обязательства</v>
      </c>
      <c r="F59" s="512">
        <v>3120</v>
      </c>
      <c r="G59" s="513" t="s">
        <v>178</v>
      </c>
      <c r="H59" s="515"/>
      <c r="I59" s="514">
        <v>1189357.32</v>
      </c>
      <c r="J59" s="514">
        <v>25759743.739999998</v>
      </c>
      <c r="K59" s="514">
        <v>26076080</v>
      </c>
      <c r="L59" s="515"/>
      <c r="M59" s="514">
        <v>1505693.58</v>
      </c>
    </row>
    <row r="60" spans="1:13">
      <c r="A60" s="467" t="str">
        <f t="shared" si="2"/>
        <v xml:space="preserve"> "РЕСТ Ко"</v>
      </c>
      <c r="B60" s="260">
        <f t="shared" si="0"/>
        <v>-118404733.13</v>
      </c>
      <c r="C60" s="260">
        <f t="shared" si="1"/>
        <v>-206092006.12</v>
      </c>
      <c r="D60" s="467" t="str">
        <f>VLOOKUP(F60,Справочник!$A$2:$C$415,3,FALSE)</f>
        <v>Прочие краткосрочные обязательства</v>
      </c>
      <c r="F60" s="512">
        <v>3130</v>
      </c>
      <c r="G60" s="513" t="s">
        <v>124</v>
      </c>
      <c r="H60" s="515"/>
      <c r="I60" s="514">
        <v>118404733.13</v>
      </c>
      <c r="J60" s="514">
        <v>46880141.659999996</v>
      </c>
      <c r="K60" s="514">
        <v>134567414.65000001</v>
      </c>
      <c r="L60" s="515"/>
      <c r="M60" s="514">
        <v>206092006.12</v>
      </c>
    </row>
    <row r="61" spans="1:13">
      <c r="A61" s="467" t="str">
        <f t="shared" si="2"/>
        <v xml:space="preserve"> "РЕСТ Ко"</v>
      </c>
      <c r="B61" s="260">
        <f t="shared" si="0"/>
        <v>-2024423.1</v>
      </c>
      <c r="C61" s="260">
        <f t="shared" si="1"/>
        <v>-2330232.7400000002</v>
      </c>
      <c r="D61" s="467" t="str">
        <f>VLOOKUP(F61,Справочник!$A$2:$C$415,3,FALSE)</f>
        <v>Прочие краткосрочные обязательства</v>
      </c>
      <c r="F61" s="512">
        <v>3150</v>
      </c>
      <c r="G61" s="513" t="s">
        <v>180</v>
      </c>
      <c r="H61" s="515"/>
      <c r="I61" s="514">
        <v>2024423.1</v>
      </c>
      <c r="J61" s="514">
        <v>15391988.359999999</v>
      </c>
      <c r="K61" s="514">
        <v>15697798</v>
      </c>
      <c r="L61" s="515"/>
      <c r="M61" s="514">
        <v>2330232.7400000002</v>
      </c>
    </row>
    <row r="62" spans="1:13">
      <c r="A62" s="467" t="str">
        <f t="shared" si="2"/>
        <v xml:space="preserve"> "РЕСТ Ко"</v>
      </c>
      <c r="B62" s="260">
        <f t="shared" si="0"/>
        <v>0</v>
      </c>
      <c r="C62" s="260">
        <f t="shared" si="1"/>
        <v>0</v>
      </c>
      <c r="D62" s="467" t="str">
        <f>VLOOKUP(F62,Справочник!$A$2:$C$415,3,FALSE)</f>
        <v>Прочие краткосрочные обязательства</v>
      </c>
      <c r="F62" s="512">
        <v>3170</v>
      </c>
      <c r="G62" s="513" t="s">
        <v>182</v>
      </c>
      <c r="H62" s="515"/>
      <c r="I62" s="515"/>
      <c r="J62" s="514">
        <v>7818</v>
      </c>
      <c r="K62" s="514">
        <v>7818</v>
      </c>
      <c r="L62" s="515"/>
      <c r="M62" s="515"/>
    </row>
    <row r="63" spans="1:13">
      <c r="A63" s="467" t="str">
        <f t="shared" si="2"/>
        <v xml:space="preserve"> "РЕСТ Ко"</v>
      </c>
      <c r="B63" s="260">
        <f t="shared" si="0"/>
        <v>-35409</v>
      </c>
      <c r="C63" s="260">
        <f t="shared" si="1"/>
        <v>193710.87</v>
      </c>
      <c r="D63" s="467" t="str">
        <f>VLOOKUP(F63,Справочник!$A$2:$C$415,3,FALSE)</f>
        <v>Прочие краткосрочные обязательства</v>
      </c>
      <c r="F63" s="512">
        <v>3190</v>
      </c>
      <c r="G63" s="513" t="s">
        <v>184</v>
      </c>
      <c r="H63" s="515"/>
      <c r="I63" s="514">
        <v>35409</v>
      </c>
      <c r="J63" s="514">
        <v>409463.47</v>
      </c>
      <c r="K63" s="514">
        <v>180343.6</v>
      </c>
      <c r="L63" s="515"/>
      <c r="M63" s="521">
        <v>-193710.87</v>
      </c>
    </row>
    <row r="64" spans="1:13" ht="24">
      <c r="A64" s="467" t="str">
        <f t="shared" si="2"/>
        <v xml:space="preserve"> "РЕСТ Ко"</v>
      </c>
      <c r="B64" s="260">
        <f t="shared" si="0"/>
        <v>-4627715.99</v>
      </c>
      <c r="C64" s="260">
        <f t="shared" si="1"/>
        <v>-6004499.1900000004</v>
      </c>
      <c r="D64" s="467">
        <f>VLOOKUP(F64,Справочник!$A$2:$C$415,3,FALSE)</f>
        <v>0</v>
      </c>
      <c r="F64" s="508">
        <v>3200</v>
      </c>
      <c r="G64" s="509" t="s">
        <v>185</v>
      </c>
      <c r="H64" s="511"/>
      <c r="I64" s="510">
        <v>4627715.99</v>
      </c>
      <c r="J64" s="510">
        <v>39818065.259999998</v>
      </c>
      <c r="K64" s="510">
        <v>41194848.460000001</v>
      </c>
      <c r="L64" s="511"/>
      <c r="M64" s="510">
        <v>6004499.1900000004</v>
      </c>
    </row>
    <row r="65" spans="1:13">
      <c r="A65" s="467" t="str">
        <f t="shared" si="2"/>
        <v xml:space="preserve"> "РЕСТ Ко"</v>
      </c>
      <c r="B65" s="260">
        <f t="shared" si="0"/>
        <v>-1331974.1200000001</v>
      </c>
      <c r="C65" s="260">
        <f t="shared" si="1"/>
        <v>-1833537.19</v>
      </c>
      <c r="D65" s="467" t="str">
        <f>VLOOKUP(F65,Справочник!$A$2:$C$415,3,FALSE)</f>
        <v>Прочие краткосрочные обязательства</v>
      </c>
      <c r="F65" s="512">
        <v>3210</v>
      </c>
      <c r="G65" s="513" t="s">
        <v>186</v>
      </c>
      <c r="H65" s="515"/>
      <c r="I65" s="514">
        <v>1331974.1200000001</v>
      </c>
      <c r="J65" s="514">
        <v>12172387.390000001</v>
      </c>
      <c r="K65" s="514">
        <v>12673950.460000001</v>
      </c>
      <c r="L65" s="515"/>
      <c r="M65" s="514">
        <v>1833537.19</v>
      </c>
    </row>
    <row r="66" spans="1:13">
      <c r="A66" s="467" t="str">
        <f t="shared" si="2"/>
        <v xml:space="preserve"> "РЕСТ Ко"</v>
      </c>
      <c r="B66" s="260">
        <f t="shared" si="0"/>
        <v>-3295741.87</v>
      </c>
      <c r="C66" s="260">
        <f t="shared" si="1"/>
        <v>-4170962</v>
      </c>
      <c r="D66" s="467" t="str">
        <f>VLOOKUP(F66,Справочник!$A$2:$C$415,3,FALSE)</f>
        <v>Прочие краткосрочные обязательства</v>
      </c>
      <c r="F66" s="512">
        <v>3220</v>
      </c>
      <c r="G66" s="513" t="s">
        <v>187</v>
      </c>
      <c r="H66" s="515"/>
      <c r="I66" s="514">
        <v>3295741.87</v>
      </c>
      <c r="J66" s="514">
        <v>27645677.870000001</v>
      </c>
      <c r="K66" s="514">
        <v>28520898</v>
      </c>
      <c r="L66" s="515"/>
      <c r="M66" s="514">
        <v>4170962</v>
      </c>
    </row>
    <row r="67" spans="1:13">
      <c r="A67" s="467" t="str">
        <f t="shared" si="2"/>
        <v xml:space="preserve"> "РЕСТ Ко"</v>
      </c>
      <c r="B67" s="260">
        <f t="shared" si="0"/>
        <v>-729622872.48000002</v>
      </c>
      <c r="C67" s="260">
        <f t="shared" si="1"/>
        <v>-617794101.89999998</v>
      </c>
      <c r="D67" s="467">
        <f>VLOOKUP(F67,Справочник!$A$2:$C$415,3,FALSE)</f>
        <v>0</v>
      </c>
      <c r="F67" s="508">
        <v>3300</v>
      </c>
      <c r="G67" s="509" t="s">
        <v>76</v>
      </c>
      <c r="H67" s="511"/>
      <c r="I67" s="510">
        <v>729622872.48000002</v>
      </c>
      <c r="J67" s="510">
        <v>1521748298.04</v>
      </c>
      <c r="K67" s="510">
        <v>1409919527.46</v>
      </c>
      <c r="L67" s="511"/>
      <c r="M67" s="510">
        <v>617794101.89999998</v>
      </c>
    </row>
    <row r="68" spans="1:13">
      <c r="A68" s="467" t="str">
        <f t="shared" si="2"/>
        <v xml:space="preserve"> "РЕСТ Ко"</v>
      </c>
      <c r="B68" s="260">
        <f t="shared" si="0"/>
        <v>-709379742.60000002</v>
      </c>
      <c r="C68" s="260">
        <f t="shared" si="1"/>
        <v>-608507331.39999998</v>
      </c>
      <c r="D68" s="467" t="str">
        <f>VLOOKUP(F68,Справочник!$A$2:$C$415,3,FALSE)</f>
        <v>Краткосрочная торговая и прочая кредиторская задолженность</v>
      </c>
      <c r="F68" s="512">
        <v>3310</v>
      </c>
      <c r="G68" s="513" t="s">
        <v>190</v>
      </c>
      <c r="H68" s="515"/>
      <c r="I68" s="514">
        <v>709379742.60000002</v>
      </c>
      <c r="J68" s="514">
        <v>1188302605.26</v>
      </c>
      <c r="K68" s="514">
        <v>1087430194.0599999</v>
      </c>
      <c r="L68" s="515"/>
      <c r="M68" s="514">
        <v>608507331.39999998</v>
      </c>
    </row>
    <row r="69" spans="1:13">
      <c r="A69" s="467" t="str">
        <f t="shared" si="2"/>
        <v xml:space="preserve"> "РЕСТ Ко"</v>
      </c>
      <c r="B69" s="260">
        <f t="shared" si="0"/>
        <v>-20366667.879999999</v>
      </c>
      <c r="C69" s="260">
        <f t="shared" si="1"/>
        <v>-10179999.5</v>
      </c>
      <c r="D69" s="467" t="str">
        <f>VLOOKUP(F69,Справочник!$A$2:$C$415,3,FALSE)</f>
        <v>Вознаграждения работникам</v>
      </c>
      <c r="F69" s="512">
        <v>3350</v>
      </c>
      <c r="G69" s="513" t="s">
        <v>194</v>
      </c>
      <c r="H69" s="515"/>
      <c r="I69" s="514">
        <v>20366667.879999999</v>
      </c>
      <c r="J69" s="514">
        <v>293831707.77999997</v>
      </c>
      <c r="K69" s="514">
        <v>283645039.39999998</v>
      </c>
      <c r="L69" s="515"/>
      <c r="M69" s="514">
        <v>10179999.5</v>
      </c>
    </row>
    <row r="70" spans="1:13">
      <c r="A70" s="467" t="str">
        <f t="shared" si="2"/>
        <v xml:space="preserve"> "РЕСТ Ко"</v>
      </c>
      <c r="B70" s="260">
        <f t="shared" si="0"/>
        <v>123538</v>
      </c>
      <c r="C70" s="260">
        <f t="shared" si="1"/>
        <v>893229</v>
      </c>
      <c r="D70" s="467">
        <f>VLOOKUP(F70,Справочник!$A$2:$C$415,3,FALSE)</f>
        <v>0</v>
      </c>
      <c r="F70" s="516">
        <v>3390</v>
      </c>
      <c r="G70" s="517" t="s">
        <v>198</v>
      </c>
      <c r="H70" s="518"/>
      <c r="I70" s="522">
        <v>-123538</v>
      </c>
      <c r="J70" s="519">
        <v>39613985</v>
      </c>
      <c r="K70" s="519">
        <v>38844294</v>
      </c>
      <c r="L70" s="518"/>
      <c r="M70" s="522">
        <v>-893229</v>
      </c>
    </row>
    <row r="71" spans="1:13" ht="24">
      <c r="A71" s="467" t="str">
        <f t="shared" si="2"/>
        <v xml:space="preserve"> "РЕСТ Ко"</v>
      </c>
      <c r="B71" s="260">
        <f t="shared" si="0"/>
        <v>0</v>
      </c>
      <c r="C71" s="260">
        <f t="shared" si="1"/>
        <v>0</v>
      </c>
      <c r="D71" s="467" t="str">
        <f>VLOOKUP(F71,Справочник!$A$2:$C$415,3,FALSE)</f>
        <v>Краткосрочная торговая и прочая кредиторская задолженность</v>
      </c>
      <c r="F71" s="520">
        <v>3392</v>
      </c>
      <c r="G71" s="513" t="s">
        <v>200</v>
      </c>
      <c r="H71" s="515"/>
      <c r="I71" s="515"/>
      <c r="J71" s="514">
        <v>1964685</v>
      </c>
      <c r="K71" s="514">
        <v>1964685</v>
      </c>
      <c r="L71" s="515"/>
      <c r="M71" s="515"/>
    </row>
    <row r="72" spans="1:13">
      <c r="A72" s="467" t="str">
        <f t="shared" si="2"/>
        <v xml:space="preserve"> "РЕСТ Ко"</v>
      </c>
      <c r="B72" s="260">
        <f t="shared" ref="B72:B135" si="3">IF(ISBLANK(H72)=FALSE,H72,-I72)</f>
        <v>0</v>
      </c>
      <c r="C72" s="260">
        <f t="shared" si="1"/>
        <v>0</v>
      </c>
      <c r="D72" s="467" t="str">
        <f>VLOOKUP(F72,Справочник!$A$2:$C$415,3,FALSE)</f>
        <v>Краткосрочная торговая и прочая кредиторская задолженность</v>
      </c>
      <c r="F72" s="520">
        <v>3395</v>
      </c>
      <c r="G72" s="513" t="s">
        <v>203</v>
      </c>
      <c r="H72" s="515"/>
      <c r="I72" s="515"/>
      <c r="J72" s="514">
        <v>68169</v>
      </c>
      <c r="K72" s="514">
        <v>68169</v>
      </c>
      <c r="L72" s="515"/>
      <c r="M72" s="515"/>
    </row>
    <row r="73" spans="1:13">
      <c r="A73" s="467" t="str">
        <f t="shared" si="2"/>
        <v xml:space="preserve"> "РЕСТ Ко"</v>
      </c>
      <c r="B73" s="260">
        <f t="shared" si="3"/>
        <v>123538</v>
      </c>
      <c r="C73" s="260">
        <f t="shared" si="1"/>
        <v>893229</v>
      </c>
      <c r="D73" s="467" t="str">
        <f>VLOOKUP(F73,Справочник!$A$2:$C$415,3,FALSE)</f>
        <v>Краткосрочная торговая и прочая кредиторская задолженность</v>
      </c>
      <c r="F73" s="520">
        <v>3397</v>
      </c>
      <c r="G73" s="513" t="s">
        <v>198</v>
      </c>
      <c r="H73" s="515"/>
      <c r="I73" s="521">
        <v>-123538</v>
      </c>
      <c r="J73" s="514">
        <v>37581131</v>
      </c>
      <c r="K73" s="514">
        <v>36811440</v>
      </c>
      <c r="L73" s="515"/>
      <c r="M73" s="521">
        <v>-893229</v>
      </c>
    </row>
    <row r="74" spans="1:13">
      <c r="A74" s="467" t="str">
        <f t="shared" si="2"/>
        <v xml:space="preserve"> "РЕСТ Ко"</v>
      </c>
      <c r="B74" s="260">
        <f t="shared" si="3"/>
        <v>-17094144.969999999</v>
      </c>
      <c r="C74" s="260">
        <f t="shared" ref="C74:C137" si="4">IF(ISBLANK(L74)=FALSE,L74,-M74)</f>
        <v>-31721587.77</v>
      </c>
      <c r="D74" s="467">
        <f>VLOOKUP(F74,Справочник!$A$2:$C$415,3,FALSE)</f>
        <v>0</v>
      </c>
      <c r="F74" s="508">
        <v>3400</v>
      </c>
      <c r="G74" s="509" t="s">
        <v>39</v>
      </c>
      <c r="H74" s="511"/>
      <c r="I74" s="510">
        <v>17094144.969999999</v>
      </c>
      <c r="J74" s="510">
        <v>5227993.74</v>
      </c>
      <c r="K74" s="510">
        <v>19855436.539999999</v>
      </c>
      <c r="L74" s="511"/>
      <c r="M74" s="510">
        <v>31721587.77</v>
      </c>
    </row>
    <row r="75" spans="1:13" ht="24">
      <c r="A75" s="467" t="str">
        <f t="shared" ref="A75:A138" si="5">A74</f>
        <v xml:space="preserve"> "РЕСТ Ко"</v>
      </c>
      <c r="B75" s="260">
        <f t="shared" si="3"/>
        <v>-17094144.969999999</v>
      </c>
      <c r="C75" s="260">
        <f t="shared" si="4"/>
        <v>-31721587.77</v>
      </c>
      <c r="D75" s="467" t="str">
        <f>VLOOKUP(F75,Справочник!$A$2:$C$415,3,FALSE)</f>
        <v>Краткосрочные резервы</v>
      </c>
      <c r="F75" s="512">
        <v>3430</v>
      </c>
      <c r="G75" s="513" t="s">
        <v>207</v>
      </c>
      <c r="H75" s="515"/>
      <c r="I75" s="514">
        <v>17094144.969999999</v>
      </c>
      <c r="J75" s="514">
        <v>5227993.74</v>
      </c>
      <c r="K75" s="514">
        <v>19855436.539999999</v>
      </c>
      <c r="L75" s="515"/>
      <c r="M75" s="514">
        <v>31721587.77</v>
      </c>
    </row>
    <row r="76" spans="1:13">
      <c r="A76" s="467" t="str">
        <f t="shared" si="5"/>
        <v xml:space="preserve"> "РЕСТ Ко"</v>
      </c>
      <c r="B76" s="260">
        <f t="shared" si="3"/>
        <v>-32220172.23</v>
      </c>
      <c r="C76" s="260">
        <f t="shared" si="4"/>
        <v>-82401415.769999996</v>
      </c>
      <c r="D76" s="467">
        <f>VLOOKUP(F76,Справочник!$A$2:$C$415,3,FALSE)</f>
        <v>0</v>
      </c>
      <c r="F76" s="508">
        <v>3500</v>
      </c>
      <c r="G76" s="509" t="s">
        <v>209</v>
      </c>
      <c r="H76" s="511"/>
      <c r="I76" s="510">
        <v>32220172.23</v>
      </c>
      <c r="J76" s="510">
        <v>173682215.72999999</v>
      </c>
      <c r="K76" s="510">
        <v>223863459.27000001</v>
      </c>
      <c r="L76" s="511"/>
      <c r="M76" s="510">
        <v>82401415.769999996</v>
      </c>
    </row>
    <row r="77" spans="1:13">
      <c r="A77" s="467" t="str">
        <f t="shared" si="5"/>
        <v xml:space="preserve"> "РЕСТ Ко"</v>
      </c>
      <c r="B77" s="260">
        <f t="shared" si="3"/>
        <v>-32132392.98</v>
      </c>
      <c r="C77" s="260">
        <f t="shared" si="4"/>
        <v>-81668636.519999996</v>
      </c>
      <c r="D77" s="467" t="str">
        <f>VLOOKUP(F77,Справочник!$A$2:$C$415,3,FALSE)</f>
        <v>Прочие краткосрочные обязательства</v>
      </c>
      <c r="F77" s="512">
        <v>3510</v>
      </c>
      <c r="G77" s="513" t="s">
        <v>210</v>
      </c>
      <c r="H77" s="515"/>
      <c r="I77" s="514">
        <v>32132392.98</v>
      </c>
      <c r="J77" s="514">
        <v>155839329.72999999</v>
      </c>
      <c r="K77" s="514">
        <v>205375573.27000001</v>
      </c>
      <c r="L77" s="515"/>
      <c r="M77" s="514">
        <v>81668636.519999996</v>
      </c>
    </row>
    <row r="78" spans="1:13">
      <c r="A78" s="467" t="str">
        <f t="shared" si="5"/>
        <v xml:space="preserve"> "РЕСТ Ко"</v>
      </c>
      <c r="B78" s="260">
        <f t="shared" si="3"/>
        <v>-87779.25</v>
      </c>
      <c r="C78" s="260">
        <f t="shared" si="4"/>
        <v>-732779.25</v>
      </c>
      <c r="D78" s="467" t="str">
        <f>VLOOKUP(F78,Справочник!$A$2:$C$415,3,FALSE)</f>
        <v>Прочие краткосрочные обязательства</v>
      </c>
      <c r="F78" s="512">
        <v>3540</v>
      </c>
      <c r="G78" s="513" t="s">
        <v>209</v>
      </c>
      <c r="H78" s="515"/>
      <c r="I78" s="514">
        <v>87779.25</v>
      </c>
      <c r="J78" s="514">
        <v>17842886</v>
      </c>
      <c r="K78" s="514">
        <v>18487886</v>
      </c>
      <c r="L78" s="515"/>
      <c r="M78" s="514">
        <v>732779.25</v>
      </c>
    </row>
    <row r="79" spans="1:13">
      <c r="A79" s="467" t="str">
        <f t="shared" si="5"/>
        <v xml:space="preserve"> "РЕСТ Ко"</v>
      </c>
      <c r="B79" s="260">
        <f t="shared" si="3"/>
        <v>-1004296.86</v>
      </c>
      <c r="C79" s="260">
        <f t="shared" si="4"/>
        <v>-1004296.86</v>
      </c>
      <c r="D79" s="467">
        <f>VLOOKUP(F79,Справочник!$A$2:$C$415,3,FALSE)</f>
        <v>0</v>
      </c>
      <c r="F79" s="508">
        <v>4300</v>
      </c>
      <c r="G79" s="509" t="s">
        <v>73</v>
      </c>
      <c r="H79" s="511"/>
      <c r="I79" s="510">
        <v>1004296.86</v>
      </c>
      <c r="J79" s="511"/>
      <c r="K79" s="511"/>
      <c r="L79" s="511"/>
      <c r="M79" s="510">
        <v>1004296.86</v>
      </c>
    </row>
    <row r="80" spans="1:13" ht="24">
      <c r="A80" s="467" t="str">
        <f t="shared" si="5"/>
        <v xml:space="preserve"> "РЕСТ Ко"</v>
      </c>
      <c r="B80" s="260">
        <f t="shared" si="3"/>
        <v>-1004296.86</v>
      </c>
      <c r="C80" s="260">
        <f t="shared" si="4"/>
        <v>-1004296.86</v>
      </c>
      <c r="D80" s="467" t="str">
        <f>VLOOKUP(F80,Справочник!$A$2:$C$415,3,FALSE)</f>
        <v>Отложенные налоговые обязательства</v>
      </c>
      <c r="F80" s="512">
        <v>4310</v>
      </c>
      <c r="G80" s="513" t="s">
        <v>236</v>
      </c>
      <c r="H80" s="515"/>
      <c r="I80" s="514">
        <v>1004296.86</v>
      </c>
      <c r="J80" s="515"/>
      <c r="K80" s="515"/>
      <c r="L80" s="515"/>
      <c r="M80" s="514">
        <v>1004296.86</v>
      </c>
    </row>
    <row r="81" spans="1:13">
      <c r="A81" s="467" t="str">
        <f t="shared" si="5"/>
        <v xml:space="preserve"> "РЕСТ Ко"</v>
      </c>
      <c r="B81" s="260">
        <f t="shared" si="3"/>
        <v>-300801798</v>
      </c>
      <c r="C81" s="260">
        <f t="shared" si="4"/>
        <v>-300801798</v>
      </c>
      <c r="D81" s="467">
        <f>VLOOKUP(F81,Справочник!$A$2:$C$415,3,FALSE)</f>
        <v>0</v>
      </c>
      <c r="F81" s="508">
        <v>5000</v>
      </c>
      <c r="G81" s="509" t="s">
        <v>45</v>
      </c>
      <c r="H81" s="511"/>
      <c r="I81" s="510">
        <v>300801798</v>
      </c>
      <c r="J81" s="511"/>
      <c r="K81" s="511"/>
      <c r="L81" s="511"/>
      <c r="M81" s="510">
        <v>300801798</v>
      </c>
    </row>
    <row r="82" spans="1:13">
      <c r="A82" s="467" t="str">
        <f t="shared" si="5"/>
        <v xml:space="preserve"> "РЕСТ Ко"</v>
      </c>
      <c r="B82" s="260">
        <f t="shared" si="3"/>
        <v>-300801798</v>
      </c>
      <c r="C82" s="260">
        <f t="shared" si="4"/>
        <v>-300801798</v>
      </c>
      <c r="D82" s="467" t="str">
        <f>VLOOKUP(F82,Справочник!$A$2:$C$415,3,FALSE)</f>
        <v>Уставный (акционерный) капитал</v>
      </c>
      <c r="F82" s="512">
        <v>5030</v>
      </c>
      <c r="G82" s="513" t="s">
        <v>242</v>
      </c>
      <c r="H82" s="515"/>
      <c r="I82" s="514">
        <v>300801798</v>
      </c>
      <c r="J82" s="515"/>
      <c r="K82" s="515"/>
      <c r="L82" s="515"/>
      <c r="M82" s="514">
        <v>300801798</v>
      </c>
    </row>
    <row r="83" spans="1:13">
      <c r="A83" s="467" t="str">
        <f t="shared" si="5"/>
        <v xml:space="preserve"> "РЕСТ Ко"</v>
      </c>
      <c r="B83" s="260">
        <f t="shared" si="3"/>
        <v>-415320.97</v>
      </c>
      <c r="C83" s="260">
        <f t="shared" si="4"/>
        <v>-415320.97</v>
      </c>
      <c r="D83" s="467">
        <f>VLOOKUP(F83,Справочник!$A$2:$C$415,3,FALSE)</f>
        <v>0</v>
      </c>
      <c r="F83" s="508">
        <v>5400</v>
      </c>
      <c r="G83" s="509" t="s">
        <v>246</v>
      </c>
      <c r="H83" s="511"/>
      <c r="I83" s="510">
        <v>415320.97</v>
      </c>
      <c r="J83" s="511"/>
      <c r="K83" s="511"/>
      <c r="L83" s="511"/>
      <c r="M83" s="510">
        <v>415320.97</v>
      </c>
    </row>
    <row r="84" spans="1:13">
      <c r="A84" s="467" t="str">
        <f t="shared" si="5"/>
        <v xml:space="preserve"> "РЕСТ Ко"</v>
      </c>
      <c r="B84" s="260">
        <f t="shared" si="3"/>
        <v>-415320.97</v>
      </c>
      <c r="C84" s="260">
        <f t="shared" si="4"/>
        <v>-415320.97</v>
      </c>
      <c r="D84" s="467" t="str">
        <f>VLOOKUP(F84,Справочник!$A$2:$C$415,3,FALSE)</f>
        <v>Резервы</v>
      </c>
      <c r="F84" s="512">
        <v>5460</v>
      </c>
      <c r="G84" s="513" t="s">
        <v>252</v>
      </c>
      <c r="H84" s="515"/>
      <c r="I84" s="514">
        <v>415320.97</v>
      </c>
      <c r="J84" s="515"/>
      <c r="K84" s="515"/>
      <c r="L84" s="515"/>
      <c r="M84" s="514">
        <v>415320.97</v>
      </c>
    </row>
    <row r="85" spans="1:13">
      <c r="A85" s="467" t="str">
        <f t="shared" si="5"/>
        <v xml:space="preserve"> "РЕСТ Ко"</v>
      </c>
      <c r="B85" s="260">
        <f t="shared" si="3"/>
        <v>234392516.34999999</v>
      </c>
      <c r="C85" s="260">
        <f t="shared" si="4"/>
        <v>452980876.44</v>
      </c>
      <c r="D85" s="467">
        <f>VLOOKUP(F85,Справочник!$A$2:$C$415,3,FALSE)</f>
        <v>0</v>
      </c>
      <c r="F85" s="508">
        <v>5500</v>
      </c>
      <c r="G85" s="509" t="s">
        <v>253</v>
      </c>
      <c r="H85" s="511"/>
      <c r="I85" s="523">
        <v>-234392516.34999999</v>
      </c>
      <c r="J85" s="511"/>
      <c r="K85" s="523">
        <v>-218588360.09</v>
      </c>
      <c r="L85" s="511"/>
      <c r="M85" s="523">
        <v>-452980876.44</v>
      </c>
    </row>
    <row r="86" spans="1:13" ht="24">
      <c r="A86" s="467" t="str">
        <f t="shared" si="5"/>
        <v xml:space="preserve"> "РЕСТ Ко"</v>
      </c>
      <c r="B86" s="260">
        <f t="shared" si="3"/>
        <v>310559907.23000002</v>
      </c>
      <c r="C86" s="260">
        <f t="shared" si="4"/>
        <v>529148267.31999999</v>
      </c>
      <c r="D86" s="467" t="str">
        <f>VLOOKUP(F86,Справочник!$A$2:$C$415,3,FALSE)</f>
        <v>Нераспределенная прибыль (непокрытый убыток)</v>
      </c>
      <c r="F86" s="512">
        <v>5510</v>
      </c>
      <c r="G86" s="513" t="s">
        <v>254</v>
      </c>
      <c r="H86" s="515"/>
      <c r="I86" s="521">
        <v>-310559907.23000002</v>
      </c>
      <c r="J86" s="515"/>
      <c r="K86" s="521">
        <v>-218588360.09</v>
      </c>
      <c r="L86" s="515"/>
      <c r="M86" s="521">
        <v>-529148267.31999999</v>
      </c>
    </row>
    <row r="87" spans="1:13" ht="24">
      <c r="A87" s="467" t="str">
        <f t="shared" si="5"/>
        <v xml:space="preserve"> "РЕСТ Ко"</v>
      </c>
      <c r="B87" s="260">
        <f t="shared" si="3"/>
        <v>-76167390.879999995</v>
      </c>
      <c r="C87" s="260">
        <f t="shared" si="4"/>
        <v>-76167390.879999995</v>
      </c>
      <c r="D87" s="467" t="str">
        <f>VLOOKUP(F87,Справочник!$A$2:$C$415,3,FALSE)</f>
        <v>Нераспределенная прибыль (непокрытый убыток)</v>
      </c>
      <c r="F87" s="512">
        <v>5520</v>
      </c>
      <c r="G87" s="513" t="s">
        <v>255</v>
      </c>
      <c r="H87" s="515"/>
      <c r="I87" s="514">
        <v>76167390.879999995</v>
      </c>
      <c r="J87" s="515"/>
      <c r="K87" s="515"/>
      <c r="L87" s="515"/>
      <c r="M87" s="514">
        <v>76167390.879999995</v>
      </c>
    </row>
    <row r="88" spans="1:13">
      <c r="A88" s="467" t="str">
        <f t="shared" si="5"/>
        <v xml:space="preserve"> "РЕСТ Ко"</v>
      </c>
      <c r="B88" s="260">
        <f t="shared" si="3"/>
        <v>0</v>
      </c>
      <c r="C88" s="260">
        <f t="shared" si="4"/>
        <v>0</v>
      </c>
      <c r="D88" s="467">
        <f>VLOOKUP(F88,Справочник!$A$2:$C$415,3,FALSE)</f>
        <v>0</v>
      </c>
      <c r="F88" s="508">
        <v>5600</v>
      </c>
      <c r="G88" s="509" t="s">
        <v>256</v>
      </c>
      <c r="H88" s="511"/>
      <c r="I88" s="511"/>
      <c r="J88" s="510">
        <v>1121982016.6500001</v>
      </c>
      <c r="K88" s="510">
        <v>1121982016.6500001</v>
      </c>
      <c r="L88" s="511"/>
      <c r="M88" s="511"/>
    </row>
    <row r="89" spans="1:13">
      <c r="A89" s="467" t="str">
        <f t="shared" si="5"/>
        <v xml:space="preserve"> "РЕСТ Ко"</v>
      </c>
      <c r="B89" s="260">
        <f t="shared" si="3"/>
        <v>0</v>
      </c>
      <c r="C89" s="260">
        <f t="shared" si="4"/>
        <v>0</v>
      </c>
      <c r="D89" s="467" t="str">
        <f>VLOOKUP(F89,Справочник!$A$2:$C$415,3,FALSE)</f>
        <v>Нераспределенная прибыль (непокрытый убыток)</v>
      </c>
      <c r="F89" s="512">
        <v>5610</v>
      </c>
      <c r="G89" s="513" t="s">
        <v>256</v>
      </c>
      <c r="H89" s="515"/>
      <c r="I89" s="515"/>
      <c r="J89" s="514">
        <v>1121982016.6500001</v>
      </c>
      <c r="K89" s="514">
        <v>1121982016.6500001</v>
      </c>
      <c r="L89" s="515"/>
      <c r="M89" s="515"/>
    </row>
    <row r="90" spans="1:13">
      <c r="A90" s="467" t="str">
        <f t="shared" si="5"/>
        <v xml:space="preserve"> "РЕСТ Ко"</v>
      </c>
      <c r="B90" s="260">
        <f t="shared" si="3"/>
        <v>0</v>
      </c>
      <c r="C90" s="260">
        <f t="shared" si="4"/>
        <v>0</v>
      </c>
      <c r="D90" s="467">
        <f>VLOOKUP(F90,Справочник!$A$2:$C$415,3,FALSE)</f>
        <v>0</v>
      </c>
      <c r="F90" s="508">
        <v>6000</v>
      </c>
      <c r="G90" s="509" t="s">
        <v>257</v>
      </c>
      <c r="H90" s="511"/>
      <c r="I90" s="511"/>
      <c r="J90" s="510">
        <v>1119286596.8499999</v>
      </c>
      <c r="K90" s="510">
        <v>1119286596.8499999</v>
      </c>
      <c r="L90" s="511"/>
      <c r="M90" s="511"/>
    </row>
    <row r="91" spans="1:13">
      <c r="A91" s="467" t="str">
        <f t="shared" si="5"/>
        <v xml:space="preserve"> "РЕСТ Ко"</v>
      </c>
      <c r="B91" s="260">
        <f t="shared" si="3"/>
        <v>0</v>
      </c>
      <c r="C91" s="260">
        <f t="shared" si="4"/>
        <v>0</v>
      </c>
      <c r="D91" s="467" t="str">
        <f>VLOOKUP(F91,Справочник!$A$2:$C$415,3,FALSE)</f>
        <v>Выручка</v>
      </c>
      <c r="F91" s="512">
        <v>6010</v>
      </c>
      <c r="G91" s="513" t="s">
        <v>257</v>
      </c>
      <c r="H91" s="515"/>
      <c r="I91" s="515"/>
      <c r="J91" s="514">
        <v>1119286596.8499999</v>
      </c>
      <c r="K91" s="514">
        <v>1119286596.8499999</v>
      </c>
      <c r="L91" s="515"/>
      <c r="M91" s="515"/>
    </row>
    <row r="92" spans="1:13">
      <c r="A92" s="467" t="str">
        <f t="shared" si="5"/>
        <v xml:space="preserve"> "РЕСТ Ко"</v>
      </c>
      <c r="B92" s="260">
        <f t="shared" si="3"/>
        <v>0</v>
      </c>
      <c r="C92" s="260">
        <f t="shared" si="4"/>
        <v>0</v>
      </c>
      <c r="D92" s="467">
        <f>VLOOKUP(F92,Справочник!$A$2:$C$415,3,FALSE)</f>
        <v>0</v>
      </c>
      <c r="F92" s="508">
        <v>6100</v>
      </c>
      <c r="G92" s="509" t="s">
        <v>71</v>
      </c>
      <c r="H92" s="511"/>
      <c r="I92" s="511"/>
      <c r="J92" s="510">
        <v>105600.03</v>
      </c>
      <c r="K92" s="510">
        <v>105600.03</v>
      </c>
      <c r="L92" s="511"/>
      <c r="M92" s="511"/>
    </row>
    <row r="93" spans="1:13">
      <c r="A93" s="467" t="str">
        <f t="shared" si="5"/>
        <v xml:space="preserve"> "РЕСТ Ко"</v>
      </c>
      <c r="B93" s="260">
        <f t="shared" si="3"/>
        <v>0</v>
      </c>
      <c r="C93" s="260">
        <f t="shared" si="4"/>
        <v>0</v>
      </c>
      <c r="D93" s="467" t="str">
        <f>VLOOKUP(F93,Справочник!$A$2:$C$415,3,FALSE)</f>
        <v>Доходы по финансированию</v>
      </c>
      <c r="F93" s="512">
        <v>6110</v>
      </c>
      <c r="G93" s="513" t="s">
        <v>260</v>
      </c>
      <c r="H93" s="515"/>
      <c r="I93" s="515"/>
      <c r="J93" s="514">
        <v>105600.03</v>
      </c>
      <c r="K93" s="514">
        <v>105600.03</v>
      </c>
      <c r="L93" s="515"/>
      <c r="M93" s="515"/>
    </row>
    <row r="94" spans="1:13">
      <c r="A94" s="467" t="str">
        <f t="shared" si="5"/>
        <v xml:space="preserve"> "РЕСТ Ко"</v>
      </c>
      <c r="B94" s="260">
        <f t="shared" si="3"/>
        <v>0</v>
      </c>
      <c r="C94" s="260">
        <f t="shared" si="4"/>
        <v>0</v>
      </c>
      <c r="D94" s="467">
        <f>VLOOKUP(F94,Справочник!$A$2:$C$415,3,FALSE)</f>
        <v>0</v>
      </c>
      <c r="F94" s="508">
        <v>6200</v>
      </c>
      <c r="G94" s="509" t="s">
        <v>266</v>
      </c>
      <c r="H94" s="511"/>
      <c r="I94" s="511"/>
      <c r="J94" s="510">
        <v>2589819.77</v>
      </c>
      <c r="K94" s="510">
        <v>2589819.77</v>
      </c>
      <c r="L94" s="511"/>
      <c r="M94" s="511"/>
    </row>
    <row r="95" spans="1:13">
      <c r="A95" s="467" t="str">
        <f t="shared" si="5"/>
        <v xml:space="preserve"> "РЕСТ Ко"</v>
      </c>
      <c r="B95" s="260">
        <f t="shared" si="3"/>
        <v>0</v>
      </c>
      <c r="C95" s="260">
        <f t="shared" si="4"/>
        <v>0</v>
      </c>
      <c r="D95" s="467" t="str">
        <f>VLOOKUP(F95,Справочник!$A$2:$C$415,3,FALSE)</f>
        <v>Доходы от выбытия активов</v>
      </c>
      <c r="F95" s="512">
        <v>6210</v>
      </c>
      <c r="G95" s="513" t="s">
        <v>267</v>
      </c>
      <c r="H95" s="515"/>
      <c r="I95" s="515"/>
      <c r="J95" s="514">
        <v>2300814.77</v>
      </c>
      <c r="K95" s="514">
        <v>2300814.77</v>
      </c>
      <c r="L95" s="515"/>
      <c r="M95" s="515"/>
    </row>
    <row r="96" spans="1:13">
      <c r="A96" s="467" t="str">
        <f t="shared" si="5"/>
        <v xml:space="preserve"> "РЕСТ Ко"</v>
      </c>
      <c r="B96" s="260">
        <f t="shared" si="3"/>
        <v>0</v>
      </c>
      <c r="C96" s="260">
        <f t="shared" si="4"/>
        <v>0</v>
      </c>
      <c r="D96" s="467" t="str">
        <f>VLOOKUP(F96,Справочник!$A$2:$C$415,3,FALSE)</f>
        <v>Прочие доходы</v>
      </c>
      <c r="F96" s="512">
        <v>6280</v>
      </c>
      <c r="G96" s="513" t="s">
        <v>266</v>
      </c>
      <c r="H96" s="515"/>
      <c r="I96" s="515"/>
      <c r="J96" s="514">
        <v>289005</v>
      </c>
      <c r="K96" s="514">
        <v>289005</v>
      </c>
      <c r="L96" s="515"/>
      <c r="M96" s="515"/>
    </row>
    <row r="97" spans="1:13" ht="24">
      <c r="A97" s="467" t="str">
        <f t="shared" si="5"/>
        <v xml:space="preserve"> "РЕСТ Ко"</v>
      </c>
      <c r="B97" s="260">
        <f t="shared" si="3"/>
        <v>0</v>
      </c>
      <c r="C97" s="260">
        <f t="shared" si="4"/>
        <v>0</v>
      </c>
      <c r="D97" s="467">
        <f>VLOOKUP(F97,Справочник!$A$2:$C$415,3,FALSE)</f>
        <v>0</v>
      </c>
      <c r="F97" s="508">
        <v>7000</v>
      </c>
      <c r="G97" s="509" t="s">
        <v>279</v>
      </c>
      <c r="H97" s="511"/>
      <c r="I97" s="511"/>
      <c r="J97" s="510">
        <v>861311019.69000006</v>
      </c>
      <c r="K97" s="510">
        <v>861311019.69000006</v>
      </c>
      <c r="L97" s="511"/>
      <c r="M97" s="511"/>
    </row>
    <row r="98" spans="1:13">
      <c r="A98" s="467" t="str">
        <f t="shared" si="5"/>
        <v xml:space="preserve"> "РЕСТ Ко"</v>
      </c>
      <c r="B98" s="260">
        <f t="shared" si="3"/>
        <v>0</v>
      </c>
      <c r="C98" s="260">
        <f t="shared" si="4"/>
        <v>0</v>
      </c>
      <c r="D98" s="467" t="str">
        <f>VLOOKUP(F98,Справочник!$A$2:$C$415,3,FALSE)</f>
        <v>Себестоимость реализованных товаров и услуг</v>
      </c>
      <c r="F98" s="512">
        <v>7010</v>
      </c>
      <c r="G98" s="513" t="s">
        <v>279</v>
      </c>
      <c r="H98" s="515"/>
      <c r="I98" s="515"/>
      <c r="J98" s="514">
        <v>861311019.69000006</v>
      </c>
      <c r="K98" s="514">
        <v>861311019.69000006</v>
      </c>
      <c r="L98" s="515"/>
      <c r="M98" s="515"/>
    </row>
    <row r="99" spans="1:13">
      <c r="A99" s="467" t="str">
        <f t="shared" si="5"/>
        <v xml:space="preserve"> "РЕСТ Ко"</v>
      </c>
      <c r="B99" s="260">
        <f t="shared" si="3"/>
        <v>0</v>
      </c>
      <c r="C99" s="260">
        <f t="shared" si="4"/>
        <v>0</v>
      </c>
      <c r="D99" s="467">
        <f>VLOOKUP(F99,Справочник!$A$2:$C$415,3,FALSE)</f>
        <v>0</v>
      </c>
      <c r="F99" s="508">
        <v>7100</v>
      </c>
      <c r="G99" s="509" t="s">
        <v>280</v>
      </c>
      <c r="H99" s="511"/>
      <c r="I99" s="511"/>
      <c r="J99" s="510">
        <v>163540527.16</v>
      </c>
      <c r="K99" s="510">
        <v>163540527.16</v>
      </c>
      <c r="L99" s="511"/>
      <c r="M99" s="511"/>
    </row>
    <row r="100" spans="1:13">
      <c r="A100" s="467" t="str">
        <f t="shared" si="5"/>
        <v xml:space="preserve"> "РЕСТ Ко"</v>
      </c>
      <c r="B100" s="260">
        <f t="shared" si="3"/>
        <v>0</v>
      </c>
      <c r="C100" s="260">
        <f t="shared" si="4"/>
        <v>0</v>
      </c>
      <c r="D100" s="467" t="str">
        <f>VLOOKUP(F100,Справочник!$A$2:$C$415,3,FALSE)</f>
        <v>Расходы по реализации</v>
      </c>
      <c r="F100" s="512">
        <v>7110</v>
      </c>
      <c r="G100" s="513" t="s">
        <v>280</v>
      </c>
      <c r="H100" s="515"/>
      <c r="I100" s="515"/>
      <c r="J100" s="514">
        <v>163540527.16</v>
      </c>
      <c r="K100" s="514">
        <v>163540527.16</v>
      </c>
      <c r="L100" s="515"/>
      <c r="M100" s="515"/>
    </row>
    <row r="101" spans="1:13">
      <c r="A101" s="467" t="str">
        <f t="shared" si="5"/>
        <v xml:space="preserve"> "РЕСТ Ко"</v>
      </c>
      <c r="B101" s="260">
        <f t="shared" si="3"/>
        <v>0</v>
      </c>
      <c r="C101" s="260">
        <f t="shared" si="4"/>
        <v>0</v>
      </c>
      <c r="D101" s="467">
        <f>VLOOKUP(F101,Справочник!$A$2:$C$415,3,FALSE)</f>
        <v>0</v>
      </c>
      <c r="F101" s="508">
        <v>7200</v>
      </c>
      <c r="G101" s="509" t="s">
        <v>55</v>
      </c>
      <c r="H101" s="511"/>
      <c r="I101" s="511"/>
      <c r="J101" s="510">
        <v>314326942.35000002</v>
      </c>
      <c r="K101" s="510">
        <v>314326942.35000002</v>
      </c>
      <c r="L101" s="511"/>
      <c r="M101" s="511"/>
    </row>
    <row r="102" spans="1:13">
      <c r="A102" s="467" t="str">
        <f t="shared" si="5"/>
        <v xml:space="preserve"> "РЕСТ Ко"</v>
      </c>
      <c r="B102" s="260">
        <f t="shared" si="3"/>
        <v>0</v>
      </c>
      <c r="C102" s="260">
        <f t="shared" si="4"/>
        <v>0</v>
      </c>
      <c r="D102" s="467" t="str">
        <f>VLOOKUP(F102,Справочник!$A$2:$C$415,3,FALSE)</f>
        <v>Административные расходы</v>
      </c>
      <c r="F102" s="512">
        <v>7210</v>
      </c>
      <c r="G102" s="513" t="s">
        <v>55</v>
      </c>
      <c r="H102" s="515"/>
      <c r="I102" s="515"/>
      <c r="J102" s="514">
        <v>314326942.35000002</v>
      </c>
      <c r="K102" s="514">
        <v>314326942.35000002</v>
      </c>
      <c r="L102" s="515"/>
      <c r="M102" s="515"/>
    </row>
    <row r="103" spans="1:13">
      <c r="A103" s="467" t="str">
        <f t="shared" si="5"/>
        <v xml:space="preserve"> "РЕСТ Ко"</v>
      </c>
      <c r="B103" s="260">
        <f t="shared" si="3"/>
        <v>0</v>
      </c>
      <c r="C103" s="260">
        <f t="shared" si="4"/>
        <v>0</v>
      </c>
      <c r="D103" s="467">
        <f>VLOOKUP(F103,Справочник!$A$2:$C$415,3,FALSE)</f>
        <v>0</v>
      </c>
      <c r="F103" s="508">
        <v>7400</v>
      </c>
      <c r="G103" s="509" t="s">
        <v>286</v>
      </c>
      <c r="H103" s="511"/>
      <c r="I103" s="511"/>
      <c r="J103" s="510">
        <v>2779548.05</v>
      </c>
      <c r="K103" s="510">
        <v>2779548.05</v>
      </c>
      <c r="L103" s="511"/>
      <c r="M103" s="511"/>
    </row>
    <row r="104" spans="1:13">
      <c r="A104" s="467" t="str">
        <f t="shared" si="5"/>
        <v xml:space="preserve"> "РЕСТ Ко"</v>
      </c>
      <c r="B104" s="260">
        <f t="shared" si="3"/>
        <v>0</v>
      </c>
      <c r="C104" s="260">
        <f t="shared" si="4"/>
        <v>0</v>
      </c>
      <c r="D104" s="467" t="str">
        <f>VLOOKUP(F104,Справочник!$A$2:$C$415,3,FALSE)</f>
        <v>Расходы по выбытию активов</v>
      </c>
      <c r="F104" s="512">
        <v>7410</v>
      </c>
      <c r="G104" s="513" t="s">
        <v>287</v>
      </c>
      <c r="H104" s="515"/>
      <c r="I104" s="515"/>
      <c r="J104" s="514">
        <v>2777356.85</v>
      </c>
      <c r="K104" s="514">
        <v>2777356.85</v>
      </c>
      <c r="L104" s="515"/>
      <c r="M104" s="515"/>
    </row>
    <row r="105" spans="1:13">
      <c r="A105" s="467" t="str">
        <f t="shared" si="5"/>
        <v xml:space="preserve"> "РЕСТ Ко"</v>
      </c>
      <c r="B105" s="260">
        <f t="shared" si="3"/>
        <v>0</v>
      </c>
      <c r="C105" s="260">
        <f t="shared" si="4"/>
        <v>0</v>
      </c>
      <c r="D105" s="467" t="str">
        <f>VLOOKUP(F105,Справочник!$A$2:$C$415,3,FALSE)</f>
        <v>Расходы по курсовой разнице</v>
      </c>
      <c r="F105" s="512">
        <v>7430</v>
      </c>
      <c r="G105" s="513" t="s">
        <v>289</v>
      </c>
      <c r="H105" s="515"/>
      <c r="I105" s="515"/>
      <c r="J105" s="514">
        <v>2191.1999999999998</v>
      </c>
      <c r="K105" s="514">
        <v>2191.1999999999998</v>
      </c>
      <c r="L105" s="515"/>
      <c r="M105" s="515"/>
    </row>
    <row r="106" spans="1:13">
      <c r="A106" s="467" t="str">
        <f t="shared" si="5"/>
        <v xml:space="preserve"> "РЕСТ Ко"</v>
      </c>
      <c r="B106" s="260">
        <f t="shared" si="3"/>
        <v>0</v>
      </c>
      <c r="C106" s="260">
        <f t="shared" si="4"/>
        <v>0</v>
      </c>
      <c r="D106" s="467">
        <f>VLOOKUP(F106,Справочник!$A$2:$C$415,3,FALSE)</f>
        <v>0</v>
      </c>
      <c r="F106" s="508">
        <v>7700</v>
      </c>
      <c r="G106" s="509" t="s">
        <v>297</v>
      </c>
      <c r="H106" s="511"/>
      <c r="I106" s="511"/>
      <c r="J106" s="510">
        <v>3157970.01</v>
      </c>
      <c r="K106" s="510">
        <v>3157970.01</v>
      </c>
      <c r="L106" s="511"/>
      <c r="M106" s="511"/>
    </row>
    <row r="107" spans="1:13">
      <c r="A107" s="467" t="str">
        <f t="shared" si="5"/>
        <v xml:space="preserve"> "РЕСТ Ко"</v>
      </c>
      <c r="B107" s="260">
        <f t="shared" si="3"/>
        <v>0</v>
      </c>
      <c r="C107" s="260">
        <f t="shared" si="4"/>
        <v>0</v>
      </c>
      <c r="D107" s="467" t="str">
        <f>VLOOKUP(F107,Справочник!$A$2:$C$415,3,FALSE)</f>
        <v>Расходы по подоходному налогу</v>
      </c>
      <c r="F107" s="512">
        <v>7710</v>
      </c>
      <c r="G107" s="513" t="s">
        <v>297</v>
      </c>
      <c r="H107" s="515"/>
      <c r="I107" s="515"/>
      <c r="J107" s="514">
        <v>3157970.01</v>
      </c>
      <c r="K107" s="514">
        <v>3157970.01</v>
      </c>
      <c r="L107" s="515"/>
      <c r="M107" s="515"/>
    </row>
    <row r="108" spans="1:13">
      <c r="A108" s="467" t="str">
        <f t="shared" si="5"/>
        <v xml:space="preserve"> "РЕСТ Ко"</v>
      </c>
      <c r="B108" s="260">
        <f t="shared" si="3"/>
        <v>0</v>
      </c>
      <c r="C108" s="260">
        <f t="shared" si="4"/>
        <v>0</v>
      </c>
      <c r="D108" s="467">
        <f>VLOOKUP(F108,Справочник!$A$2:$C$415,3,FALSE)</f>
        <v>0</v>
      </c>
      <c r="F108" s="508">
        <v>8100</v>
      </c>
      <c r="G108" s="509" t="s">
        <v>115</v>
      </c>
      <c r="H108" s="511"/>
      <c r="I108" s="511"/>
      <c r="J108" s="510">
        <v>6966809.1900000004</v>
      </c>
      <c r="K108" s="510">
        <v>6966809.1900000004</v>
      </c>
      <c r="L108" s="511"/>
      <c r="M108" s="511"/>
    </row>
    <row r="109" spans="1:13">
      <c r="A109" s="467" t="str">
        <f t="shared" si="5"/>
        <v xml:space="preserve"> "РЕСТ Ко"</v>
      </c>
      <c r="B109" s="260">
        <f t="shared" si="3"/>
        <v>0</v>
      </c>
      <c r="C109" s="260">
        <f t="shared" si="4"/>
        <v>0</v>
      </c>
      <c r="D109" s="467" t="e">
        <f>VLOOKUP(F109,Справочник!$A$2:$C$415,3,FALSE)</f>
        <v>#N/A</v>
      </c>
      <c r="F109" s="512">
        <v>8110</v>
      </c>
      <c r="G109" s="513" t="s">
        <v>115</v>
      </c>
      <c r="H109" s="515"/>
      <c r="I109" s="515"/>
      <c r="J109" s="514">
        <v>6966809.1900000004</v>
      </c>
      <c r="K109" s="514">
        <v>6966809.1900000004</v>
      </c>
      <c r="L109" s="515"/>
      <c r="M109" s="515"/>
    </row>
    <row r="110" spans="1:13">
      <c r="A110" s="467" t="str">
        <f t="shared" si="5"/>
        <v xml:space="preserve"> "РЕСТ Ко"</v>
      </c>
      <c r="B110" s="260">
        <f t="shared" si="3"/>
        <v>973194026.45000005</v>
      </c>
      <c r="C110" s="260">
        <f t="shared" si="4"/>
        <v>797042661.34000003</v>
      </c>
      <c r="D110" s="467" t="e">
        <f>VLOOKUP(F110,Справочник!$A$2:$C$415,3,FALSE)</f>
        <v>#N/A</v>
      </c>
      <c r="F110" s="679" t="s">
        <v>615</v>
      </c>
      <c r="G110" s="679"/>
      <c r="H110" s="524">
        <v>973194026.45000005</v>
      </c>
      <c r="I110" s="524">
        <v>973194026.45000005</v>
      </c>
      <c r="J110" s="524">
        <v>11853453030.51</v>
      </c>
      <c r="K110" s="524">
        <v>11853453030.51</v>
      </c>
      <c r="L110" s="524">
        <v>797042661.34000003</v>
      </c>
      <c r="M110" s="524">
        <v>797042661.34000003</v>
      </c>
    </row>
    <row r="111" spans="1:13">
      <c r="A111" s="467" t="str">
        <f t="shared" si="5"/>
        <v xml:space="preserve"> "РЕСТ Ко"</v>
      </c>
      <c r="B111" s="260">
        <f t="shared" si="3"/>
        <v>0</v>
      </c>
      <c r="C111" s="260">
        <f t="shared" si="4"/>
        <v>0</v>
      </c>
      <c r="D111" s="467">
        <f>VLOOKUP(F111,Справочник!$A$2:$C$415,3,FALSE)</f>
        <v>0</v>
      </c>
      <c r="F111" s="678"/>
      <c r="G111" s="678"/>
      <c r="H111" s="429"/>
      <c r="I111" s="429"/>
      <c r="J111" s="429"/>
      <c r="K111" s="429"/>
      <c r="L111" s="429"/>
      <c r="M111" s="429"/>
    </row>
    <row r="112" spans="1:13">
      <c r="A112" s="467" t="str">
        <f t="shared" si="5"/>
        <v xml:space="preserve"> "РЕСТ Ко"</v>
      </c>
      <c r="B112" s="260">
        <f t="shared" si="3"/>
        <v>0</v>
      </c>
      <c r="C112" s="260">
        <f t="shared" si="4"/>
        <v>0</v>
      </c>
      <c r="D112" s="467">
        <f>VLOOKUP(F112,Справочник!$A$2:$C$415,3,FALSE)</f>
        <v>0</v>
      </c>
      <c r="F112" s="361"/>
      <c r="G112" s="357"/>
      <c r="H112" s="358"/>
      <c r="I112" s="360"/>
      <c r="J112" s="359"/>
      <c r="K112" s="360"/>
      <c r="L112" s="358"/>
      <c r="M112" s="360"/>
    </row>
    <row r="113" spans="1:13">
      <c r="A113" s="467" t="str">
        <f t="shared" si="5"/>
        <v xml:space="preserve"> "РЕСТ Ко"</v>
      </c>
      <c r="B113" s="260">
        <f t="shared" si="3"/>
        <v>0</v>
      </c>
      <c r="C113" s="260">
        <f t="shared" si="4"/>
        <v>0</v>
      </c>
      <c r="D113" s="467">
        <f>VLOOKUP(F113,Справочник!$A$2:$C$415,3,FALSE)</f>
        <v>0</v>
      </c>
      <c r="F113" s="372"/>
      <c r="G113" s="373"/>
      <c r="H113" s="374"/>
      <c r="I113" s="376"/>
      <c r="J113" s="375"/>
      <c r="K113" s="376"/>
      <c r="L113" s="374"/>
      <c r="M113" s="376"/>
    </row>
    <row r="114" spans="1:13">
      <c r="A114" s="467" t="str">
        <f t="shared" si="5"/>
        <v xml:space="preserve"> "РЕСТ Ко"</v>
      </c>
      <c r="B114" s="260">
        <f t="shared" si="3"/>
        <v>0</v>
      </c>
      <c r="C114" s="260">
        <f t="shared" si="4"/>
        <v>0</v>
      </c>
      <c r="D114" s="467">
        <f>VLOOKUP(F114,Справочник!$A$2:$C$415,3,FALSE)</f>
        <v>0</v>
      </c>
      <c r="F114" s="362"/>
      <c r="G114" s="363"/>
      <c r="H114" s="366"/>
      <c r="I114" s="364"/>
      <c r="J114" s="365"/>
      <c r="K114" s="366"/>
      <c r="L114" s="366"/>
      <c r="M114" s="364"/>
    </row>
    <row r="115" spans="1:13">
      <c r="A115" s="467" t="str">
        <f t="shared" si="5"/>
        <v xml:space="preserve"> "РЕСТ Ко"</v>
      </c>
      <c r="B115" s="260">
        <f t="shared" si="3"/>
        <v>0</v>
      </c>
      <c r="C115" s="260">
        <f t="shared" si="4"/>
        <v>0</v>
      </c>
      <c r="D115" s="467">
        <f>VLOOKUP(F115,Справочник!$A$2:$C$415,3,FALSE)</f>
        <v>0</v>
      </c>
      <c r="F115" s="362"/>
      <c r="G115" s="363"/>
      <c r="H115" s="364"/>
      <c r="I115" s="365"/>
      <c r="J115" s="365"/>
      <c r="K115" s="364"/>
      <c r="L115" s="364"/>
      <c r="M115" s="366"/>
    </row>
    <row r="116" spans="1:13">
      <c r="A116" s="467" t="str">
        <f t="shared" si="5"/>
        <v xml:space="preserve"> "РЕСТ Ко"</v>
      </c>
      <c r="B116" s="260">
        <f t="shared" si="3"/>
        <v>0</v>
      </c>
      <c r="C116" s="260">
        <f t="shared" si="4"/>
        <v>0</v>
      </c>
      <c r="D116" s="467">
        <f>VLOOKUP(F116,Справочник!$A$2:$C$415,3,FALSE)</f>
        <v>0</v>
      </c>
      <c r="F116" s="361"/>
      <c r="G116" s="357"/>
      <c r="H116" s="358"/>
      <c r="I116" s="360"/>
      <c r="J116" s="360"/>
      <c r="K116" s="358"/>
      <c r="L116" s="358"/>
      <c r="M116" s="360"/>
    </row>
    <row r="117" spans="1:13">
      <c r="A117" s="467" t="str">
        <f t="shared" si="5"/>
        <v xml:space="preserve"> "РЕСТ Ко"</v>
      </c>
      <c r="B117" s="260">
        <f t="shared" si="3"/>
        <v>0</v>
      </c>
      <c r="C117" s="260">
        <f t="shared" si="4"/>
        <v>0</v>
      </c>
      <c r="D117" s="467">
        <f>VLOOKUP(F117,Справочник!$A$2:$C$415,3,FALSE)</f>
        <v>0</v>
      </c>
      <c r="F117" s="362"/>
      <c r="G117" s="363"/>
      <c r="H117" s="366"/>
      <c r="I117" s="364"/>
      <c r="J117" s="364"/>
      <c r="K117" s="366"/>
      <c r="L117" s="366"/>
      <c r="M117" s="364"/>
    </row>
    <row r="118" spans="1:13">
      <c r="A118" s="467" t="str">
        <f t="shared" si="5"/>
        <v xml:space="preserve"> "РЕСТ Ко"</v>
      </c>
      <c r="B118" s="260">
        <f t="shared" si="3"/>
        <v>0</v>
      </c>
      <c r="C118" s="260">
        <f t="shared" si="4"/>
        <v>0</v>
      </c>
      <c r="D118" s="467">
        <f>VLOOKUP(F118,Справочник!$A$2:$C$415,3,FALSE)</f>
        <v>0</v>
      </c>
      <c r="F118" s="361"/>
      <c r="G118" s="357"/>
      <c r="H118" s="358"/>
      <c r="I118" s="360"/>
      <c r="J118" s="359"/>
      <c r="K118" s="358"/>
      <c r="L118" s="358"/>
      <c r="M118" s="360"/>
    </row>
    <row r="119" spans="1:13">
      <c r="A119" s="467" t="str">
        <f t="shared" si="5"/>
        <v xml:space="preserve"> "РЕСТ Ко"</v>
      </c>
      <c r="B119" s="260">
        <f t="shared" si="3"/>
        <v>0</v>
      </c>
      <c r="C119" s="260">
        <f t="shared" si="4"/>
        <v>0</v>
      </c>
      <c r="D119" s="467">
        <f>VLOOKUP(F119,Справочник!$A$2:$C$415,3,FALSE)</f>
        <v>0</v>
      </c>
      <c r="F119" s="362"/>
      <c r="G119" s="363"/>
      <c r="H119" s="366"/>
      <c r="I119" s="364"/>
      <c r="J119" s="365"/>
      <c r="K119" s="366"/>
      <c r="L119" s="366"/>
      <c r="M119" s="364"/>
    </row>
    <row r="120" spans="1:13">
      <c r="A120" s="467" t="str">
        <f t="shared" si="5"/>
        <v xml:space="preserve"> "РЕСТ Ко"</v>
      </c>
      <c r="B120" s="260">
        <f t="shared" si="3"/>
        <v>0</v>
      </c>
      <c r="C120" s="260">
        <f t="shared" si="4"/>
        <v>0</v>
      </c>
      <c r="D120" s="467">
        <f>VLOOKUP(F120,Справочник!$A$2:$C$415,3,FALSE)</f>
        <v>0</v>
      </c>
      <c r="F120" s="361"/>
      <c r="G120" s="357"/>
      <c r="H120" s="358"/>
      <c r="I120" s="360"/>
      <c r="J120" s="360"/>
      <c r="K120" s="360"/>
      <c r="L120" s="358"/>
      <c r="M120" s="360"/>
    </row>
    <row r="121" spans="1:13">
      <c r="A121" s="467" t="str">
        <f t="shared" si="5"/>
        <v xml:space="preserve"> "РЕСТ Ко"</v>
      </c>
      <c r="B121" s="260">
        <f t="shared" si="3"/>
        <v>0</v>
      </c>
      <c r="C121" s="260">
        <f t="shared" si="4"/>
        <v>0</v>
      </c>
      <c r="D121" s="467">
        <f>VLOOKUP(F121,Справочник!$A$2:$C$415,3,FALSE)</f>
        <v>0</v>
      </c>
      <c r="F121" s="362"/>
      <c r="G121" s="363"/>
      <c r="H121" s="366"/>
      <c r="I121" s="365"/>
      <c r="J121" s="365"/>
      <c r="K121" s="364"/>
      <c r="L121" s="366"/>
      <c r="M121" s="364"/>
    </row>
    <row r="122" spans="1:13">
      <c r="A122" s="467" t="str">
        <f t="shared" si="5"/>
        <v xml:space="preserve"> "РЕСТ Ко"</v>
      </c>
      <c r="B122" s="260">
        <f t="shared" si="3"/>
        <v>0</v>
      </c>
      <c r="C122" s="260">
        <f t="shared" si="4"/>
        <v>0</v>
      </c>
      <c r="D122" s="467">
        <f>VLOOKUP(F122,Справочник!$A$2:$C$415,3,FALSE)</f>
        <v>0</v>
      </c>
      <c r="F122" s="362"/>
      <c r="G122" s="363"/>
      <c r="H122" s="366"/>
      <c r="I122" s="365"/>
      <c r="J122" s="364"/>
      <c r="K122" s="364"/>
      <c r="L122" s="366"/>
      <c r="M122" s="364"/>
    </row>
    <row r="123" spans="1:13">
      <c r="A123" s="467" t="str">
        <f t="shared" si="5"/>
        <v xml:space="preserve"> "РЕСТ Ко"</v>
      </c>
      <c r="B123" s="260">
        <f t="shared" si="3"/>
        <v>0</v>
      </c>
      <c r="C123" s="260">
        <f t="shared" si="4"/>
        <v>0</v>
      </c>
      <c r="D123" s="467">
        <f>VLOOKUP(F123,Справочник!$A$2:$C$415,3,FALSE)</f>
        <v>0</v>
      </c>
      <c r="F123" s="362"/>
      <c r="G123" s="363"/>
      <c r="H123" s="366"/>
      <c r="I123" s="364"/>
      <c r="J123" s="364"/>
      <c r="K123" s="364"/>
      <c r="L123" s="366"/>
      <c r="M123" s="366"/>
    </row>
    <row r="124" spans="1:13">
      <c r="A124" s="467" t="str">
        <f t="shared" si="5"/>
        <v xml:space="preserve"> "РЕСТ Ко"</v>
      </c>
      <c r="B124" s="260">
        <f t="shared" si="3"/>
        <v>0</v>
      </c>
      <c r="C124" s="260">
        <f t="shared" si="4"/>
        <v>0</v>
      </c>
      <c r="D124" s="467">
        <f>VLOOKUP(F124,Справочник!$A$2:$C$415,3,FALSE)</f>
        <v>0</v>
      </c>
      <c r="F124" s="361"/>
      <c r="G124" s="357"/>
      <c r="H124" s="358"/>
      <c r="I124" s="359"/>
      <c r="J124" s="360"/>
      <c r="K124" s="360"/>
      <c r="L124" s="360"/>
      <c r="M124" s="358"/>
    </row>
    <row r="125" spans="1:13">
      <c r="A125" s="467" t="str">
        <f t="shared" si="5"/>
        <v xml:space="preserve"> "РЕСТ Ко"</v>
      </c>
      <c r="B125" s="260">
        <f t="shared" si="3"/>
        <v>0</v>
      </c>
      <c r="C125" s="260">
        <f t="shared" si="4"/>
        <v>0</v>
      </c>
      <c r="D125" s="467">
        <f>VLOOKUP(F125,Справочник!$A$2:$C$415,3,FALSE)</f>
        <v>0</v>
      </c>
      <c r="F125" s="362"/>
      <c r="G125" s="363"/>
      <c r="H125" s="366"/>
      <c r="I125" s="365"/>
      <c r="J125" s="364"/>
      <c r="K125" s="364"/>
      <c r="L125" s="364"/>
      <c r="M125" s="366"/>
    </row>
    <row r="126" spans="1:13">
      <c r="A126" s="467" t="str">
        <f t="shared" si="5"/>
        <v xml:space="preserve"> "РЕСТ Ко"</v>
      </c>
      <c r="B126" s="260">
        <f t="shared" si="3"/>
        <v>0</v>
      </c>
      <c r="C126" s="260">
        <f t="shared" si="4"/>
        <v>0</v>
      </c>
      <c r="D126" s="467">
        <f>VLOOKUP(F126,Справочник!$A$2:$C$415,3,FALSE)</f>
        <v>0</v>
      </c>
      <c r="F126" s="361"/>
      <c r="G126" s="357"/>
      <c r="H126" s="358"/>
      <c r="I126" s="360"/>
      <c r="J126" s="360"/>
      <c r="K126" s="360"/>
      <c r="L126" s="358"/>
      <c r="M126" s="360"/>
    </row>
    <row r="127" spans="1:13">
      <c r="A127" s="467" t="str">
        <f t="shared" si="5"/>
        <v xml:space="preserve"> "РЕСТ Ко"</v>
      </c>
      <c r="B127" s="260">
        <f t="shared" si="3"/>
        <v>0</v>
      </c>
      <c r="C127" s="260">
        <f t="shared" si="4"/>
        <v>0</v>
      </c>
      <c r="D127" s="467">
        <f>VLOOKUP(F127,Справочник!$A$2:$C$415,3,FALSE)</f>
        <v>0</v>
      </c>
      <c r="F127" s="362"/>
      <c r="G127" s="363"/>
      <c r="H127" s="366"/>
      <c r="I127" s="364"/>
      <c r="J127" s="365"/>
      <c r="K127" s="364"/>
      <c r="L127" s="366"/>
      <c r="M127" s="364"/>
    </row>
    <row r="128" spans="1:13">
      <c r="A128" s="467" t="str">
        <f t="shared" si="5"/>
        <v xml:space="preserve"> "РЕСТ Ко"</v>
      </c>
      <c r="B128" s="260">
        <f t="shared" si="3"/>
        <v>0</v>
      </c>
      <c r="C128" s="260">
        <f t="shared" si="4"/>
        <v>0</v>
      </c>
      <c r="D128" s="467">
        <f>VLOOKUP(F128,Справочник!$A$2:$C$415,3,FALSE)</f>
        <v>0</v>
      </c>
      <c r="F128" s="362"/>
      <c r="G128" s="363"/>
      <c r="H128" s="366"/>
      <c r="I128" s="365"/>
      <c r="J128" s="368"/>
      <c r="K128" s="366"/>
      <c r="L128" s="366"/>
      <c r="M128" s="364"/>
    </row>
    <row r="129" spans="1:13">
      <c r="A129" s="467" t="str">
        <f t="shared" si="5"/>
        <v xml:space="preserve"> "РЕСТ Ко"</v>
      </c>
      <c r="B129" s="260">
        <f t="shared" si="3"/>
        <v>0</v>
      </c>
      <c r="C129" s="260">
        <f t="shared" si="4"/>
        <v>0</v>
      </c>
      <c r="D129" s="467">
        <f>VLOOKUP(F129,Справочник!$A$2:$C$415,3,FALSE)</f>
        <v>0</v>
      </c>
      <c r="F129" s="362"/>
      <c r="G129" s="363"/>
      <c r="H129" s="366"/>
      <c r="I129" s="364"/>
      <c r="J129" s="364"/>
      <c r="K129" s="366"/>
      <c r="L129" s="366"/>
      <c r="M129" s="364"/>
    </row>
    <row r="130" spans="1:13">
      <c r="A130" s="467" t="str">
        <f t="shared" si="5"/>
        <v xml:space="preserve"> "РЕСТ Ко"</v>
      </c>
      <c r="B130" s="260">
        <f t="shared" si="3"/>
        <v>0</v>
      </c>
      <c r="C130" s="260">
        <f t="shared" si="4"/>
        <v>0</v>
      </c>
      <c r="D130" s="467">
        <f>VLOOKUP(F130,Справочник!$A$2:$C$415,3,FALSE)</f>
        <v>0</v>
      </c>
      <c r="F130" s="361"/>
      <c r="G130" s="357"/>
      <c r="H130" s="358"/>
      <c r="I130" s="359"/>
      <c r="J130" s="360"/>
      <c r="K130" s="360"/>
      <c r="L130" s="358"/>
      <c r="M130" s="358"/>
    </row>
    <row r="131" spans="1:13">
      <c r="A131" s="467" t="str">
        <f t="shared" si="5"/>
        <v xml:space="preserve"> "РЕСТ Ко"</v>
      </c>
      <c r="B131" s="260">
        <f t="shared" si="3"/>
        <v>0</v>
      </c>
      <c r="C131" s="260">
        <f t="shared" si="4"/>
        <v>0</v>
      </c>
      <c r="D131" s="467">
        <f>VLOOKUP(F131,Справочник!$A$2:$C$415,3,FALSE)</f>
        <v>0</v>
      </c>
      <c r="F131" s="362"/>
      <c r="G131" s="363"/>
      <c r="H131" s="366"/>
      <c r="I131" s="365"/>
      <c r="J131" s="364"/>
      <c r="K131" s="364"/>
      <c r="L131" s="366"/>
      <c r="M131" s="366"/>
    </row>
    <row r="132" spans="1:13">
      <c r="A132" s="467" t="str">
        <f t="shared" si="5"/>
        <v xml:space="preserve"> "РЕСТ Ко"</v>
      </c>
      <c r="B132" s="260">
        <f t="shared" si="3"/>
        <v>0</v>
      </c>
      <c r="C132" s="260">
        <f t="shared" si="4"/>
        <v>0</v>
      </c>
      <c r="D132" s="467">
        <f>VLOOKUP(F132,Справочник!$A$2:$C$415,3,FALSE)</f>
        <v>0</v>
      </c>
      <c r="F132" s="361"/>
      <c r="G132" s="357"/>
      <c r="H132" s="358"/>
      <c r="I132" s="359"/>
      <c r="J132" s="360"/>
      <c r="K132" s="360"/>
      <c r="L132" s="358"/>
      <c r="M132" s="358"/>
    </row>
    <row r="133" spans="1:13">
      <c r="A133" s="467" t="str">
        <f t="shared" si="5"/>
        <v xml:space="preserve"> "РЕСТ Ко"</v>
      </c>
      <c r="B133" s="260">
        <f t="shared" si="3"/>
        <v>0</v>
      </c>
      <c r="C133" s="260">
        <f t="shared" si="4"/>
        <v>0</v>
      </c>
      <c r="D133" s="467">
        <f>VLOOKUP(F133,Справочник!$A$2:$C$415,3,FALSE)</f>
        <v>0</v>
      </c>
      <c r="F133" s="362"/>
      <c r="G133" s="363"/>
      <c r="H133" s="366"/>
      <c r="I133" s="365"/>
      <c r="J133" s="364"/>
      <c r="K133" s="364"/>
      <c r="L133" s="366"/>
      <c r="M133" s="366"/>
    </row>
    <row r="134" spans="1:13">
      <c r="A134" s="467" t="str">
        <f t="shared" si="5"/>
        <v xml:space="preserve"> "РЕСТ Ко"</v>
      </c>
      <c r="B134" s="260">
        <f t="shared" si="3"/>
        <v>0</v>
      </c>
      <c r="C134" s="260">
        <f t="shared" si="4"/>
        <v>0</v>
      </c>
      <c r="D134" s="467">
        <f>VLOOKUP(F134,Справочник!$A$2:$C$415,3,FALSE)</f>
        <v>0</v>
      </c>
      <c r="F134" s="362"/>
      <c r="G134" s="363"/>
      <c r="H134" s="366"/>
      <c r="I134" s="365"/>
      <c r="J134" s="364"/>
      <c r="K134" s="364"/>
      <c r="L134" s="366"/>
      <c r="M134" s="366"/>
    </row>
    <row r="135" spans="1:13">
      <c r="A135" s="467" t="str">
        <f t="shared" si="5"/>
        <v xml:space="preserve"> "РЕСТ Ко"</v>
      </c>
      <c r="B135" s="260">
        <f t="shared" si="3"/>
        <v>0</v>
      </c>
      <c r="C135" s="260">
        <f t="shared" si="4"/>
        <v>0</v>
      </c>
      <c r="D135" s="467">
        <f>VLOOKUP(F135,Справочник!$A$2:$C$415,3,FALSE)</f>
        <v>0</v>
      </c>
      <c r="F135" s="362"/>
      <c r="G135" s="363"/>
      <c r="H135" s="366"/>
      <c r="I135" s="365"/>
      <c r="J135" s="364"/>
      <c r="K135" s="364"/>
      <c r="L135" s="366"/>
      <c r="M135" s="366"/>
    </row>
    <row r="136" spans="1:13">
      <c r="A136" s="467" t="str">
        <f t="shared" si="5"/>
        <v xml:space="preserve"> "РЕСТ Ко"</v>
      </c>
      <c r="B136" s="260">
        <f t="shared" ref="B136:B171" si="6">IF(ISBLANK(H136)=FALSE,H136,-I136)</f>
        <v>0</v>
      </c>
      <c r="C136" s="260">
        <f t="shared" si="4"/>
        <v>0</v>
      </c>
      <c r="D136" s="467">
        <f>VLOOKUP(F136,Справочник!$A$2:$C$415,3,FALSE)</f>
        <v>0</v>
      </c>
      <c r="F136" s="361"/>
      <c r="G136" s="357"/>
      <c r="H136" s="358"/>
      <c r="I136" s="359"/>
      <c r="J136" s="369"/>
      <c r="K136" s="369"/>
      <c r="L136" s="358"/>
      <c r="M136" s="358"/>
    </row>
    <row r="137" spans="1:13">
      <c r="A137" s="467" t="str">
        <f t="shared" si="5"/>
        <v xml:space="preserve"> "РЕСТ Ко"</v>
      </c>
      <c r="B137" s="260">
        <f t="shared" si="6"/>
        <v>0</v>
      </c>
      <c r="C137" s="260">
        <f t="shared" si="4"/>
        <v>0</v>
      </c>
      <c r="D137" s="467">
        <f>VLOOKUP(F137,Справочник!$A$2:$C$415,3,FALSE)</f>
        <v>0</v>
      </c>
      <c r="F137" s="362"/>
      <c r="G137" s="363"/>
      <c r="H137" s="366"/>
      <c r="I137" s="365"/>
      <c r="J137" s="367"/>
      <c r="K137" s="367"/>
      <c r="L137" s="366"/>
      <c r="M137" s="366"/>
    </row>
    <row r="138" spans="1:13">
      <c r="A138" s="467" t="str">
        <f t="shared" si="5"/>
        <v xml:space="preserve"> "РЕСТ Ко"</v>
      </c>
      <c r="B138" s="260">
        <f t="shared" si="6"/>
        <v>0</v>
      </c>
      <c r="C138" s="260">
        <f t="shared" ref="C138:C171" si="7">IF(ISBLANK(L138)=FALSE,L138,-M138)</f>
        <v>0</v>
      </c>
      <c r="D138" s="467">
        <f>VLOOKUP(F138,Справочник!$A$2:$C$415,3,FALSE)</f>
        <v>0</v>
      </c>
      <c r="F138" s="361"/>
      <c r="G138" s="357"/>
      <c r="H138" s="358"/>
      <c r="I138" s="359"/>
      <c r="J138" s="360"/>
      <c r="K138" s="360"/>
      <c r="L138" s="358"/>
      <c r="M138" s="358"/>
    </row>
    <row r="139" spans="1:13">
      <c r="A139" s="467" t="str">
        <f t="shared" ref="A139:A171" si="8">A138</f>
        <v xml:space="preserve"> "РЕСТ Ко"</v>
      </c>
      <c r="B139" s="260">
        <f t="shared" si="6"/>
        <v>0</v>
      </c>
      <c r="C139" s="260">
        <f t="shared" si="7"/>
        <v>0</v>
      </c>
      <c r="D139" s="467">
        <f>VLOOKUP(F139,Справочник!$A$2:$C$415,3,FALSE)</f>
        <v>0</v>
      </c>
      <c r="F139" s="362"/>
      <c r="G139" s="363"/>
      <c r="H139" s="366"/>
      <c r="I139" s="365"/>
      <c r="J139" s="364"/>
      <c r="K139" s="364"/>
      <c r="L139" s="366"/>
      <c r="M139" s="366"/>
    </row>
    <row r="140" spans="1:13">
      <c r="A140" s="467" t="str">
        <f t="shared" si="8"/>
        <v xml:space="preserve"> "РЕСТ Ко"</v>
      </c>
      <c r="B140" s="260">
        <f t="shared" si="6"/>
        <v>0</v>
      </c>
      <c r="C140" s="260">
        <f t="shared" si="7"/>
        <v>0</v>
      </c>
      <c r="D140" s="467">
        <f>VLOOKUP(F140,Справочник!$A$2:$C$415,3,FALSE)</f>
        <v>0</v>
      </c>
      <c r="F140" s="362"/>
      <c r="G140" s="363"/>
      <c r="H140" s="366"/>
      <c r="I140" s="365"/>
      <c r="J140" s="364"/>
      <c r="K140" s="364"/>
      <c r="L140" s="366"/>
      <c r="M140" s="366"/>
    </row>
    <row r="141" spans="1:13">
      <c r="A141" s="467" t="str">
        <f t="shared" si="8"/>
        <v xml:space="preserve"> "РЕСТ Ко"</v>
      </c>
      <c r="B141" s="260">
        <f t="shared" si="6"/>
        <v>0</v>
      </c>
      <c r="C141" s="260">
        <f t="shared" si="7"/>
        <v>0</v>
      </c>
      <c r="D141" s="467">
        <f>VLOOKUP(F141,Справочник!$A$2:$C$415,3,FALSE)</f>
        <v>0</v>
      </c>
      <c r="F141" s="362"/>
      <c r="G141" s="363"/>
      <c r="H141" s="366"/>
      <c r="I141" s="365"/>
      <c r="J141" s="364"/>
      <c r="K141" s="364"/>
      <c r="L141" s="366"/>
      <c r="M141" s="366"/>
    </row>
    <row r="142" spans="1:13">
      <c r="A142" s="467" t="str">
        <f t="shared" si="8"/>
        <v xml:space="preserve"> "РЕСТ Ко"</v>
      </c>
      <c r="B142" s="260">
        <f t="shared" si="6"/>
        <v>0</v>
      </c>
      <c r="C142" s="260">
        <f t="shared" si="7"/>
        <v>0</v>
      </c>
      <c r="D142" s="467">
        <f>VLOOKUP(F142,Справочник!$A$2:$C$415,3,FALSE)</f>
        <v>0</v>
      </c>
      <c r="F142" s="362"/>
      <c r="G142" s="363"/>
      <c r="H142" s="366"/>
      <c r="I142" s="365"/>
      <c r="J142" s="364"/>
      <c r="K142" s="364"/>
      <c r="L142" s="366"/>
      <c r="M142" s="366"/>
    </row>
    <row r="143" spans="1:13">
      <c r="A143" s="467" t="str">
        <f t="shared" si="8"/>
        <v xml:space="preserve"> "РЕСТ Ко"</v>
      </c>
      <c r="B143" s="260">
        <f t="shared" si="6"/>
        <v>0</v>
      </c>
      <c r="C143" s="260">
        <f t="shared" si="7"/>
        <v>0</v>
      </c>
      <c r="D143" s="467">
        <f>VLOOKUP(F143,Справочник!$A$2:$C$415,3,FALSE)</f>
        <v>0</v>
      </c>
      <c r="F143" s="362"/>
      <c r="G143" s="363"/>
      <c r="H143" s="366"/>
      <c r="I143" s="365"/>
      <c r="J143" s="364"/>
      <c r="K143" s="364"/>
      <c r="L143" s="366"/>
      <c r="M143" s="366"/>
    </row>
    <row r="144" spans="1:13">
      <c r="A144" s="467" t="str">
        <f t="shared" si="8"/>
        <v xml:space="preserve"> "РЕСТ Ко"</v>
      </c>
      <c r="B144" s="260">
        <f t="shared" si="6"/>
        <v>0</v>
      </c>
      <c r="C144" s="260">
        <f t="shared" si="7"/>
        <v>0</v>
      </c>
      <c r="D144" s="467">
        <f>VLOOKUP(F144,Справочник!$A$2:$C$415,3,FALSE)</f>
        <v>0</v>
      </c>
      <c r="F144" s="362"/>
      <c r="G144" s="363"/>
      <c r="H144" s="366"/>
      <c r="I144" s="365"/>
      <c r="J144" s="364"/>
      <c r="K144" s="364"/>
      <c r="L144" s="366"/>
      <c r="M144" s="366"/>
    </row>
    <row r="145" spans="1:13">
      <c r="A145" s="467" t="str">
        <f t="shared" si="8"/>
        <v xml:space="preserve"> "РЕСТ Ко"</v>
      </c>
      <c r="B145" s="260">
        <f t="shared" si="6"/>
        <v>0</v>
      </c>
      <c r="C145" s="260">
        <f t="shared" si="7"/>
        <v>0</v>
      </c>
      <c r="D145" s="467">
        <f>VLOOKUP(F145,Справочник!$A$2:$C$415,3,FALSE)</f>
        <v>0</v>
      </c>
      <c r="F145" s="361"/>
      <c r="G145" s="357"/>
      <c r="H145" s="358"/>
      <c r="I145" s="359"/>
      <c r="J145" s="360"/>
      <c r="K145" s="360"/>
      <c r="L145" s="369"/>
      <c r="M145" s="358"/>
    </row>
    <row r="146" spans="1:13">
      <c r="A146" s="467" t="str">
        <f t="shared" si="8"/>
        <v xml:space="preserve"> "РЕСТ Ко"</v>
      </c>
      <c r="B146" s="260">
        <f t="shared" si="6"/>
        <v>0</v>
      </c>
      <c r="C146" s="260">
        <f t="shared" si="7"/>
        <v>0</v>
      </c>
      <c r="D146" s="467">
        <f>VLOOKUP(F146,Справочник!$A$2:$C$415,3,FALSE)</f>
        <v>0</v>
      </c>
      <c r="F146" s="361"/>
      <c r="G146" s="357"/>
      <c r="H146" s="358"/>
      <c r="I146" s="359"/>
      <c r="J146" s="369"/>
      <c r="K146" s="369"/>
      <c r="L146" s="358"/>
      <c r="M146" s="358"/>
    </row>
    <row r="147" spans="1:13">
      <c r="A147" s="467" t="str">
        <f t="shared" si="8"/>
        <v xml:space="preserve"> "РЕСТ Ко"</v>
      </c>
      <c r="B147" s="260">
        <f t="shared" si="6"/>
        <v>0</v>
      </c>
      <c r="C147" s="260">
        <f t="shared" si="7"/>
        <v>0</v>
      </c>
      <c r="D147" s="467">
        <f>VLOOKUP(F147,Справочник!$A$2:$C$415,3,FALSE)</f>
        <v>0</v>
      </c>
      <c r="F147" s="362"/>
      <c r="G147" s="363"/>
      <c r="H147" s="366"/>
      <c r="I147" s="365"/>
      <c r="J147" s="364"/>
      <c r="K147" s="364"/>
      <c r="L147" s="366"/>
      <c r="M147" s="366"/>
    </row>
    <row r="148" spans="1:13">
      <c r="A148" s="467" t="str">
        <f t="shared" si="8"/>
        <v xml:space="preserve"> "РЕСТ Ко"</v>
      </c>
      <c r="B148" s="260">
        <f t="shared" si="6"/>
        <v>0</v>
      </c>
      <c r="C148" s="260">
        <f t="shared" si="7"/>
        <v>0</v>
      </c>
      <c r="D148" s="467">
        <f>VLOOKUP(F148,Справочник!$A$2:$C$415,3,FALSE)</f>
        <v>0</v>
      </c>
      <c r="F148" s="362"/>
      <c r="G148" s="363"/>
      <c r="H148" s="366"/>
      <c r="I148" s="365"/>
      <c r="J148" s="364"/>
      <c r="K148" s="364"/>
      <c r="L148" s="367"/>
      <c r="M148" s="366"/>
    </row>
    <row r="149" spans="1:13">
      <c r="A149" s="467" t="str">
        <f t="shared" si="8"/>
        <v xml:space="preserve"> "РЕСТ Ко"</v>
      </c>
      <c r="B149" s="260">
        <f t="shared" si="6"/>
        <v>0</v>
      </c>
      <c r="C149" s="260">
        <f t="shared" si="7"/>
        <v>0</v>
      </c>
      <c r="D149" s="467">
        <f>VLOOKUP(F149,Справочник!$A$2:$C$415,3,FALSE)</f>
        <v>0</v>
      </c>
      <c r="F149" s="362"/>
      <c r="G149" s="363"/>
      <c r="H149" s="366"/>
      <c r="I149" s="365"/>
      <c r="J149" s="364"/>
      <c r="K149" s="364"/>
      <c r="L149" s="366"/>
      <c r="M149" s="366"/>
    </row>
    <row r="150" spans="1:13">
      <c r="A150" s="467" t="str">
        <f t="shared" si="8"/>
        <v xml:space="preserve"> "РЕСТ Ко"</v>
      </c>
      <c r="B150" s="260">
        <f t="shared" si="6"/>
        <v>0</v>
      </c>
      <c r="C150" s="260">
        <f t="shared" si="7"/>
        <v>0</v>
      </c>
      <c r="D150" s="467">
        <f>VLOOKUP(F150,Справочник!$A$2:$C$415,3,FALSE)</f>
        <v>0</v>
      </c>
      <c r="F150" s="362"/>
      <c r="G150" s="363"/>
      <c r="H150" s="366"/>
      <c r="I150" s="365"/>
      <c r="J150" s="364"/>
      <c r="K150" s="364"/>
      <c r="L150" s="366"/>
      <c r="M150" s="366"/>
    </row>
    <row r="151" spans="1:13">
      <c r="A151" s="467" t="str">
        <f t="shared" si="8"/>
        <v xml:space="preserve"> "РЕСТ Ко"</v>
      </c>
      <c r="B151" s="260">
        <f t="shared" si="6"/>
        <v>0</v>
      </c>
      <c r="C151" s="260">
        <f t="shared" si="7"/>
        <v>0</v>
      </c>
      <c r="D151" s="467">
        <f>VLOOKUP(F151,Справочник!$A$2:$C$415,3,FALSE)</f>
        <v>0</v>
      </c>
      <c r="F151" s="361"/>
      <c r="G151" s="357"/>
      <c r="H151" s="358"/>
      <c r="I151" s="359"/>
      <c r="J151" s="360"/>
      <c r="K151" s="360"/>
      <c r="L151" s="358"/>
      <c r="M151" s="358"/>
    </row>
    <row r="152" spans="1:13">
      <c r="A152" s="467" t="str">
        <f t="shared" si="8"/>
        <v xml:space="preserve"> "РЕСТ Ко"</v>
      </c>
      <c r="B152" s="260">
        <f t="shared" si="6"/>
        <v>0</v>
      </c>
      <c r="C152" s="260">
        <f t="shared" si="7"/>
        <v>0</v>
      </c>
      <c r="D152" s="467">
        <f>VLOOKUP(F152,Справочник!$A$2:$C$415,3,FALSE)</f>
        <v>0</v>
      </c>
      <c r="F152" s="362"/>
      <c r="G152" s="363"/>
      <c r="H152" s="366"/>
      <c r="I152" s="365"/>
      <c r="J152" s="364"/>
      <c r="K152" s="364"/>
      <c r="L152" s="366"/>
      <c r="M152" s="366"/>
    </row>
    <row r="153" spans="1:13">
      <c r="A153" s="467" t="str">
        <f t="shared" si="8"/>
        <v xml:space="preserve"> "РЕСТ Ко"</v>
      </c>
      <c r="B153" s="260">
        <f t="shared" si="6"/>
        <v>0</v>
      </c>
      <c r="C153" s="260">
        <f t="shared" si="7"/>
        <v>0</v>
      </c>
      <c r="D153" s="467">
        <f>VLOOKUP(F153,Справочник!$A$2:$C$415,3,FALSE)</f>
        <v>0</v>
      </c>
      <c r="F153" s="362"/>
      <c r="G153" s="363"/>
      <c r="H153" s="366"/>
      <c r="I153" s="365"/>
      <c r="J153" s="364"/>
      <c r="K153" s="364"/>
      <c r="L153" s="366"/>
      <c r="M153" s="366"/>
    </row>
    <row r="154" spans="1:13">
      <c r="A154" s="467" t="str">
        <f t="shared" si="8"/>
        <v xml:space="preserve"> "РЕСТ Ко"</v>
      </c>
      <c r="B154" s="260">
        <f t="shared" si="6"/>
        <v>0</v>
      </c>
      <c r="C154" s="260">
        <f t="shared" si="7"/>
        <v>0</v>
      </c>
      <c r="D154" s="467">
        <f>VLOOKUP(F154,Справочник!$A$2:$C$415,3,FALSE)</f>
        <v>0</v>
      </c>
      <c r="F154" s="361"/>
      <c r="G154" s="357"/>
      <c r="H154" s="358"/>
      <c r="I154" s="359"/>
      <c r="J154" s="360"/>
      <c r="K154" s="360"/>
      <c r="L154" s="358"/>
      <c r="M154" s="358"/>
    </row>
    <row r="155" spans="1:13">
      <c r="A155" s="467" t="str">
        <f t="shared" si="8"/>
        <v xml:space="preserve"> "РЕСТ Ко"</v>
      </c>
      <c r="B155" s="260">
        <f t="shared" si="6"/>
        <v>0</v>
      </c>
      <c r="C155" s="260">
        <f t="shared" si="7"/>
        <v>0</v>
      </c>
      <c r="D155" s="467">
        <f>VLOOKUP(F155,Справочник!$A$2:$C$415,3,FALSE)</f>
        <v>0</v>
      </c>
      <c r="F155" s="362"/>
      <c r="G155" s="363"/>
      <c r="H155" s="366"/>
      <c r="I155" s="365"/>
      <c r="J155" s="364"/>
      <c r="K155" s="364"/>
      <c r="L155" s="366"/>
      <c r="M155" s="366"/>
    </row>
    <row r="156" spans="1:13">
      <c r="A156" s="467" t="str">
        <f t="shared" si="8"/>
        <v xml:space="preserve"> "РЕСТ Ко"</v>
      </c>
      <c r="B156" s="260">
        <f t="shared" si="6"/>
        <v>0</v>
      </c>
      <c r="C156" s="260">
        <f t="shared" si="7"/>
        <v>0</v>
      </c>
      <c r="D156" s="467">
        <f>VLOOKUP(F156,Справочник!$A$2:$C$415,3,FALSE)</f>
        <v>0</v>
      </c>
      <c r="F156" s="362"/>
      <c r="G156" s="363"/>
      <c r="H156" s="366"/>
      <c r="I156" s="365"/>
      <c r="J156" s="364"/>
      <c r="K156" s="364"/>
      <c r="L156" s="366"/>
      <c r="M156" s="366"/>
    </row>
    <row r="157" spans="1:13">
      <c r="A157" s="467" t="str">
        <f t="shared" si="8"/>
        <v xml:space="preserve"> "РЕСТ Ко"</v>
      </c>
      <c r="B157" s="260">
        <f t="shared" si="6"/>
        <v>0</v>
      </c>
      <c r="C157" s="260">
        <f t="shared" si="7"/>
        <v>0</v>
      </c>
      <c r="D157" s="467">
        <f>VLOOKUP(F157,Справочник!$A$2:$C$415,3,FALSE)</f>
        <v>0</v>
      </c>
      <c r="F157" s="361"/>
      <c r="G157" s="357"/>
      <c r="H157" s="358"/>
      <c r="I157" s="359"/>
      <c r="J157" s="360"/>
      <c r="K157" s="360"/>
      <c r="L157" s="358"/>
      <c r="M157" s="358"/>
    </row>
    <row r="158" spans="1:13">
      <c r="A158" s="467" t="str">
        <f t="shared" si="8"/>
        <v xml:space="preserve"> "РЕСТ Ко"</v>
      </c>
      <c r="B158" s="260">
        <f t="shared" si="6"/>
        <v>0</v>
      </c>
      <c r="C158" s="260">
        <f t="shared" si="7"/>
        <v>0</v>
      </c>
      <c r="D158" s="467">
        <f>VLOOKUP(F158,Справочник!$A$2:$C$415,3,FALSE)</f>
        <v>0</v>
      </c>
      <c r="F158" s="362"/>
      <c r="G158" s="363"/>
      <c r="H158" s="366"/>
      <c r="I158" s="365"/>
      <c r="J158" s="364"/>
      <c r="K158" s="364"/>
      <c r="L158" s="366"/>
      <c r="M158" s="366"/>
    </row>
    <row r="159" spans="1:13">
      <c r="A159" s="467" t="str">
        <f t="shared" si="8"/>
        <v xml:space="preserve"> "РЕСТ Ко"</v>
      </c>
      <c r="B159" s="260">
        <f t="shared" si="6"/>
        <v>0</v>
      </c>
      <c r="C159" s="260">
        <f t="shared" si="7"/>
        <v>0</v>
      </c>
      <c r="D159" s="467">
        <f>VLOOKUP(F159,Справочник!$A$2:$C$415,3,FALSE)</f>
        <v>0</v>
      </c>
      <c r="F159" s="362"/>
      <c r="G159" s="363"/>
      <c r="H159" s="366"/>
      <c r="I159" s="365"/>
      <c r="J159" s="364"/>
      <c r="K159" s="364"/>
      <c r="L159" s="366"/>
      <c r="M159" s="366"/>
    </row>
    <row r="160" spans="1:13">
      <c r="A160" s="467" t="str">
        <f t="shared" si="8"/>
        <v xml:space="preserve"> "РЕСТ Ко"</v>
      </c>
      <c r="B160" s="260">
        <f t="shared" si="6"/>
        <v>0</v>
      </c>
      <c r="C160" s="260">
        <f t="shared" si="7"/>
        <v>0</v>
      </c>
      <c r="D160" s="467">
        <f>VLOOKUP(F160,Справочник!$A$2:$C$415,3,FALSE)</f>
        <v>0</v>
      </c>
      <c r="F160" s="362"/>
      <c r="G160" s="363"/>
      <c r="H160" s="366"/>
      <c r="I160" s="365"/>
      <c r="J160" s="364"/>
      <c r="K160" s="364"/>
      <c r="L160" s="366"/>
      <c r="M160" s="366"/>
    </row>
    <row r="161" spans="1:13">
      <c r="A161" s="467" t="str">
        <f t="shared" si="8"/>
        <v xml:space="preserve"> "РЕСТ Ко"</v>
      </c>
      <c r="B161" s="260">
        <f t="shared" si="6"/>
        <v>0</v>
      </c>
      <c r="C161" s="260">
        <f t="shared" si="7"/>
        <v>0</v>
      </c>
      <c r="D161" s="467">
        <f>VLOOKUP(F161,Справочник!$A$2:$C$415,3,FALSE)</f>
        <v>0</v>
      </c>
      <c r="F161" s="361"/>
      <c r="G161" s="357"/>
      <c r="H161" s="358"/>
      <c r="I161" s="359"/>
      <c r="J161" s="360"/>
      <c r="K161" s="360"/>
      <c r="L161" s="358"/>
      <c r="M161" s="358"/>
    </row>
    <row r="162" spans="1:13">
      <c r="A162" s="467" t="str">
        <f t="shared" si="8"/>
        <v xml:space="preserve"> "РЕСТ Ко"</v>
      </c>
      <c r="B162" s="260">
        <f t="shared" si="6"/>
        <v>0</v>
      </c>
      <c r="C162" s="260">
        <f t="shared" si="7"/>
        <v>0</v>
      </c>
      <c r="D162" s="467">
        <f>VLOOKUP(F162,Справочник!$A$2:$C$415,3,FALSE)</f>
        <v>0</v>
      </c>
      <c r="F162" s="362"/>
      <c r="G162" s="363"/>
      <c r="H162" s="366"/>
      <c r="I162" s="365"/>
      <c r="J162" s="364"/>
      <c r="K162" s="364"/>
      <c r="L162" s="366"/>
      <c r="M162" s="366"/>
    </row>
    <row r="163" spans="1:13">
      <c r="A163" s="467" t="str">
        <f t="shared" si="8"/>
        <v xml:space="preserve"> "РЕСТ Ко"</v>
      </c>
      <c r="B163" s="260">
        <f t="shared" si="6"/>
        <v>0</v>
      </c>
      <c r="C163" s="260">
        <f t="shared" si="7"/>
        <v>0</v>
      </c>
      <c r="D163" s="467">
        <f>VLOOKUP(F163,Справочник!$A$2:$C$415,3,FALSE)</f>
        <v>0</v>
      </c>
      <c r="F163" s="362"/>
      <c r="G163" s="363"/>
      <c r="H163" s="366"/>
      <c r="I163" s="365"/>
      <c r="J163" s="364"/>
      <c r="K163" s="364"/>
      <c r="L163" s="366"/>
      <c r="M163" s="366"/>
    </row>
    <row r="164" spans="1:13">
      <c r="A164" s="467" t="str">
        <f t="shared" si="8"/>
        <v xml:space="preserve"> "РЕСТ Ко"</v>
      </c>
      <c r="B164" s="260">
        <f t="shared" si="6"/>
        <v>0</v>
      </c>
      <c r="C164" s="260">
        <f t="shared" si="7"/>
        <v>0</v>
      </c>
      <c r="D164" s="467">
        <f>VLOOKUP(F164,Справочник!$A$2:$C$415,3,FALSE)</f>
        <v>0</v>
      </c>
      <c r="F164" s="362"/>
      <c r="G164" s="363"/>
      <c r="H164" s="366"/>
      <c r="I164" s="365"/>
      <c r="J164" s="364"/>
      <c r="K164" s="364"/>
      <c r="L164" s="366"/>
      <c r="M164" s="366"/>
    </row>
    <row r="165" spans="1:13">
      <c r="A165" s="467" t="str">
        <f t="shared" si="8"/>
        <v xml:space="preserve"> "РЕСТ Ко"</v>
      </c>
      <c r="B165" s="260">
        <f t="shared" si="6"/>
        <v>0</v>
      </c>
      <c r="C165" s="260">
        <f t="shared" si="7"/>
        <v>0</v>
      </c>
      <c r="D165" s="467">
        <f>VLOOKUP(F165,Справочник!$A$2:$C$415,3,FALSE)</f>
        <v>0</v>
      </c>
      <c r="F165" s="362"/>
      <c r="G165" s="363"/>
      <c r="H165" s="366"/>
      <c r="I165" s="365"/>
      <c r="J165" s="364"/>
      <c r="K165" s="364"/>
      <c r="L165" s="366"/>
      <c r="M165" s="366"/>
    </row>
    <row r="166" spans="1:13">
      <c r="A166" s="467" t="str">
        <f t="shared" si="8"/>
        <v xml:space="preserve"> "РЕСТ Ко"</v>
      </c>
      <c r="B166" s="260">
        <f t="shared" si="6"/>
        <v>0</v>
      </c>
      <c r="C166" s="260">
        <f t="shared" si="7"/>
        <v>0</v>
      </c>
      <c r="D166" s="467">
        <f>VLOOKUP(F166,Справочник!$A$2:$C$415,3,FALSE)</f>
        <v>0</v>
      </c>
      <c r="F166" s="362"/>
      <c r="G166" s="363"/>
      <c r="H166" s="366"/>
      <c r="I166" s="365"/>
      <c r="J166" s="364"/>
      <c r="K166" s="364"/>
      <c r="L166" s="366"/>
      <c r="M166" s="366"/>
    </row>
    <row r="167" spans="1:13">
      <c r="A167" s="467" t="str">
        <f t="shared" si="8"/>
        <v xml:space="preserve"> "РЕСТ Ко"</v>
      </c>
      <c r="B167" s="260">
        <f t="shared" si="6"/>
        <v>0</v>
      </c>
      <c r="C167" s="260">
        <f t="shared" si="7"/>
        <v>0</v>
      </c>
      <c r="D167" s="467">
        <f>VLOOKUP(F167,Справочник!$A$2:$C$415,3,FALSE)</f>
        <v>0</v>
      </c>
      <c r="F167" s="361"/>
      <c r="G167" s="357"/>
      <c r="H167" s="358"/>
      <c r="I167" s="359"/>
      <c r="J167" s="360"/>
      <c r="K167" s="360"/>
      <c r="L167" s="358"/>
      <c r="M167" s="358"/>
    </row>
    <row r="168" spans="1:13">
      <c r="A168" s="467" t="str">
        <f t="shared" si="8"/>
        <v xml:space="preserve"> "РЕСТ Ко"</v>
      </c>
      <c r="B168" s="260">
        <f t="shared" si="6"/>
        <v>0</v>
      </c>
      <c r="C168" s="260">
        <f t="shared" si="7"/>
        <v>0</v>
      </c>
      <c r="D168" s="467">
        <f>VLOOKUP(F168,Справочник!$A$2:$C$415,3,FALSE)</f>
        <v>0</v>
      </c>
      <c r="F168" s="362"/>
      <c r="G168" s="363"/>
      <c r="H168" s="366"/>
      <c r="I168" s="365"/>
      <c r="J168" s="364"/>
      <c r="K168" s="364"/>
      <c r="L168" s="366"/>
      <c r="M168" s="366"/>
    </row>
    <row r="169" spans="1:13">
      <c r="A169" s="467" t="str">
        <f t="shared" si="8"/>
        <v xml:space="preserve"> "РЕСТ Ко"</v>
      </c>
      <c r="B169" s="260">
        <f t="shared" si="6"/>
        <v>0</v>
      </c>
      <c r="C169" s="260">
        <f t="shared" si="7"/>
        <v>0</v>
      </c>
      <c r="D169" s="467">
        <f>VLOOKUP(F169,Справочник!$A$2:$C$415,3,FALSE)</f>
        <v>0</v>
      </c>
      <c r="F169" s="361"/>
      <c r="G169" s="357"/>
      <c r="H169" s="358"/>
      <c r="I169" s="359"/>
      <c r="J169" s="360"/>
      <c r="K169" s="360"/>
      <c r="L169" s="358"/>
      <c r="M169" s="358"/>
    </row>
    <row r="170" spans="1:13">
      <c r="A170" s="467" t="str">
        <f t="shared" si="8"/>
        <v xml:space="preserve"> "РЕСТ Ко"</v>
      </c>
      <c r="B170" s="260">
        <f t="shared" si="6"/>
        <v>0</v>
      </c>
      <c r="C170" s="260">
        <f t="shared" si="7"/>
        <v>0</v>
      </c>
      <c r="D170" s="467">
        <f>VLOOKUP(F170,Справочник!$A$2:$C$415,3,FALSE)</f>
        <v>0</v>
      </c>
      <c r="F170" s="362"/>
      <c r="G170" s="363"/>
      <c r="H170" s="366"/>
      <c r="I170" s="365"/>
      <c r="J170" s="364"/>
      <c r="K170" s="364"/>
      <c r="L170" s="366"/>
      <c r="M170" s="366"/>
    </row>
    <row r="171" spans="1:13">
      <c r="A171" s="467" t="str">
        <f t="shared" si="8"/>
        <v xml:space="preserve"> "РЕСТ Ко"</v>
      </c>
      <c r="B171" s="260">
        <f t="shared" si="6"/>
        <v>0</v>
      </c>
      <c r="C171" s="260">
        <f t="shared" si="7"/>
        <v>0</v>
      </c>
      <c r="D171" s="467">
        <f>VLOOKUP(F171,Справочник!$A$2:$C$415,3,FALSE)</f>
        <v>0</v>
      </c>
      <c r="F171" s="353"/>
      <c r="G171" s="353"/>
      <c r="H171" s="370"/>
      <c r="I171" s="370"/>
      <c r="J171" s="370"/>
      <c r="K171" s="370"/>
      <c r="L171" s="370"/>
      <c r="M171" s="370"/>
    </row>
    <row r="172" spans="1:13">
      <c r="F172" s="352"/>
      <c r="G172" s="352"/>
      <c r="H172" s="352"/>
      <c r="I172" s="352"/>
      <c r="J172" s="352"/>
      <c r="K172" s="352"/>
      <c r="L172" s="352"/>
      <c r="M172" s="352"/>
    </row>
    <row r="173" spans="1:13">
      <c r="F173" s="351"/>
      <c r="G173" s="351"/>
      <c r="H173" s="351"/>
      <c r="I173" s="351"/>
      <c r="J173" s="351"/>
      <c r="K173" s="351"/>
      <c r="L173" s="351"/>
      <c r="M173" s="351"/>
    </row>
    <row r="174" spans="1:13">
      <c r="F174" s="354"/>
      <c r="G174" s="354"/>
      <c r="H174" s="355"/>
      <c r="I174" s="355"/>
      <c r="J174" s="352"/>
      <c r="K174" s="352"/>
      <c r="L174" s="352"/>
      <c r="M174" s="352"/>
    </row>
    <row r="175" spans="1:13">
      <c r="F175" s="352"/>
      <c r="G175" s="352"/>
      <c r="H175" s="356"/>
      <c r="I175" s="356"/>
      <c r="J175" s="352"/>
      <c r="K175" s="352"/>
      <c r="L175" s="352"/>
      <c r="M175" s="352"/>
    </row>
    <row r="176" spans="1:13">
      <c r="F176" s="351"/>
      <c r="G176" s="351"/>
      <c r="H176" s="351"/>
      <c r="I176" s="351"/>
      <c r="J176" s="351"/>
      <c r="K176" s="351"/>
      <c r="L176" s="351"/>
      <c r="M176" s="351"/>
    </row>
  </sheetData>
  <mergeCells count="10">
    <mergeCell ref="J6:K6"/>
    <mergeCell ref="L6:M6"/>
    <mergeCell ref="F111:G111"/>
    <mergeCell ref="F110:G110"/>
    <mergeCell ref="B2:C2"/>
    <mergeCell ref="B3:C3"/>
    <mergeCell ref="B4:C4"/>
    <mergeCell ref="F6:F7"/>
    <mergeCell ref="G6:G7"/>
    <mergeCell ref="H6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76"/>
  <sheetViews>
    <sheetView topLeftCell="E46" workbookViewId="0">
      <selection activeCell="I45" sqref="I45"/>
    </sheetView>
  </sheetViews>
  <sheetFormatPr defaultRowHeight="15" outlineLevelCol="1"/>
  <cols>
    <col min="1" max="1" width="26.42578125" style="470" customWidth="1" outlineLevel="1"/>
    <col min="2" max="2" width="23.85546875" style="138" customWidth="1" outlineLevel="1"/>
    <col min="3" max="3" width="22.85546875" style="138" customWidth="1" outlineLevel="1"/>
    <col min="4" max="5" width="9.140625" style="470" customWidth="1" outlineLevel="1"/>
    <col min="6" max="6" width="10.5703125" style="137" customWidth="1"/>
    <col min="7" max="7" width="53.140625" style="137" customWidth="1"/>
    <col min="8" max="8" width="15.85546875" style="137" bestFit="1" customWidth="1"/>
    <col min="9" max="9" width="16.42578125" style="137" bestFit="1" customWidth="1"/>
    <col min="10" max="12" width="15.85546875" style="137" bestFit="1" customWidth="1"/>
    <col min="13" max="13" width="16.42578125" style="137" bestFit="1" customWidth="1"/>
    <col min="14" max="16384" width="9.140625" style="470"/>
  </cols>
  <sheetData>
    <row r="1" spans="1:13">
      <c r="F1" s="371"/>
      <c r="G1" s="343"/>
      <c r="H1" s="343"/>
      <c r="I1" s="343"/>
      <c r="J1" s="343"/>
      <c r="K1" s="343"/>
      <c r="L1" s="343"/>
      <c r="M1" s="343"/>
    </row>
    <row r="2" spans="1:13" ht="15.75">
      <c r="B2" s="672"/>
      <c r="C2" s="672"/>
      <c r="F2" s="481" t="s">
        <v>737</v>
      </c>
      <c r="G2" s="482"/>
      <c r="H2" s="347"/>
      <c r="I2" s="347"/>
      <c r="J2" s="347"/>
      <c r="K2" s="347"/>
      <c r="L2" s="347"/>
      <c r="M2" s="347"/>
    </row>
    <row r="3" spans="1:13">
      <c r="B3" s="673"/>
      <c r="C3" s="673"/>
      <c r="F3" s="348"/>
      <c r="G3" s="348"/>
      <c r="H3" s="348"/>
      <c r="I3" s="348"/>
      <c r="J3" s="348"/>
      <c r="K3" s="348"/>
      <c r="L3" s="348"/>
      <c r="M3" s="348"/>
    </row>
    <row r="4" spans="1:13">
      <c r="B4" s="674"/>
      <c r="C4" s="674"/>
      <c r="F4" s="349" t="s">
        <v>359</v>
      </c>
      <c r="G4" s="349"/>
      <c r="H4" s="349"/>
      <c r="I4" s="349"/>
      <c r="J4" s="349"/>
      <c r="K4" s="349"/>
      <c r="L4" s="349"/>
      <c r="M4" s="349"/>
    </row>
    <row r="5" spans="1:13" ht="15.75" thickBot="1">
      <c r="B5" s="257"/>
      <c r="C5" s="257"/>
      <c r="F5" s="343"/>
      <c r="G5" s="343"/>
      <c r="H5" s="343"/>
      <c r="I5" s="343"/>
      <c r="J5" s="343"/>
      <c r="K5" s="343"/>
      <c r="L5" s="343"/>
      <c r="M5" s="343"/>
    </row>
    <row r="6" spans="1:13">
      <c r="B6" s="313" t="s">
        <v>361</v>
      </c>
      <c r="C6" s="314" t="s">
        <v>363</v>
      </c>
      <c r="F6" s="677" t="s">
        <v>360</v>
      </c>
      <c r="G6" s="675" t="s">
        <v>78</v>
      </c>
      <c r="H6" s="675" t="s">
        <v>361</v>
      </c>
      <c r="I6" s="675"/>
      <c r="J6" s="675" t="s">
        <v>367</v>
      </c>
      <c r="K6" s="675"/>
      <c r="L6" s="675" t="s">
        <v>363</v>
      </c>
      <c r="M6" s="675"/>
    </row>
    <row r="7" spans="1:13" ht="15.75" thickBot="1">
      <c r="B7" s="258" t="s">
        <v>364</v>
      </c>
      <c r="C7" s="259" t="s">
        <v>364</v>
      </c>
      <c r="F7" s="677"/>
      <c r="G7" s="675"/>
      <c r="H7" s="471" t="s">
        <v>364</v>
      </c>
      <c r="I7" s="471" t="s">
        <v>365</v>
      </c>
      <c r="J7" s="471" t="s">
        <v>364</v>
      </c>
      <c r="K7" s="471" t="s">
        <v>365</v>
      </c>
      <c r="L7" s="471" t="s">
        <v>364</v>
      </c>
      <c r="M7" s="471" t="s">
        <v>365</v>
      </c>
    </row>
    <row r="8" spans="1:13">
      <c r="A8" s="316" t="s">
        <v>755</v>
      </c>
      <c r="B8" s="260">
        <f t="shared" ref="B8:B71" si="0">IF(ISBLANK(H8)=FALSE,H8,-I8)</f>
        <v>35533584.289999999</v>
      </c>
      <c r="C8" s="260">
        <f>IF(ISBLANK(L8)=FALSE,L8,-M8)</f>
        <v>175985.4</v>
      </c>
      <c r="F8" s="579">
        <v>1000</v>
      </c>
      <c r="G8" s="580" t="s">
        <v>72</v>
      </c>
      <c r="H8" s="581">
        <v>35533584.289999999</v>
      </c>
      <c r="I8" s="582"/>
      <c r="J8" s="581">
        <v>766007006.19000006</v>
      </c>
      <c r="K8" s="581">
        <v>801364605.08000004</v>
      </c>
      <c r="L8" s="581">
        <v>175985.4</v>
      </c>
      <c r="M8" s="582"/>
    </row>
    <row r="9" spans="1:13">
      <c r="A9" s="470" t="str">
        <f>A8</f>
        <v xml:space="preserve"> "Тема Ко"</v>
      </c>
      <c r="B9" s="260">
        <f t="shared" si="0"/>
        <v>5991561.0300000003</v>
      </c>
      <c r="C9" s="260">
        <f>IF(ISBLANK(L9)=FALSE,L9,-M9)</f>
        <v>20000</v>
      </c>
      <c r="D9" s="470" t="str">
        <f>VLOOKUP(F9,Справочник!$A$2:$C$415,3,FALSE)</f>
        <v>Денежные средства и их эквиваленты</v>
      </c>
      <c r="F9" s="583">
        <v>1010</v>
      </c>
      <c r="G9" s="584" t="s">
        <v>80</v>
      </c>
      <c r="H9" s="585">
        <v>5991561.0300000003</v>
      </c>
      <c r="I9" s="586"/>
      <c r="J9" s="585">
        <v>265664505.53999999</v>
      </c>
      <c r="K9" s="585">
        <v>271636066.56999999</v>
      </c>
      <c r="L9" s="585">
        <v>20000</v>
      </c>
      <c r="M9" s="586"/>
    </row>
    <row r="10" spans="1:13">
      <c r="A10" s="470" t="str">
        <f>A9</f>
        <v xml:space="preserve"> "Тема Ко"</v>
      </c>
      <c r="B10" s="260">
        <f t="shared" si="0"/>
        <v>0</v>
      </c>
      <c r="C10" s="260">
        <f t="shared" ref="C10:C73" si="1">IF(ISBLANK(L10)=FALSE,L10,-M10)</f>
        <v>0</v>
      </c>
      <c r="D10" s="470">
        <f>VLOOKUP(F10,Справочник!$A$2:$C$415,3,FALSE)</f>
        <v>0</v>
      </c>
      <c r="F10" s="587">
        <v>1020</v>
      </c>
      <c r="G10" s="588" t="s">
        <v>81</v>
      </c>
      <c r="H10" s="589"/>
      <c r="I10" s="589"/>
      <c r="J10" s="590">
        <v>144236642.22999999</v>
      </c>
      <c r="K10" s="590">
        <v>144236642.22999999</v>
      </c>
      <c r="L10" s="589"/>
      <c r="M10" s="589"/>
    </row>
    <row r="11" spans="1:13">
      <c r="A11" s="470" t="str">
        <f t="shared" ref="A11:A74" si="2">A10</f>
        <v xml:space="preserve"> "Тема Ко"</v>
      </c>
      <c r="B11" s="260">
        <f t="shared" si="0"/>
        <v>0</v>
      </c>
      <c r="C11" s="260">
        <f t="shared" si="1"/>
        <v>0</v>
      </c>
      <c r="D11" s="470" t="str">
        <f>VLOOKUP(F11,Справочник!$A$2:$C$415,3,FALSE)</f>
        <v>Денежные средства и их эквиваленты</v>
      </c>
      <c r="F11" s="591">
        <v>1021</v>
      </c>
      <c r="G11" s="584" t="s">
        <v>81</v>
      </c>
      <c r="H11" s="586"/>
      <c r="I11" s="586"/>
      <c r="J11" s="585">
        <v>128546457.67</v>
      </c>
      <c r="K11" s="585">
        <v>128546457.67</v>
      </c>
      <c r="L11" s="586"/>
      <c r="M11" s="586"/>
    </row>
    <row r="12" spans="1:13">
      <c r="A12" s="470" t="str">
        <f t="shared" si="2"/>
        <v xml:space="preserve"> "Тема Ко"</v>
      </c>
      <c r="B12" s="260">
        <f t="shared" si="0"/>
        <v>0</v>
      </c>
      <c r="C12" s="260">
        <f t="shared" si="1"/>
        <v>0</v>
      </c>
      <c r="D12" s="470" t="str">
        <f>VLOOKUP(F12,Справочник!$A$2:$C$415,3,FALSE)</f>
        <v>Денежные средства и их эквиваленты</v>
      </c>
      <c r="F12" s="591">
        <v>1022</v>
      </c>
      <c r="G12" s="584" t="s">
        <v>82</v>
      </c>
      <c r="H12" s="586"/>
      <c r="I12" s="586"/>
      <c r="J12" s="585">
        <v>15690184.560000001</v>
      </c>
      <c r="K12" s="585">
        <v>15690184.560000001</v>
      </c>
      <c r="L12" s="586"/>
      <c r="M12" s="586"/>
    </row>
    <row r="13" spans="1:13">
      <c r="A13" s="470" t="str">
        <f t="shared" si="2"/>
        <v xml:space="preserve"> "Тема Ко"</v>
      </c>
      <c r="B13" s="260">
        <f t="shared" si="0"/>
        <v>28693023.260000002</v>
      </c>
      <c r="C13" s="260">
        <f t="shared" si="1"/>
        <v>155985.4</v>
      </c>
      <c r="D13" s="470" t="str">
        <f>VLOOKUP(F13,Справочник!$A$2:$C$415,3,FALSE)</f>
        <v>Денежные средства и их эквиваленты</v>
      </c>
      <c r="F13" s="583">
        <v>1030</v>
      </c>
      <c r="G13" s="584" t="s">
        <v>83</v>
      </c>
      <c r="H13" s="585">
        <v>28693023.260000002</v>
      </c>
      <c r="I13" s="586"/>
      <c r="J13" s="585">
        <v>356105858.42000002</v>
      </c>
      <c r="K13" s="585">
        <v>384642896.27999997</v>
      </c>
      <c r="L13" s="585">
        <v>155985.4</v>
      </c>
      <c r="M13" s="586"/>
    </row>
    <row r="14" spans="1:13">
      <c r="A14" s="470" t="str">
        <f t="shared" si="2"/>
        <v xml:space="preserve"> "Тема Ко"</v>
      </c>
      <c r="B14" s="260">
        <f t="shared" si="0"/>
        <v>849000</v>
      </c>
      <c r="C14" s="260">
        <f t="shared" si="1"/>
        <v>0</v>
      </c>
      <c r="D14" s="470" t="str">
        <f>VLOOKUP(F14,Справочник!$A$2:$C$415,3,FALSE)</f>
        <v>Денежные средства и их эквиваленты</v>
      </c>
      <c r="F14" s="583">
        <v>1040</v>
      </c>
      <c r="G14" s="584" t="s">
        <v>84</v>
      </c>
      <c r="H14" s="585">
        <v>849000</v>
      </c>
      <c r="I14" s="586"/>
      <c r="J14" s="586"/>
      <c r="K14" s="585">
        <v>849000</v>
      </c>
      <c r="L14" s="586"/>
      <c r="M14" s="586"/>
    </row>
    <row r="15" spans="1:13">
      <c r="A15" s="470" t="str">
        <f t="shared" si="2"/>
        <v xml:space="preserve"> "Тема Ко"</v>
      </c>
      <c r="B15" s="260">
        <f t="shared" si="0"/>
        <v>2739599207.4000001</v>
      </c>
      <c r="C15" s="260">
        <f t="shared" si="1"/>
        <v>2966390646.5799999</v>
      </c>
      <c r="D15" s="470">
        <f>VLOOKUP(F15,Справочник!$A$2:$C$415,3,FALSE)</f>
        <v>0</v>
      </c>
      <c r="F15" s="579">
        <v>1200</v>
      </c>
      <c r="G15" s="580" t="s">
        <v>93</v>
      </c>
      <c r="H15" s="581">
        <v>2739599207.4000001</v>
      </c>
      <c r="I15" s="582"/>
      <c r="J15" s="581">
        <v>791802149.52999997</v>
      </c>
      <c r="K15" s="581">
        <v>565010710.35000002</v>
      </c>
      <c r="L15" s="581">
        <v>2966390646.5799999</v>
      </c>
      <c r="M15" s="582"/>
    </row>
    <row r="16" spans="1:13" ht="24">
      <c r="A16" s="470" t="str">
        <f t="shared" si="2"/>
        <v xml:space="preserve"> "Тема Ко"</v>
      </c>
      <c r="B16" s="260">
        <f t="shared" si="0"/>
        <v>102558908.37</v>
      </c>
      <c r="C16" s="260">
        <f t="shared" si="1"/>
        <v>329339820.13</v>
      </c>
      <c r="D16" s="470" t="str">
        <f>VLOOKUP(F16,Справочник!$A$2:$C$415,3,FALSE)</f>
        <v>Краткосрочная торговая и прочая дебиторская задолженность</v>
      </c>
      <c r="F16" s="583">
        <v>1210</v>
      </c>
      <c r="G16" s="584" t="s">
        <v>94</v>
      </c>
      <c r="H16" s="585">
        <v>102558908.37</v>
      </c>
      <c r="I16" s="586"/>
      <c r="J16" s="585">
        <v>695235008.26999998</v>
      </c>
      <c r="K16" s="585">
        <v>468454096.50999999</v>
      </c>
      <c r="L16" s="585">
        <v>329339820.13</v>
      </c>
      <c r="M16" s="586"/>
    </row>
    <row r="17" spans="1:13">
      <c r="A17" s="470" t="str">
        <f t="shared" si="2"/>
        <v xml:space="preserve"> "Тема Ко"</v>
      </c>
      <c r="B17" s="260">
        <f t="shared" si="0"/>
        <v>16615.34</v>
      </c>
      <c r="C17" s="260">
        <f t="shared" si="1"/>
        <v>27142.76</v>
      </c>
      <c r="D17" s="470">
        <f>VLOOKUP(F17,Справочник!$A$2:$C$415,3,FALSE)</f>
        <v>0</v>
      </c>
      <c r="F17" s="587">
        <v>1250</v>
      </c>
      <c r="G17" s="588" t="s">
        <v>98</v>
      </c>
      <c r="H17" s="590">
        <v>16615.34</v>
      </c>
      <c r="I17" s="589"/>
      <c r="J17" s="590">
        <v>96567141.260000005</v>
      </c>
      <c r="K17" s="590">
        <v>96556613.840000004</v>
      </c>
      <c r="L17" s="590">
        <v>27142.76</v>
      </c>
      <c r="M17" s="589"/>
    </row>
    <row r="18" spans="1:13">
      <c r="A18" s="470" t="str">
        <f t="shared" si="2"/>
        <v xml:space="preserve"> "Тема Ко"</v>
      </c>
      <c r="B18" s="260">
        <f t="shared" si="0"/>
        <v>16615.34</v>
      </c>
      <c r="C18" s="260">
        <f t="shared" si="1"/>
        <v>27142.76</v>
      </c>
      <c r="D18" s="470" t="str">
        <f>VLOOKUP(F18,Справочник!$A$2:$C$415,3,FALSE)</f>
        <v>Краткосрочная торговая и прочая дебиторская задолженность</v>
      </c>
      <c r="F18" s="591">
        <v>1251</v>
      </c>
      <c r="G18" s="584" t="s">
        <v>768</v>
      </c>
      <c r="H18" s="585">
        <v>16615.34</v>
      </c>
      <c r="I18" s="586"/>
      <c r="J18" s="585">
        <v>96567141.260000005</v>
      </c>
      <c r="K18" s="585">
        <v>96556613.840000004</v>
      </c>
      <c r="L18" s="585">
        <v>27142.76</v>
      </c>
      <c r="M18" s="586"/>
    </row>
    <row r="19" spans="1:13">
      <c r="A19" s="470" t="str">
        <f t="shared" si="2"/>
        <v xml:space="preserve"> "Тема Ко"</v>
      </c>
      <c r="B19" s="260">
        <f t="shared" si="0"/>
        <v>2646349388</v>
      </c>
      <c r="C19" s="260">
        <f t="shared" si="1"/>
        <v>2646349388</v>
      </c>
      <c r="D19" s="470">
        <f>VLOOKUP(F19,Справочник!$A$2:$C$415,3,FALSE)</f>
        <v>0</v>
      </c>
      <c r="F19" s="587">
        <v>1280</v>
      </c>
      <c r="G19" s="588" t="s">
        <v>105</v>
      </c>
      <c r="H19" s="590">
        <v>2646349388</v>
      </c>
      <c r="I19" s="589"/>
      <c r="J19" s="589"/>
      <c r="K19" s="589"/>
      <c r="L19" s="590">
        <v>2646349388</v>
      </c>
      <c r="M19" s="589"/>
    </row>
    <row r="20" spans="1:13">
      <c r="A20" s="470" t="str">
        <f t="shared" si="2"/>
        <v xml:space="preserve"> "Тема Ко"</v>
      </c>
      <c r="B20" s="260">
        <f t="shared" si="0"/>
        <v>2646349388</v>
      </c>
      <c r="C20" s="260">
        <f t="shared" si="1"/>
        <v>2646349388</v>
      </c>
      <c r="D20" s="470" t="str">
        <f>VLOOKUP(F20,Справочник!$A$2:$C$415,3,FALSE)</f>
        <v>Краткосрочная торговая и прочая дебиторская задолженность</v>
      </c>
      <c r="F20" s="591">
        <v>1284</v>
      </c>
      <c r="G20" s="584" t="s">
        <v>105</v>
      </c>
      <c r="H20" s="585">
        <v>2646349388</v>
      </c>
      <c r="I20" s="586"/>
      <c r="J20" s="586"/>
      <c r="K20" s="586"/>
      <c r="L20" s="585">
        <v>2646349388</v>
      </c>
      <c r="M20" s="586"/>
    </row>
    <row r="21" spans="1:13">
      <c r="A21" s="470" t="str">
        <f t="shared" si="2"/>
        <v xml:space="preserve"> "Тема Ко"</v>
      </c>
      <c r="B21" s="260">
        <f t="shared" si="0"/>
        <v>-9325704.3100000005</v>
      </c>
      <c r="C21" s="260">
        <f t="shared" si="1"/>
        <v>-9325704.3100000005</v>
      </c>
      <c r="D21" s="470" t="str">
        <f>VLOOKUP(F21,Справочник!$A$2:$C$415,3,FALSE)</f>
        <v>Краткосрочная торговая и прочая дебиторская задолженность</v>
      </c>
      <c r="F21" s="583">
        <v>1290</v>
      </c>
      <c r="G21" s="584" t="s">
        <v>109</v>
      </c>
      <c r="H21" s="586"/>
      <c r="I21" s="585">
        <v>9325704.3100000005</v>
      </c>
      <c r="J21" s="586"/>
      <c r="K21" s="586"/>
      <c r="L21" s="586"/>
      <c r="M21" s="585">
        <v>9325704.3100000005</v>
      </c>
    </row>
    <row r="22" spans="1:13">
      <c r="A22" s="470" t="str">
        <f t="shared" si="2"/>
        <v xml:space="preserve"> "Тема Ко"</v>
      </c>
      <c r="B22" s="260">
        <f t="shared" si="0"/>
        <v>31183734.84</v>
      </c>
      <c r="C22" s="260">
        <f t="shared" si="1"/>
        <v>72009.710000000006</v>
      </c>
      <c r="D22" s="470">
        <f>VLOOKUP(F22,Справочник!$A$2:$C$415,3,FALSE)</f>
        <v>0</v>
      </c>
      <c r="F22" s="579">
        <v>1300</v>
      </c>
      <c r="G22" s="580" t="s">
        <v>110</v>
      </c>
      <c r="H22" s="581">
        <v>31183734.84</v>
      </c>
      <c r="I22" s="582"/>
      <c r="J22" s="581">
        <v>99210255.420000002</v>
      </c>
      <c r="K22" s="581">
        <v>130321980.55</v>
      </c>
      <c r="L22" s="581">
        <v>72009.710000000006</v>
      </c>
      <c r="M22" s="582"/>
    </row>
    <row r="23" spans="1:13">
      <c r="A23" s="470" t="str">
        <f t="shared" si="2"/>
        <v xml:space="preserve"> "Тема Ко"</v>
      </c>
      <c r="B23" s="260">
        <f t="shared" si="0"/>
        <v>31022486.649999999</v>
      </c>
      <c r="C23" s="260">
        <f t="shared" si="1"/>
        <v>72208.009999999995</v>
      </c>
      <c r="D23" s="470" t="str">
        <f>VLOOKUP(F23,Справочник!$A$2:$C$415,3,FALSE)</f>
        <v>Запасы</v>
      </c>
      <c r="F23" s="583">
        <v>1311</v>
      </c>
      <c r="G23" s="584" t="s">
        <v>111</v>
      </c>
      <c r="H23" s="585">
        <v>31022486.649999999</v>
      </c>
      <c r="I23" s="586"/>
      <c r="J23" s="585">
        <v>86221282.730000004</v>
      </c>
      <c r="K23" s="585">
        <v>117171561.37</v>
      </c>
      <c r="L23" s="585">
        <v>72208.009999999995</v>
      </c>
      <c r="M23" s="586"/>
    </row>
    <row r="24" spans="1:13">
      <c r="A24" s="470" t="str">
        <f t="shared" si="2"/>
        <v xml:space="preserve"> "Тема Ко"</v>
      </c>
      <c r="B24" s="260">
        <f t="shared" si="0"/>
        <v>0</v>
      </c>
      <c r="C24" s="260">
        <f t="shared" si="1"/>
        <v>-1246.8900000000001</v>
      </c>
      <c r="D24" s="470" t="str">
        <f>VLOOKUP(F24,Справочник!$A$2:$C$415,3,FALSE)</f>
        <v>Запасы</v>
      </c>
      <c r="F24" s="583">
        <v>1320</v>
      </c>
      <c r="G24" s="584" t="s">
        <v>112</v>
      </c>
      <c r="H24" s="586"/>
      <c r="I24" s="586"/>
      <c r="J24" s="585">
        <v>12897097.689999999</v>
      </c>
      <c r="K24" s="585">
        <v>12898344.58</v>
      </c>
      <c r="L24" s="592">
        <v>-1246.8900000000001</v>
      </c>
      <c r="M24" s="586"/>
    </row>
    <row r="25" spans="1:13">
      <c r="A25" s="470" t="str">
        <f t="shared" si="2"/>
        <v xml:space="preserve"> "Тема Ко"</v>
      </c>
      <c r="B25" s="260">
        <f t="shared" si="0"/>
        <v>161248.19</v>
      </c>
      <c r="C25" s="260">
        <f t="shared" si="1"/>
        <v>1048.5899999999999</v>
      </c>
      <c r="D25" s="470" t="str">
        <f>VLOOKUP(F25,Справочник!$A$2:$C$415,3,FALSE)</f>
        <v>Запасы</v>
      </c>
      <c r="F25" s="583">
        <v>1330</v>
      </c>
      <c r="G25" s="584" t="s">
        <v>113</v>
      </c>
      <c r="H25" s="585">
        <v>161248.19</v>
      </c>
      <c r="I25" s="586"/>
      <c r="J25" s="585">
        <v>91875</v>
      </c>
      <c r="K25" s="585">
        <v>252074.6</v>
      </c>
      <c r="L25" s="585">
        <v>1048.5899999999999</v>
      </c>
      <c r="M25" s="586"/>
    </row>
    <row r="26" spans="1:13">
      <c r="A26" s="470" t="str">
        <f t="shared" si="2"/>
        <v xml:space="preserve"> "Тема Ко"</v>
      </c>
      <c r="B26" s="260">
        <f t="shared" si="0"/>
        <v>808436.65</v>
      </c>
      <c r="C26" s="260">
        <f t="shared" si="1"/>
        <v>38319271.649999999</v>
      </c>
      <c r="D26" s="470">
        <f>VLOOKUP(F26,Справочник!$A$2:$C$415,3,FALSE)</f>
        <v>0</v>
      </c>
      <c r="F26" s="579">
        <v>1400</v>
      </c>
      <c r="G26" s="580" t="s">
        <v>11</v>
      </c>
      <c r="H26" s="581">
        <v>808436.65</v>
      </c>
      <c r="I26" s="582"/>
      <c r="J26" s="581">
        <v>44141627.240000002</v>
      </c>
      <c r="K26" s="581">
        <v>6630792.2400000002</v>
      </c>
      <c r="L26" s="581">
        <v>38319271.649999999</v>
      </c>
      <c r="M26" s="582"/>
    </row>
    <row r="27" spans="1:13">
      <c r="A27" s="470" t="str">
        <f t="shared" si="2"/>
        <v xml:space="preserve"> "Тема Ко"</v>
      </c>
      <c r="B27" s="260">
        <f t="shared" si="0"/>
        <v>323270.94</v>
      </c>
      <c r="C27" s="260">
        <f t="shared" si="1"/>
        <v>323270.94</v>
      </c>
      <c r="D27" s="470" t="str">
        <f>VLOOKUP(F27,Справочник!$A$2:$C$415,3,FALSE)</f>
        <v>Текущий подоходный налог</v>
      </c>
      <c r="F27" s="583">
        <v>1410</v>
      </c>
      <c r="G27" s="584" t="s">
        <v>74</v>
      </c>
      <c r="H27" s="585">
        <v>323270.94</v>
      </c>
      <c r="I27" s="586"/>
      <c r="J27" s="586"/>
      <c r="K27" s="586"/>
      <c r="L27" s="585">
        <v>323270.94</v>
      </c>
      <c r="M27" s="586"/>
    </row>
    <row r="28" spans="1:13">
      <c r="A28" s="470" t="str">
        <f t="shared" si="2"/>
        <v xml:space="preserve"> "Тема Ко"</v>
      </c>
      <c r="B28" s="260">
        <f t="shared" si="0"/>
        <v>0</v>
      </c>
      <c r="C28" s="260">
        <f t="shared" si="1"/>
        <v>37510835</v>
      </c>
      <c r="D28" s="470" t="str">
        <f>VLOOKUP(F28,Справочник!$A$2:$C$415,3,FALSE)</f>
        <v>Прочие краткосрочные активы</v>
      </c>
      <c r="F28" s="583">
        <v>1420</v>
      </c>
      <c r="G28" s="584" t="s">
        <v>124</v>
      </c>
      <c r="H28" s="586"/>
      <c r="I28" s="586"/>
      <c r="J28" s="585">
        <v>44141627.240000002</v>
      </c>
      <c r="K28" s="585">
        <v>6630792.2400000002</v>
      </c>
      <c r="L28" s="585">
        <v>37510835</v>
      </c>
      <c r="M28" s="586"/>
    </row>
    <row r="29" spans="1:13">
      <c r="A29" s="470" t="str">
        <f t="shared" si="2"/>
        <v xml:space="preserve"> "Тема Ко"</v>
      </c>
      <c r="B29" s="260">
        <f t="shared" si="0"/>
        <v>485165.71</v>
      </c>
      <c r="C29" s="260">
        <f t="shared" si="1"/>
        <v>485165.71</v>
      </c>
      <c r="D29" s="470" t="str">
        <f>VLOOKUP(F29,Справочник!$A$2:$C$415,3,FALSE)</f>
        <v>Прочие краткосрочные активы</v>
      </c>
      <c r="F29" s="583">
        <v>1430</v>
      </c>
      <c r="G29" s="584" t="s">
        <v>125</v>
      </c>
      <c r="H29" s="585">
        <v>485165.71</v>
      </c>
      <c r="I29" s="586"/>
      <c r="J29" s="586"/>
      <c r="K29" s="586"/>
      <c r="L29" s="585">
        <v>485165.71</v>
      </c>
      <c r="M29" s="586"/>
    </row>
    <row r="30" spans="1:13">
      <c r="A30" s="470" t="str">
        <f>A29</f>
        <v xml:space="preserve"> "Тема Ко"</v>
      </c>
      <c r="B30" s="260">
        <f t="shared" si="0"/>
        <v>19869434.789999999</v>
      </c>
      <c r="C30" s="260">
        <f t="shared" si="1"/>
        <v>9101566.5899999999</v>
      </c>
      <c r="D30" s="470">
        <f>VLOOKUP(F30,Справочник!$A$2:$C$415,3,FALSE)</f>
        <v>0</v>
      </c>
      <c r="F30" s="579">
        <v>1600</v>
      </c>
      <c r="G30" s="580" t="s">
        <v>13</v>
      </c>
      <c r="H30" s="581">
        <v>19869434.789999999</v>
      </c>
      <c r="I30" s="582"/>
      <c r="J30" s="581">
        <v>30969463.010000002</v>
      </c>
      <c r="K30" s="581">
        <v>41737331.210000001</v>
      </c>
      <c r="L30" s="581">
        <v>9101566.5899999999</v>
      </c>
      <c r="M30" s="582"/>
    </row>
    <row r="31" spans="1:13">
      <c r="A31" s="470" t="str">
        <f t="shared" si="2"/>
        <v xml:space="preserve"> "Тема Ко"</v>
      </c>
      <c r="B31" s="260">
        <f t="shared" si="0"/>
        <v>19158196.379999999</v>
      </c>
      <c r="C31" s="260">
        <f t="shared" si="1"/>
        <v>9028535.3499999996</v>
      </c>
      <c r="D31" s="470" t="str">
        <f>VLOOKUP(F31,Справочник!$A$2:$C$415,3,FALSE)</f>
        <v>Прочие краткосрочные активы</v>
      </c>
      <c r="F31" s="583">
        <v>1610</v>
      </c>
      <c r="G31" s="584" t="s">
        <v>128</v>
      </c>
      <c r="H31" s="585">
        <v>19158196.379999999</v>
      </c>
      <c r="I31" s="586"/>
      <c r="J31" s="585">
        <v>30873999.010000002</v>
      </c>
      <c r="K31" s="585">
        <v>41003660.039999999</v>
      </c>
      <c r="L31" s="585">
        <v>9028535.3499999996</v>
      </c>
      <c r="M31" s="586"/>
    </row>
    <row r="32" spans="1:13">
      <c r="A32" s="470" t="str">
        <f t="shared" si="2"/>
        <v xml:space="preserve"> "Тема Ко"</v>
      </c>
      <c r="B32" s="260">
        <f t="shared" si="0"/>
        <v>711238.41</v>
      </c>
      <c r="C32" s="260">
        <f t="shared" si="1"/>
        <v>73031.240000000005</v>
      </c>
      <c r="D32" s="470" t="str">
        <f>VLOOKUP(F32,Справочник!$A$2:$C$415,3,FALSE)</f>
        <v>Прочие краткосрочные активы</v>
      </c>
      <c r="F32" s="583">
        <v>1620</v>
      </c>
      <c r="G32" s="584" t="s">
        <v>129</v>
      </c>
      <c r="H32" s="585">
        <v>711238.41</v>
      </c>
      <c r="I32" s="586"/>
      <c r="J32" s="585">
        <v>95464</v>
      </c>
      <c r="K32" s="585">
        <v>733671.17</v>
      </c>
      <c r="L32" s="585">
        <v>73031.240000000005</v>
      </c>
      <c r="M32" s="586"/>
    </row>
    <row r="33" spans="1:13">
      <c r="A33" s="470" t="str">
        <f t="shared" si="2"/>
        <v xml:space="preserve"> "Тема Ко"</v>
      </c>
      <c r="B33" s="260">
        <f t="shared" si="0"/>
        <v>3199155578.1900001</v>
      </c>
      <c r="C33" s="260">
        <f t="shared" si="1"/>
        <v>5898428359.1900005</v>
      </c>
      <c r="D33" s="470">
        <f>VLOOKUP(F33,Справочник!$A$2:$C$415,3,FALSE)</f>
        <v>0</v>
      </c>
      <c r="F33" s="579">
        <v>2000</v>
      </c>
      <c r="G33" s="580" t="s">
        <v>17</v>
      </c>
      <c r="H33" s="581">
        <v>3199155578.1900001</v>
      </c>
      <c r="I33" s="582"/>
      <c r="J33" s="581">
        <v>2699272781</v>
      </c>
      <c r="K33" s="582"/>
      <c r="L33" s="581">
        <v>5898428359.1900005</v>
      </c>
      <c r="M33" s="582"/>
    </row>
    <row r="34" spans="1:13">
      <c r="A34" s="470" t="str">
        <f t="shared" si="2"/>
        <v xml:space="preserve"> "Тема Ко"</v>
      </c>
      <c r="B34" s="260">
        <f t="shared" si="0"/>
        <v>3199155578.1900001</v>
      </c>
      <c r="C34" s="260">
        <f t="shared" si="1"/>
        <v>5898428359.1900005</v>
      </c>
      <c r="D34" s="470">
        <f>VLOOKUP(F34,Справочник!$A$2:$C$415,3,FALSE)</f>
        <v>0</v>
      </c>
      <c r="F34" s="583">
        <v>2040</v>
      </c>
      <c r="G34" s="584" t="s">
        <v>134</v>
      </c>
      <c r="H34" s="585">
        <v>3199155578.1900001</v>
      </c>
      <c r="I34" s="586"/>
      <c r="J34" s="585">
        <v>2699272781</v>
      </c>
      <c r="K34" s="586"/>
      <c r="L34" s="585">
        <v>5898428359.1900005</v>
      </c>
      <c r="M34" s="586"/>
    </row>
    <row r="35" spans="1:13">
      <c r="A35" s="470" t="str">
        <f t="shared" si="2"/>
        <v xml:space="preserve"> "Тема Ко"</v>
      </c>
      <c r="B35" s="260">
        <f t="shared" si="0"/>
        <v>3199155578.1900001</v>
      </c>
      <c r="C35" s="260">
        <f t="shared" si="1"/>
        <v>5898428359.1900005</v>
      </c>
      <c r="D35" s="470" t="str">
        <f>VLOOKUP(F35,Справочник!$A$2:$C$415,3,FALSE)</f>
        <v>Финансовые активы, имеющиеся в наличии для продажи</v>
      </c>
      <c r="F35" s="591">
        <v>2041</v>
      </c>
      <c r="G35" s="584" t="s">
        <v>17</v>
      </c>
      <c r="H35" s="585">
        <v>3199155578.1900001</v>
      </c>
      <c r="I35" s="586"/>
      <c r="J35" s="585">
        <v>2699272781</v>
      </c>
      <c r="K35" s="586"/>
      <c r="L35" s="585">
        <v>5898428359.1900005</v>
      </c>
      <c r="M35" s="586"/>
    </row>
    <row r="36" spans="1:13">
      <c r="A36" s="470" t="str">
        <f t="shared" si="2"/>
        <v xml:space="preserve"> "Тема Ко"</v>
      </c>
      <c r="B36" s="260">
        <f t="shared" si="0"/>
        <v>23924421.960000001</v>
      </c>
      <c r="C36" s="260">
        <f t="shared" si="1"/>
        <v>23915850.960000001</v>
      </c>
      <c r="D36" s="470">
        <f>VLOOKUP(F36,Справочник!$A$2:$C$415,3,FALSE)</f>
        <v>0</v>
      </c>
      <c r="F36" s="579">
        <v>2100</v>
      </c>
      <c r="G36" s="580" t="s">
        <v>15</v>
      </c>
      <c r="H36" s="581">
        <v>23924421.960000001</v>
      </c>
      <c r="I36" s="582"/>
      <c r="J36" s="581">
        <v>271432.63</v>
      </c>
      <c r="K36" s="581">
        <v>280003.63</v>
      </c>
      <c r="L36" s="581">
        <v>23915850.960000001</v>
      </c>
      <c r="M36" s="582"/>
    </row>
    <row r="37" spans="1:13">
      <c r="A37" s="470" t="str">
        <f t="shared" si="2"/>
        <v xml:space="preserve"> "Тема Ко"</v>
      </c>
      <c r="B37" s="260">
        <f t="shared" si="0"/>
        <v>23924421.960000001</v>
      </c>
      <c r="C37" s="260">
        <f t="shared" si="1"/>
        <v>23915850.960000001</v>
      </c>
      <c r="D37" s="470">
        <f>VLOOKUP(F37,Справочник!$A$2:$C$415,3,FALSE)</f>
        <v>0</v>
      </c>
      <c r="F37" s="587">
        <v>2180</v>
      </c>
      <c r="G37" s="588" t="s">
        <v>145</v>
      </c>
      <c r="H37" s="590">
        <v>23924421.960000001</v>
      </c>
      <c r="I37" s="589"/>
      <c r="J37" s="590">
        <v>271432.63</v>
      </c>
      <c r="K37" s="590">
        <v>280003.63</v>
      </c>
      <c r="L37" s="590">
        <v>23915850.960000001</v>
      </c>
      <c r="M37" s="589"/>
    </row>
    <row r="38" spans="1:13">
      <c r="A38" s="470" t="str">
        <f t="shared" si="2"/>
        <v xml:space="preserve"> "Тема Ко"</v>
      </c>
      <c r="B38" s="260">
        <f t="shared" si="0"/>
        <v>109371</v>
      </c>
      <c r="C38" s="260">
        <f t="shared" si="1"/>
        <v>100800</v>
      </c>
      <c r="D38" s="470" t="str">
        <f>VLOOKUP(F38,Справочник!$A$2:$C$415,3,FALSE)</f>
        <v>Долгосрочная торговая и прочая дебиторская задолженность</v>
      </c>
      <c r="F38" s="591">
        <v>2181</v>
      </c>
      <c r="G38" s="584" t="s">
        <v>106</v>
      </c>
      <c r="H38" s="585">
        <v>109371</v>
      </c>
      <c r="I38" s="586"/>
      <c r="J38" s="585">
        <v>271432.63</v>
      </c>
      <c r="K38" s="585">
        <v>280003.63</v>
      </c>
      <c r="L38" s="585">
        <v>100800</v>
      </c>
      <c r="M38" s="586"/>
    </row>
    <row r="39" spans="1:13">
      <c r="A39" s="470" t="str">
        <f t="shared" si="2"/>
        <v xml:space="preserve"> "Тема Ко"</v>
      </c>
      <c r="B39" s="260">
        <f t="shared" si="0"/>
        <v>23815050.960000001</v>
      </c>
      <c r="C39" s="260">
        <f t="shared" si="1"/>
        <v>23815050.960000001</v>
      </c>
      <c r="D39" s="470" t="str">
        <f>VLOOKUP(F39,Справочник!$A$2:$C$415,3,FALSE)</f>
        <v>Долгосрочная торговая и прочая дебиторская задолженность</v>
      </c>
      <c r="F39" s="591">
        <v>2184</v>
      </c>
      <c r="G39" s="584" t="s">
        <v>145</v>
      </c>
      <c r="H39" s="585">
        <v>23815050.960000001</v>
      </c>
      <c r="I39" s="586"/>
      <c r="J39" s="586"/>
      <c r="K39" s="586"/>
      <c r="L39" s="585">
        <v>23815050.960000001</v>
      </c>
      <c r="M39" s="586"/>
    </row>
    <row r="40" spans="1:13">
      <c r="A40" s="470" t="str">
        <f t="shared" si="2"/>
        <v xml:space="preserve"> "Тема Ко"</v>
      </c>
      <c r="B40" s="260">
        <f t="shared" si="0"/>
        <v>369782177.30000001</v>
      </c>
      <c r="C40" s="260">
        <f t="shared" si="1"/>
        <v>219298644.53999999</v>
      </c>
      <c r="D40" s="470">
        <f>VLOOKUP(F40,Справочник!$A$2:$C$415,3,FALSE)</f>
        <v>0</v>
      </c>
      <c r="F40" s="579">
        <v>2400</v>
      </c>
      <c r="G40" s="580" t="s">
        <v>21</v>
      </c>
      <c r="H40" s="581">
        <v>369782177.30000001</v>
      </c>
      <c r="I40" s="582"/>
      <c r="J40" s="581">
        <v>109362364.88</v>
      </c>
      <c r="K40" s="581">
        <v>259845897.63999999</v>
      </c>
      <c r="L40" s="581">
        <v>219298644.53999999</v>
      </c>
      <c r="M40" s="582"/>
    </row>
    <row r="41" spans="1:13">
      <c r="A41" s="470" t="str">
        <f t="shared" si="2"/>
        <v xml:space="preserve"> "Тема Ко"</v>
      </c>
      <c r="B41" s="260">
        <f t="shared" si="0"/>
        <v>521424852.60000002</v>
      </c>
      <c r="C41" s="260">
        <f t="shared" si="1"/>
        <v>296763758.95999998</v>
      </c>
      <c r="D41" s="470" t="str">
        <f>VLOOKUP(F41,Справочник!$A$2:$C$415,3,FALSE)</f>
        <v>Основные средства</v>
      </c>
      <c r="F41" s="583">
        <v>2410</v>
      </c>
      <c r="G41" s="584" t="s">
        <v>21</v>
      </c>
      <c r="H41" s="585">
        <v>521424852.60000002</v>
      </c>
      <c r="I41" s="586"/>
      <c r="J41" s="585">
        <v>2678285.69</v>
      </c>
      <c r="K41" s="585">
        <v>227339379.33000001</v>
      </c>
      <c r="L41" s="585">
        <v>296763758.95999998</v>
      </c>
      <c r="M41" s="586"/>
    </row>
    <row r="42" spans="1:13">
      <c r="A42" s="470" t="str">
        <f t="shared" si="2"/>
        <v xml:space="preserve"> "Тема Ко"</v>
      </c>
      <c r="B42" s="260">
        <f t="shared" si="0"/>
        <v>-151642675.30000001</v>
      </c>
      <c r="C42" s="260">
        <f t="shared" si="1"/>
        <v>-77465114.420000002</v>
      </c>
      <c r="D42" s="470" t="str">
        <f>VLOOKUP(F42,Справочник!$A$2:$C$415,3,FALSE)</f>
        <v>Основные средства</v>
      </c>
      <c r="F42" s="583">
        <v>2420</v>
      </c>
      <c r="G42" s="584" t="s">
        <v>152</v>
      </c>
      <c r="H42" s="586"/>
      <c r="I42" s="585">
        <v>151642675.30000001</v>
      </c>
      <c r="J42" s="585">
        <v>106684079.19</v>
      </c>
      <c r="K42" s="585">
        <v>32506518.309999999</v>
      </c>
      <c r="L42" s="586"/>
      <c r="M42" s="585">
        <v>77465114.420000002</v>
      </c>
    </row>
    <row r="43" spans="1:13">
      <c r="A43" s="470" t="str">
        <f t="shared" si="2"/>
        <v xml:space="preserve"> "Тема Ко"</v>
      </c>
      <c r="B43" s="260">
        <f t="shared" si="0"/>
        <v>3377927.43</v>
      </c>
      <c r="C43" s="260">
        <f t="shared" si="1"/>
        <v>2919864.83</v>
      </c>
      <c r="D43" s="470">
        <f>VLOOKUP(F43,Справочник!$A$2:$C$415,3,FALSE)</f>
        <v>0</v>
      </c>
      <c r="F43" s="579">
        <v>2700</v>
      </c>
      <c r="G43" s="580" t="s">
        <v>75</v>
      </c>
      <c r="H43" s="581">
        <v>3377927.43</v>
      </c>
      <c r="I43" s="582"/>
      <c r="J43" s="582"/>
      <c r="K43" s="581">
        <v>458062.6</v>
      </c>
      <c r="L43" s="581">
        <v>2919864.83</v>
      </c>
      <c r="M43" s="582"/>
    </row>
    <row r="44" spans="1:13">
      <c r="A44" s="470" t="str">
        <f t="shared" si="2"/>
        <v xml:space="preserve"> "Тема Ко"</v>
      </c>
      <c r="B44" s="260">
        <f t="shared" si="0"/>
        <v>4323486.3899999997</v>
      </c>
      <c r="C44" s="260">
        <f t="shared" si="1"/>
        <v>4323486.3899999997</v>
      </c>
      <c r="D44" s="470" t="str">
        <f>VLOOKUP(F44,Справочник!$A$2:$C$415,3,FALSE)</f>
        <v>Нематериальные активы</v>
      </c>
      <c r="F44" s="583">
        <v>2730</v>
      </c>
      <c r="G44" s="584" t="s">
        <v>161</v>
      </c>
      <c r="H44" s="585">
        <v>4323486.3899999997</v>
      </c>
      <c r="I44" s="586"/>
      <c r="J44" s="586"/>
      <c r="K44" s="586"/>
      <c r="L44" s="585">
        <v>4323486.3899999997</v>
      </c>
      <c r="M44" s="586"/>
    </row>
    <row r="45" spans="1:13">
      <c r="A45" s="470" t="str">
        <f t="shared" si="2"/>
        <v xml:space="preserve"> "Тема Ко"</v>
      </c>
      <c r="B45" s="260">
        <f t="shared" si="0"/>
        <v>-945558.96</v>
      </c>
      <c r="C45" s="260">
        <f t="shared" si="1"/>
        <v>-1403621.56</v>
      </c>
      <c r="D45" s="470" t="str">
        <f>VLOOKUP(F45,Справочник!$A$2:$C$415,3,FALSE)</f>
        <v>Нематериальные активы</v>
      </c>
      <c r="F45" s="583">
        <v>2740</v>
      </c>
      <c r="G45" s="584" t="s">
        <v>162</v>
      </c>
      <c r="H45" s="586"/>
      <c r="I45" s="585">
        <v>945558.96</v>
      </c>
      <c r="J45" s="586"/>
      <c r="K45" s="585">
        <v>458062.6</v>
      </c>
      <c r="L45" s="586"/>
      <c r="M45" s="585">
        <v>1403621.56</v>
      </c>
    </row>
    <row r="46" spans="1:13">
      <c r="A46" s="470" t="str">
        <f t="shared" si="2"/>
        <v xml:space="preserve"> "Тема Ко"</v>
      </c>
      <c r="B46" s="260">
        <f t="shared" si="0"/>
        <v>0</v>
      </c>
      <c r="C46" s="260">
        <f t="shared" si="1"/>
        <v>5000</v>
      </c>
      <c r="D46" s="470">
        <f>VLOOKUP(F46,Справочник!$A$2:$C$415,3,FALSE)</f>
        <v>0</v>
      </c>
      <c r="F46" s="579">
        <v>2900</v>
      </c>
      <c r="G46" s="580" t="s">
        <v>166</v>
      </c>
      <c r="H46" s="582"/>
      <c r="I46" s="582"/>
      <c r="J46" s="581">
        <v>254191.07</v>
      </c>
      <c r="K46" s="581">
        <v>249191.07</v>
      </c>
      <c r="L46" s="581">
        <v>5000</v>
      </c>
      <c r="M46" s="582"/>
    </row>
    <row r="47" spans="1:13">
      <c r="A47" s="470" t="str">
        <f t="shared" si="2"/>
        <v xml:space="preserve"> "Тема Ко"</v>
      </c>
      <c r="B47" s="260">
        <f t="shared" si="0"/>
        <v>0</v>
      </c>
      <c r="C47" s="260">
        <f t="shared" si="1"/>
        <v>5000</v>
      </c>
      <c r="D47" s="470">
        <f>VLOOKUP(F47,Справочник!$A$2:$C$415,3,FALSE)</f>
        <v>0</v>
      </c>
      <c r="F47" s="587">
        <v>2930</v>
      </c>
      <c r="G47" s="588" t="s">
        <v>23</v>
      </c>
      <c r="H47" s="589"/>
      <c r="I47" s="589"/>
      <c r="J47" s="590">
        <v>254191.07</v>
      </c>
      <c r="K47" s="590">
        <v>249191.07</v>
      </c>
      <c r="L47" s="590">
        <v>5000</v>
      </c>
      <c r="M47" s="589"/>
    </row>
    <row r="48" spans="1:13">
      <c r="A48" s="470" t="str">
        <f t="shared" si="2"/>
        <v xml:space="preserve"> "Тема Ко"</v>
      </c>
      <c r="B48" s="260">
        <f t="shared" si="0"/>
        <v>0</v>
      </c>
      <c r="C48" s="260">
        <f t="shared" si="1"/>
        <v>5000</v>
      </c>
      <c r="D48" s="470" t="str">
        <f>VLOOKUP(F48,Справочник!$A$2:$C$415,3,FALSE)</f>
        <v>Прочие долгосрочные активы</v>
      </c>
      <c r="F48" s="591">
        <v>2933</v>
      </c>
      <c r="G48" s="584" t="s">
        <v>170</v>
      </c>
      <c r="H48" s="586"/>
      <c r="I48" s="586"/>
      <c r="J48" s="585">
        <v>254191.07</v>
      </c>
      <c r="K48" s="585">
        <v>249191.07</v>
      </c>
      <c r="L48" s="585">
        <v>5000</v>
      </c>
      <c r="M48" s="586"/>
    </row>
    <row r="49" spans="1:13">
      <c r="A49" s="470" t="str">
        <f t="shared" si="2"/>
        <v xml:space="preserve"> "Тема Ко"</v>
      </c>
      <c r="B49" s="260">
        <f t="shared" si="0"/>
        <v>-40000000</v>
      </c>
      <c r="C49" s="260">
        <f t="shared" si="1"/>
        <v>-25231000</v>
      </c>
      <c r="D49" s="470">
        <f>VLOOKUP(F49,Справочник!$A$2:$C$415,3,FALSE)</f>
        <v>0</v>
      </c>
      <c r="F49" s="579">
        <v>3000</v>
      </c>
      <c r="G49" s="580" t="s">
        <v>171</v>
      </c>
      <c r="H49" s="582"/>
      <c r="I49" s="581">
        <v>40000000</v>
      </c>
      <c r="J49" s="581">
        <v>14769000</v>
      </c>
      <c r="K49" s="582"/>
      <c r="L49" s="582"/>
      <c r="M49" s="581">
        <v>25231000</v>
      </c>
    </row>
    <row r="50" spans="1:13">
      <c r="A50" s="470" t="str">
        <f t="shared" si="2"/>
        <v xml:space="preserve"> "Тема Ко"</v>
      </c>
      <c r="B50" s="260">
        <f t="shared" si="0"/>
        <v>-40000000</v>
      </c>
      <c r="C50" s="260">
        <f t="shared" si="1"/>
        <v>-25231000</v>
      </c>
      <c r="D50" s="470" t="str">
        <f>VLOOKUP(F50,Справочник!$A$2:$C$415,3,FALSE)</f>
        <v>Займы</v>
      </c>
      <c r="F50" s="583">
        <v>3020</v>
      </c>
      <c r="G50" s="584" t="s">
        <v>176</v>
      </c>
      <c r="H50" s="586"/>
      <c r="I50" s="585">
        <v>40000000</v>
      </c>
      <c r="J50" s="585">
        <v>14769000</v>
      </c>
      <c r="K50" s="586"/>
      <c r="L50" s="586"/>
      <c r="M50" s="585">
        <v>25231000</v>
      </c>
    </row>
    <row r="51" spans="1:13">
      <c r="A51" s="470" t="str">
        <f t="shared" si="2"/>
        <v xml:space="preserve"> "Тема Ко"</v>
      </c>
      <c r="B51" s="260">
        <f t="shared" si="0"/>
        <v>-10559389.27</v>
      </c>
      <c r="C51" s="260">
        <f t="shared" si="1"/>
        <v>-25189084.469999999</v>
      </c>
      <c r="D51" s="470">
        <f>VLOOKUP(F51,Справочник!$A$2:$C$415,3,FALSE)</f>
        <v>0</v>
      </c>
      <c r="F51" s="579">
        <v>3100</v>
      </c>
      <c r="G51" s="580" t="s">
        <v>33</v>
      </c>
      <c r="H51" s="582"/>
      <c r="I51" s="581">
        <v>10559389.27</v>
      </c>
      <c r="J51" s="581">
        <v>67616794.170000002</v>
      </c>
      <c r="K51" s="581">
        <v>82246489.370000005</v>
      </c>
      <c r="L51" s="582"/>
      <c r="M51" s="581">
        <v>25189084.469999999</v>
      </c>
    </row>
    <row r="52" spans="1:13">
      <c r="A52" s="470" t="str">
        <f t="shared" si="2"/>
        <v xml:space="preserve"> "Тема Ко"</v>
      </c>
      <c r="B52" s="260">
        <f t="shared" si="0"/>
        <v>11586147.57</v>
      </c>
      <c r="C52" s="260">
        <f t="shared" si="1"/>
        <v>23935079.559999999</v>
      </c>
      <c r="D52" s="470" t="str">
        <f>VLOOKUP(F52,Справочник!$A$2:$C$415,3,FALSE)</f>
        <v xml:space="preserve">Текущие налоговые обязательства по подоходному налогу </v>
      </c>
      <c r="F52" s="583">
        <v>3110</v>
      </c>
      <c r="G52" s="584" t="s">
        <v>769</v>
      </c>
      <c r="H52" s="586"/>
      <c r="I52" s="592">
        <v>-11586147.57</v>
      </c>
      <c r="J52" s="585">
        <v>4491979</v>
      </c>
      <c r="K52" s="592">
        <v>-7856952.9900000002</v>
      </c>
      <c r="L52" s="586"/>
      <c r="M52" s="592">
        <v>-23935079.559999999</v>
      </c>
    </row>
    <row r="53" spans="1:13">
      <c r="A53" s="470" t="str">
        <f t="shared" si="2"/>
        <v xml:space="preserve"> "Тема Ко"</v>
      </c>
      <c r="B53" s="260">
        <f t="shared" si="0"/>
        <v>85557.34</v>
      </c>
      <c r="C53" s="260">
        <f t="shared" si="1"/>
        <v>159583.56</v>
      </c>
      <c r="D53" s="470" t="str">
        <f>VLOOKUP(F53,Справочник!$A$2:$C$415,3,FALSE)</f>
        <v>Прочие краткосрочные обязательства</v>
      </c>
      <c r="F53" s="583">
        <v>3120</v>
      </c>
      <c r="G53" s="584" t="s">
        <v>178</v>
      </c>
      <c r="H53" s="586"/>
      <c r="I53" s="592">
        <v>-85557.34</v>
      </c>
      <c r="J53" s="585">
        <v>703454</v>
      </c>
      <c r="K53" s="585">
        <v>629427.78</v>
      </c>
      <c r="L53" s="586"/>
      <c r="M53" s="592">
        <v>-159583.56</v>
      </c>
    </row>
    <row r="54" spans="1:13">
      <c r="A54" s="470" t="str">
        <f t="shared" si="2"/>
        <v xml:space="preserve"> "Тема Ко"</v>
      </c>
      <c r="B54" s="260">
        <f t="shared" si="0"/>
        <v>-21783130.539999999</v>
      </c>
      <c r="C54" s="260">
        <f t="shared" si="1"/>
        <v>-49988289.25</v>
      </c>
      <c r="D54" s="470" t="str">
        <f>VLOOKUP(F54,Справочник!$A$2:$C$415,3,FALSE)</f>
        <v>Прочие краткосрочные обязательства</v>
      </c>
      <c r="F54" s="583">
        <v>3130</v>
      </c>
      <c r="G54" s="584" t="s">
        <v>124</v>
      </c>
      <c r="H54" s="586"/>
      <c r="I54" s="585">
        <v>21783130.539999999</v>
      </c>
      <c r="J54" s="585">
        <v>42205942.109999999</v>
      </c>
      <c r="K54" s="585">
        <v>70411100.819999993</v>
      </c>
      <c r="L54" s="586"/>
      <c r="M54" s="585">
        <v>49988289.25</v>
      </c>
    </row>
    <row r="55" spans="1:13">
      <c r="A55" s="470" t="str">
        <f t="shared" si="2"/>
        <v xml:space="preserve"> "Тема Ко"</v>
      </c>
      <c r="B55" s="260">
        <f t="shared" si="0"/>
        <v>-83711.42</v>
      </c>
      <c r="C55" s="260">
        <f t="shared" si="1"/>
        <v>72764.92</v>
      </c>
      <c r="D55" s="470" t="str">
        <f>VLOOKUP(F55,Справочник!$A$2:$C$415,3,FALSE)</f>
        <v>Прочие краткосрочные обязательства</v>
      </c>
      <c r="F55" s="583">
        <v>3150</v>
      </c>
      <c r="G55" s="584" t="s">
        <v>180</v>
      </c>
      <c r="H55" s="586"/>
      <c r="I55" s="585">
        <v>83711.42</v>
      </c>
      <c r="J55" s="585">
        <v>981726</v>
      </c>
      <c r="K55" s="585">
        <v>825249.66</v>
      </c>
      <c r="L55" s="586"/>
      <c r="M55" s="592">
        <v>-72764.92</v>
      </c>
    </row>
    <row r="56" spans="1:13">
      <c r="A56" s="470" t="str">
        <f t="shared" si="2"/>
        <v xml:space="preserve"> "Тема Ко"</v>
      </c>
      <c r="B56" s="260">
        <f t="shared" si="0"/>
        <v>0</v>
      </c>
      <c r="C56" s="260">
        <f t="shared" si="1"/>
        <v>2400</v>
      </c>
      <c r="D56" s="470" t="str">
        <f>VLOOKUP(F56,Справочник!$A$2:$C$415,3,FALSE)</f>
        <v>Прочие краткосрочные обязательства</v>
      </c>
      <c r="F56" s="583">
        <v>3160</v>
      </c>
      <c r="G56" s="584" t="s">
        <v>181</v>
      </c>
      <c r="H56" s="586"/>
      <c r="I56" s="586"/>
      <c r="J56" s="585">
        <v>179116</v>
      </c>
      <c r="K56" s="585">
        <v>176716</v>
      </c>
      <c r="L56" s="586"/>
      <c r="M56" s="592">
        <v>-2400</v>
      </c>
    </row>
    <row r="57" spans="1:13">
      <c r="A57" s="470" t="str">
        <f t="shared" si="2"/>
        <v xml:space="preserve"> "Тема Ко"</v>
      </c>
      <c r="B57" s="260">
        <f t="shared" si="0"/>
        <v>0</v>
      </c>
      <c r="C57" s="260">
        <f t="shared" si="1"/>
        <v>250153</v>
      </c>
      <c r="D57" s="470" t="str">
        <f>VLOOKUP(F57,Справочник!$A$2:$C$415,3,FALSE)</f>
        <v>Прочие краткосрочные обязательства</v>
      </c>
      <c r="F57" s="583">
        <v>3170</v>
      </c>
      <c r="G57" s="584" t="s">
        <v>182</v>
      </c>
      <c r="H57" s="586"/>
      <c r="I57" s="586"/>
      <c r="J57" s="585">
        <v>250153</v>
      </c>
      <c r="K57" s="586"/>
      <c r="L57" s="586"/>
      <c r="M57" s="592">
        <v>-250153</v>
      </c>
    </row>
    <row r="58" spans="1:13">
      <c r="A58" s="470" t="str">
        <f t="shared" si="2"/>
        <v xml:space="preserve"> "Тема Ко"</v>
      </c>
      <c r="B58" s="260">
        <f t="shared" si="0"/>
        <v>0</v>
      </c>
      <c r="C58" s="260">
        <f t="shared" si="1"/>
        <v>223200</v>
      </c>
      <c r="D58" s="470" t="str">
        <f>VLOOKUP(F58,Справочник!$A$2:$C$415,3,FALSE)</f>
        <v>Прочие краткосрочные обязательства</v>
      </c>
      <c r="F58" s="583">
        <v>3180</v>
      </c>
      <c r="G58" s="584" t="s">
        <v>183</v>
      </c>
      <c r="H58" s="586"/>
      <c r="I58" s="586"/>
      <c r="J58" s="585">
        <v>18073266</v>
      </c>
      <c r="K58" s="585">
        <v>17850066</v>
      </c>
      <c r="L58" s="586"/>
      <c r="M58" s="592">
        <v>-223200</v>
      </c>
    </row>
    <row r="59" spans="1:13">
      <c r="A59" s="470" t="str">
        <f t="shared" si="2"/>
        <v xml:space="preserve"> "Тема Ко"</v>
      </c>
      <c r="B59" s="260">
        <f t="shared" si="0"/>
        <v>-364252.22</v>
      </c>
      <c r="C59" s="260">
        <f t="shared" si="1"/>
        <v>156023.74</v>
      </c>
      <c r="D59" s="470" t="str">
        <f>VLOOKUP(F59,Справочник!$A$2:$C$415,3,FALSE)</f>
        <v>Прочие краткосрочные обязательства</v>
      </c>
      <c r="F59" s="583">
        <v>3190</v>
      </c>
      <c r="G59" s="584" t="s">
        <v>184</v>
      </c>
      <c r="H59" s="586"/>
      <c r="I59" s="585">
        <v>364252.22</v>
      </c>
      <c r="J59" s="585">
        <v>731158.06</v>
      </c>
      <c r="K59" s="585">
        <v>210882.1</v>
      </c>
      <c r="L59" s="586"/>
      <c r="M59" s="592">
        <v>-156023.74</v>
      </c>
    </row>
    <row r="60" spans="1:13" ht="24">
      <c r="A60" s="470" t="str">
        <f t="shared" si="2"/>
        <v xml:space="preserve"> "Тема Ко"</v>
      </c>
      <c r="B60" s="260">
        <f t="shared" si="0"/>
        <v>-80269.72</v>
      </c>
      <c r="C60" s="260">
        <f t="shared" si="1"/>
        <v>346298.32</v>
      </c>
      <c r="D60" s="470">
        <f>VLOOKUP(F60,Справочник!$A$2:$C$415,3,FALSE)</f>
        <v>0</v>
      </c>
      <c r="F60" s="579">
        <v>3200</v>
      </c>
      <c r="G60" s="580" t="s">
        <v>185</v>
      </c>
      <c r="H60" s="582"/>
      <c r="I60" s="581">
        <v>80269.72</v>
      </c>
      <c r="J60" s="581">
        <v>2398408.83</v>
      </c>
      <c r="K60" s="581">
        <v>1971840.79</v>
      </c>
      <c r="L60" s="582"/>
      <c r="M60" s="593">
        <v>-346298.32</v>
      </c>
    </row>
    <row r="61" spans="1:13">
      <c r="A61" s="470" t="str">
        <f t="shared" si="2"/>
        <v xml:space="preserve"> "Тема Ко"</v>
      </c>
      <c r="B61" s="260">
        <f t="shared" si="0"/>
        <v>-20149.47</v>
      </c>
      <c r="C61" s="260">
        <f t="shared" si="1"/>
        <v>104791.42</v>
      </c>
      <c r="D61" s="470" t="str">
        <f>VLOOKUP(F61,Справочник!$A$2:$C$415,3,FALSE)</f>
        <v>Прочие краткосрочные обязательства</v>
      </c>
      <c r="F61" s="583">
        <v>3210</v>
      </c>
      <c r="G61" s="584" t="s">
        <v>186</v>
      </c>
      <c r="H61" s="586"/>
      <c r="I61" s="585">
        <v>20149.47</v>
      </c>
      <c r="J61" s="585">
        <v>751598.13</v>
      </c>
      <c r="K61" s="585">
        <v>626657.24</v>
      </c>
      <c r="L61" s="586"/>
      <c r="M61" s="592">
        <v>-104791.42</v>
      </c>
    </row>
    <row r="62" spans="1:13">
      <c r="A62" s="470" t="str">
        <f t="shared" si="2"/>
        <v xml:space="preserve"> "Тема Ко"</v>
      </c>
      <c r="B62" s="260">
        <f t="shared" si="0"/>
        <v>-60120.25</v>
      </c>
      <c r="C62" s="260">
        <f t="shared" si="1"/>
        <v>206886.9</v>
      </c>
      <c r="D62" s="470" t="str">
        <f>VLOOKUP(F62,Справочник!$A$2:$C$415,3,FALSE)</f>
        <v>Прочие краткосрочные обязательства</v>
      </c>
      <c r="F62" s="583">
        <v>3220</v>
      </c>
      <c r="G62" s="584" t="s">
        <v>187</v>
      </c>
      <c r="H62" s="586"/>
      <c r="I62" s="585">
        <v>60120.25</v>
      </c>
      <c r="J62" s="585">
        <v>1612190.7</v>
      </c>
      <c r="K62" s="585">
        <v>1345183.55</v>
      </c>
      <c r="L62" s="586"/>
      <c r="M62" s="592">
        <v>-206886.9</v>
      </c>
    </row>
    <row r="63" spans="1:13">
      <c r="A63" s="470" t="str">
        <f t="shared" si="2"/>
        <v xml:space="preserve"> "Тема Ко"</v>
      </c>
      <c r="B63" s="260">
        <f t="shared" si="0"/>
        <v>0</v>
      </c>
      <c r="C63" s="260">
        <f t="shared" si="1"/>
        <v>34620</v>
      </c>
      <c r="D63" s="470" t="str">
        <f>VLOOKUP(F63,Справочник!$A$2:$C$415,3,FALSE)</f>
        <v>Прочие краткосрочные обязательства</v>
      </c>
      <c r="F63" s="583">
        <v>3230</v>
      </c>
      <c r="G63" s="584" t="s">
        <v>188</v>
      </c>
      <c r="H63" s="586"/>
      <c r="I63" s="586"/>
      <c r="J63" s="585">
        <v>34620</v>
      </c>
      <c r="K63" s="586"/>
      <c r="L63" s="586"/>
      <c r="M63" s="592">
        <v>-34620</v>
      </c>
    </row>
    <row r="64" spans="1:13">
      <c r="A64" s="470" t="str">
        <f t="shared" si="2"/>
        <v xml:space="preserve"> "Тема Ко"</v>
      </c>
      <c r="B64" s="260">
        <f t="shared" si="0"/>
        <v>-102246165.70999999</v>
      </c>
      <c r="C64" s="260">
        <f t="shared" si="1"/>
        <v>-3028793484.73</v>
      </c>
      <c r="D64" s="470">
        <f>VLOOKUP(F64,Справочник!$A$2:$C$415,3,FALSE)</f>
        <v>0</v>
      </c>
      <c r="F64" s="579">
        <v>3300</v>
      </c>
      <c r="G64" s="580" t="s">
        <v>76</v>
      </c>
      <c r="H64" s="582"/>
      <c r="I64" s="581">
        <v>102246165.70999999</v>
      </c>
      <c r="J64" s="581">
        <v>565806300.72000003</v>
      </c>
      <c r="K64" s="581">
        <v>3492353619.7400002</v>
      </c>
      <c r="L64" s="582"/>
      <c r="M64" s="581">
        <v>3028793484.73</v>
      </c>
    </row>
    <row r="65" spans="1:13">
      <c r="A65" s="470" t="str">
        <f t="shared" si="2"/>
        <v xml:space="preserve"> "Тема Ко"</v>
      </c>
      <c r="B65" s="260">
        <f t="shared" si="0"/>
        <v>-61127186.200000003</v>
      </c>
      <c r="C65" s="260">
        <f t="shared" si="1"/>
        <v>-290472636.36000001</v>
      </c>
      <c r="D65" s="470" t="str">
        <f>VLOOKUP(F65,Справочник!$A$2:$C$415,3,FALSE)</f>
        <v>Краткосрочная торговая и прочая кредиторская задолженность</v>
      </c>
      <c r="F65" s="583">
        <v>3310</v>
      </c>
      <c r="G65" s="584" t="s">
        <v>190</v>
      </c>
      <c r="H65" s="586"/>
      <c r="I65" s="585">
        <v>61127186.200000003</v>
      </c>
      <c r="J65" s="585">
        <v>548432204.13999999</v>
      </c>
      <c r="K65" s="585">
        <v>777777654.29999995</v>
      </c>
      <c r="L65" s="586"/>
      <c r="M65" s="585">
        <v>290472636.36000001</v>
      </c>
    </row>
    <row r="66" spans="1:13" ht="24">
      <c r="A66" s="470" t="str">
        <f t="shared" si="2"/>
        <v xml:space="preserve"> "Тема Ко"</v>
      </c>
      <c r="B66" s="260">
        <f t="shared" si="0"/>
        <v>-500000</v>
      </c>
      <c r="C66" s="260">
        <f t="shared" si="1"/>
        <v>-500000</v>
      </c>
      <c r="D66" s="470" t="str">
        <f>VLOOKUP(F66,Справочник!$A$2:$C$415,3,FALSE)</f>
        <v>Краткосрочная торговая и прочая кредиторская задолженность</v>
      </c>
      <c r="F66" s="583">
        <v>3331</v>
      </c>
      <c r="G66" s="584" t="s">
        <v>192</v>
      </c>
      <c r="H66" s="586"/>
      <c r="I66" s="585">
        <v>500000</v>
      </c>
      <c r="J66" s="586"/>
      <c r="K66" s="586"/>
      <c r="L66" s="586"/>
      <c r="M66" s="585">
        <v>500000</v>
      </c>
    </row>
    <row r="67" spans="1:13">
      <c r="A67" s="470" t="str">
        <f t="shared" si="2"/>
        <v xml:space="preserve"> "Тема Ко"</v>
      </c>
      <c r="B67" s="260">
        <f t="shared" si="0"/>
        <v>-2103944.59</v>
      </c>
      <c r="C67" s="260">
        <f t="shared" si="1"/>
        <v>3039.92</v>
      </c>
      <c r="D67" s="470" t="str">
        <f>VLOOKUP(F67,Справочник!$A$2:$C$415,3,FALSE)</f>
        <v>Вознаграждения работникам</v>
      </c>
      <c r="F67" s="583">
        <v>3350</v>
      </c>
      <c r="G67" s="584" t="s">
        <v>194</v>
      </c>
      <c r="H67" s="586"/>
      <c r="I67" s="585">
        <v>2103944.59</v>
      </c>
      <c r="J67" s="585">
        <v>17355970.579999998</v>
      </c>
      <c r="K67" s="585">
        <v>15248986.07</v>
      </c>
      <c r="L67" s="586"/>
      <c r="M67" s="592">
        <v>-3039.92</v>
      </c>
    </row>
    <row r="68" spans="1:13">
      <c r="A68" s="470" t="str">
        <f t="shared" si="2"/>
        <v xml:space="preserve"> "Тема Ко"</v>
      </c>
      <c r="B68" s="260">
        <f t="shared" si="0"/>
        <v>-5257951</v>
      </c>
      <c r="C68" s="260">
        <f t="shared" si="1"/>
        <v>-5257951</v>
      </c>
      <c r="D68" s="470" t="str">
        <f>VLOOKUP(F68,Справочник!$A$2:$C$415,3,FALSE)</f>
        <v>Краткосрочная торговая и прочая кредиторская задолженность</v>
      </c>
      <c r="F68" s="583">
        <v>3370</v>
      </c>
      <c r="G68" s="584" t="s">
        <v>196</v>
      </c>
      <c r="H68" s="586"/>
      <c r="I68" s="585">
        <v>5257951</v>
      </c>
      <c r="J68" s="586"/>
      <c r="K68" s="586"/>
      <c r="L68" s="586"/>
      <c r="M68" s="585">
        <v>5257951</v>
      </c>
    </row>
    <row r="69" spans="1:13">
      <c r="A69" s="470" t="str">
        <f t="shared" si="2"/>
        <v xml:space="preserve"> "Тема Ко"</v>
      </c>
      <c r="B69" s="260">
        <f t="shared" si="0"/>
        <v>-33248731.559999999</v>
      </c>
      <c r="C69" s="260">
        <f t="shared" si="1"/>
        <v>-33248731.559999999</v>
      </c>
      <c r="D69" s="470" t="str">
        <f>VLOOKUP(F69,Справочник!$A$2:$C$415,3,FALSE)</f>
        <v>Краткосрочная торговая и прочая кредиторская задолженность</v>
      </c>
      <c r="F69" s="583">
        <v>3380</v>
      </c>
      <c r="G69" s="584" t="s">
        <v>197</v>
      </c>
      <c r="H69" s="586"/>
      <c r="I69" s="585">
        <v>33248731.559999999</v>
      </c>
      <c r="J69" s="586"/>
      <c r="K69" s="586"/>
      <c r="L69" s="586"/>
      <c r="M69" s="585">
        <v>33248731.559999999</v>
      </c>
    </row>
    <row r="70" spans="1:13">
      <c r="A70" s="470" t="str">
        <f t="shared" si="2"/>
        <v xml:space="preserve"> "Тема Ко"</v>
      </c>
      <c r="B70" s="260">
        <f t="shared" si="0"/>
        <v>-8352.36</v>
      </c>
      <c r="C70" s="260">
        <f t="shared" si="1"/>
        <v>-2699317205.73</v>
      </c>
      <c r="D70" s="470">
        <f>VLOOKUP(F70,Справочник!$A$2:$C$415,3,FALSE)</f>
        <v>0</v>
      </c>
      <c r="F70" s="587">
        <v>3390</v>
      </c>
      <c r="G70" s="588" t="s">
        <v>198</v>
      </c>
      <c r="H70" s="589"/>
      <c r="I70" s="590">
        <v>8352.36</v>
      </c>
      <c r="J70" s="590">
        <v>18126</v>
      </c>
      <c r="K70" s="590">
        <v>2699326979.3699999</v>
      </c>
      <c r="L70" s="589"/>
      <c r="M70" s="590">
        <v>2699317205.73</v>
      </c>
    </row>
    <row r="71" spans="1:13">
      <c r="A71" s="470" t="str">
        <f t="shared" si="2"/>
        <v xml:space="preserve"> "Тема Ко"</v>
      </c>
      <c r="B71" s="260">
        <f t="shared" si="0"/>
        <v>0</v>
      </c>
      <c r="C71" s="260">
        <f t="shared" si="1"/>
        <v>-0.26</v>
      </c>
      <c r="D71" s="470" t="str">
        <f>VLOOKUP(F71,Справочник!$A$2:$C$415,3,FALSE)</f>
        <v>Краткосрочная торговая и прочая кредиторская задолженность</v>
      </c>
      <c r="F71" s="591">
        <v>3396</v>
      </c>
      <c r="G71" s="584" t="s">
        <v>204</v>
      </c>
      <c r="H71" s="586"/>
      <c r="I71" s="586"/>
      <c r="J71" s="586"/>
      <c r="K71" s="594">
        <v>0.26</v>
      </c>
      <c r="L71" s="586"/>
      <c r="M71" s="594">
        <v>0.26</v>
      </c>
    </row>
    <row r="72" spans="1:13">
      <c r="A72" s="470" t="str">
        <f t="shared" si="2"/>
        <v xml:space="preserve"> "Тема Ко"</v>
      </c>
      <c r="B72" s="260">
        <f t="shared" ref="B72:B135" si="3">IF(ISBLANK(H72)=FALSE,H72,-I72)</f>
        <v>-8352.36</v>
      </c>
      <c r="C72" s="260">
        <f t="shared" si="1"/>
        <v>-2699317205.4700003</v>
      </c>
      <c r="D72" s="470" t="str">
        <f>VLOOKUP(F72,Справочник!$A$2:$C$415,3,FALSE)</f>
        <v>Краткосрочная торговая и прочая кредиторская задолженность</v>
      </c>
      <c r="F72" s="591">
        <v>3397</v>
      </c>
      <c r="G72" s="584" t="s">
        <v>198</v>
      </c>
      <c r="H72" s="586"/>
      <c r="I72" s="585">
        <v>8352.36</v>
      </c>
      <c r="J72" s="585">
        <v>18126</v>
      </c>
      <c r="K72" s="585">
        <v>2699326979.1100001</v>
      </c>
      <c r="L72" s="586"/>
      <c r="M72" s="585">
        <v>2699317205.4700003</v>
      </c>
    </row>
    <row r="73" spans="1:13">
      <c r="A73" s="470" t="str">
        <f t="shared" si="2"/>
        <v xml:space="preserve"> "Тема Ко"</v>
      </c>
      <c r="B73" s="260">
        <f t="shared" si="3"/>
        <v>-1697135.56</v>
      </c>
      <c r="C73" s="260">
        <f t="shared" si="1"/>
        <v>-1676343.63</v>
      </c>
      <c r="D73" s="470">
        <f>VLOOKUP(F73,Справочник!$A$2:$C$415,3,FALSE)</f>
        <v>0</v>
      </c>
      <c r="F73" s="579">
        <v>3400</v>
      </c>
      <c r="G73" s="580" t="s">
        <v>39</v>
      </c>
      <c r="H73" s="582"/>
      <c r="I73" s="581">
        <v>1697135.56</v>
      </c>
      <c r="J73" s="581">
        <v>163210.15</v>
      </c>
      <c r="K73" s="581">
        <v>142418.22</v>
      </c>
      <c r="L73" s="582"/>
      <c r="M73" s="581">
        <v>1676343.63</v>
      </c>
    </row>
    <row r="74" spans="1:13" ht="24">
      <c r="A74" s="470" t="str">
        <f t="shared" si="2"/>
        <v xml:space="preserve"> "Тема Ко"</v>
      </c>
      <c r="B74" s="260">
        <f t="shared" si="3"/>
        <v>-1697135.56</v>
      </c>
      <c r="C74" s="260">
        <f t="shared" ref="C74:C137" si="4">IF(ISBLANK(L74)=FALSE,L74,-M74)</f>
        <v>-1676343.63</v>
      </c>
      <c r="D74" s="470" t="str">
        <f>VLOOKUP(F74,Справочник!$A$2:$C$415,3,FALSE)</f>
        <v>Краткосрочные резервы</v>
      </c>
      <c r="F74" s="583">
        <v>3430</v>
      </c>
      <c r="G74" s="584" t="s">
        <v>207</v>
      </c>
      <c r="H74" s="586"/>
      <c r="I74" s="585">
        <v>1697135.56</v>
      </c>
      <c r="J74" s="585">
        <v>163210.15</v>
      </c>
      <c r="K74" s="585">
        <v>142418.22</v>
      </c>
      <c r="L74" s="586"/>
      <c r="M74" s="585">
        <v>1676343.63</v>
      </c>
    </row>
    <row r="75" spans="1:13">
      <c r="A75" s="470" t="str">
        <f t="shared" ref="A75:A138" si="5">A74</f>
        <v xml:space="preserve"> "Тема Ко"</v>
      </c>
      <c r="B75" s="260">
        <f t="shared" si="3"/>
        <v>-10746433.93</v>
      </c>
      <c r="C75" s="260">
        <f t="shared" si="4"/>
        <v>-12053486.76</v>
      </c>
      <c r="D75" s="470">
        <f>VLOOKUP(F75,Справочник!$A$2:$C$415,3,FALSE)</f>
        <v>0</v>
      </c>
      <c r="F75" s="579">
        <v>3500</v>
      </c>
      <c r="G75" s="580" t="s">
        <v>209</v>
      </c>
      <c r="H75" s="582"/>
      <c r="I75" s="581">
        <v>10746433.93</v>
      </c>
      <c r="J75" s="581">
        <v>133219328.15000001</v>
      </c>
      <c r="K75" s="581">
        <v>134526380.97999999</v>
      </c>
      <c r="L75" s="582"/>
      <c r="M75" s="581">
        <v>12053486.76</v>
      </c>
    </row>
    <row r="76" spans="1:13">
      <c r="A76" s="470" t="str">
        <f t="shared" si="5"/>
        <v xml:space="preserve"> "Тема Ко"</v>
      </c>
      <c r="B76" s="260">
        <f t="shared" si="3"/>
        <v>-10746433.93</v>
      </c>
      <c r="C76" s="260">
        <f t="shared" si="4"/>
        <v>-12053486.76</v>
      </c>
      <c r="D76" s="470" t="str">
        <f>VLOOKUP(F76,Справочник!$A$2:$C$415,3,FALSE)</f>
        <v>Прочие краткосрочные обязательства</v>
      </c>
      <c r="F76" s="583">
        <v>3510</v>
      </c>
      <c r="G76" s="584" t="s">
        <v>210</v>
      </c>
      <c r="H76" s="586"/>
      <c r="I76" s="585">
        <v>10746433.93</v>
      </c>
      <c r="J76" s="585">
        <v>133219328.15000001</v>
      </c>
      <c r="K76" s="585">
        <v>134526380.97999999</v>
      </c>
      <c r="L76" s="586"/>
      <c r="M76" s="585">
        <v>12053486.76</v>
      </c>
    </row>
    <row r="77" spans="1:13">
      <c r="A77" s="470" t="str">
        <f t="shared" si="5"/>
        <v xml:space="preserve"> "Тема Ко"</v>
      </c>
      <c r="B77" s="260">
        <f t="shared" si="3"/>
        <v>-233903992.06</v>
      </c>
      <c r="C77" s="260">
        <f t="shared" si="4"/>
        <v>-233903992.06</v>
      </c>
      <c r="D77" s="470">
        <f>VLOOKUP(F77,Справочник!$A$2:$C$415,3,FALSE)</f>
        <v>0</v>
      </c>
      <c r="F77" s="579">
        <v>4000</v>
      </c>
      <c r="G77" s="580" t="s">
        <v>213</v>
      </c>
      <c r="H77" s="582"/>
      <c r="I77" s="581">
        <v>233903992.06</v>
      </c>
      <c r="J77" s="582"/>
      <c r="K77" s="582"/>
      <c r="L77" s="582"/>
      <c r="M77" s="581">
        <v>233903992.06</v>
      </c>
    </row>
    <row r="78" spans="1:13">
      <c r="A78" s="470" t="str">
        <f t="shared" si="5"/>
        <v xml:space="preserve"> "Тема Ко"</v>
      </c>
      <c r="B78" s="260">
        <f t="shared" si="3"/>
        <v>-233903992.06</v>
      </c>
      <c r="C78" s="260">
        <f t="shared" si="4"/>
        <v>-233903992.06</v>
      </c>
      <c r="D78" s="470">
        <f>VLOOKUP(F78,Справочник!$A$2:$C$415,3,FALSE)</f>
        <v>0</v>
      </c>
      <c r="F78" s="583">
        <v>4030</v>
      </c>
      <c r="G78" s="584" t="s">
        <v>216</v>
      </c>
      <c r="H78" s="586"/>
      <c r="I78" s="585">
        <v>233903992.06</v>
      </c>
      <c r="J78" s="586"/>
      <c r="K78" s="586"/>
      <c r="L78" s="586"/>
      <c r="M78" s="585">
        <v>233903992.06</v>
      </c>
    </row>
    <row r="79" spans="1:13">
      <c r="A79" s="470" t="str">
        <f t="shared" si="5"/>
        <v xml:space="preserve"> "Тема Ко"</v>
      </c>
      <c r="B79" s="260">
        <f t="shared" si="3"/>
        <v>-234500000</v>
      </c>
      <c r="C79" s="260">
        <f t="shared" si="4"/>
        <v>-234500000</v>
      </c>
      <c r="D79" s="470" t="str">
        <f>VLOOKUP(F79,Справочник!$A$2:$C$415,3,FALSE)</f>
        <v>Прочие долгосрочные финансовые обязательства</v>
      </c>
      <c r="F79" s="591">
        <v>4031</v>
      </c>
      <c r="G79" s="584" t="s">
        <v>593</v>
      </c>
      <c r="H79" s="586"/>
      <c r="I79" s="585">
        <v>234500000</v>
      </c>
      <c r="J79" s="586"/>
      <c r="K79" s="586"/>
      <c r="L79" s="586"/>
      <c r="M79" s="585">
        <v>234500000</v>
      </c>
    </row>
    <row r="80" spans="1:13">
      <c r="A80" s="470" t="str">
        <f t="shared" si="5"/>
        <v xml:space="preserve"> "Тема Ко"</v>
      </c>
      <c r="B80" s="260">
        <f t="shared" si="3"/>
        <v>596007.93999999994</v>
      </c>
      <c r="C80" s="260">
        <f t="shared" si="4"/>
        <v>596007.93999999994</v>
      </c>
      <c r="D80" s="470" t="str">
        <f>VLOOKUP(F80,Справочник!$A$2:$C$415,3,FALSE)</f>
        <v>Прочие долгосрочные финансовые обязательства</v>
      </c>
      <c r="F80" s="591">
        <v>4032</v>
      </c>
      <c r="G80" s="584" t="s">
        <v>594</v>
      </c>
      <c r="H80" s="585">
        <v>596007.93999999994</v>
      </c>
      <c r="I80" s="586"/>
      <c r="J80" s="586"/>
      <c r="K80" s="586"/>
      <c r="L80" s="585">
        <v>596007.93999999994</v>
      </c>
      <c r="M80" s="586"/>
    </row>
    <row r="81" spans="1:13">
      <c r="A81" s="470" t="str">
        <f t="shared" si="5"/>
        <v xml:space="preserve"> "Тема Ко"</v>
      </c>
      <c r="B81" s="260">
        <f t="shared" si="3"/>
        <v>-223006154</v>
      </c>
      <c r="C81" s="260">
        <f t="shared" si="4"/>
        <v>-223006154</v>
      </c>
      <c r="D81" s="470">
        <f>VLOOKUP(F81,Справочник!$A$2:$C$415,3,FALSE)</f>
        <v>0</v>
      </c>
      <c r="F81" s="579">
        <v>4100</v>
      </c>
      <c r="G81" s="580" t="s">
        <v>43</v>
      </c>
      <c r="H81" s="582"/>
      <c r="I81" s="581">
        <v>223006154</v>
      </c>
      <c r="J81" s="582"/>
      <c r="K81" s="582"/>
      <c r="L81" s="582"/>
      <c r="M81" s="581">
        <v>223006154</v>
      </c>
    </row>
    <row r="82" spans="1:13">
      <c r="A82" s="470" t="str">
        <f t="shared" si="5"/>
        <v xml:space="preserve"> "Тема Ко"</v>
      </c>
      <c r="B82" s="260">
        <f t="shared" si="3"/>
        <v>-223006154</v>
      </c>
      <c r="C82" s="260">
        <f t="shared" si="4"/>
        <v>-223006154</v>
      </c>
      <c r="D82" s="470" t="str">
        <f>VLOOKUP(F82,Справочник!$A$2:$C$415,3,FALSE)</f>
        <v>Долгосрочная торговая и прочая кредиторская задолженность</v>
      </c>
      <c r="F82" s="583">
        <v>4150</v>
      </c>
      <c r="G82" s="584" t="s">
        <v>222</v>
      </c>
      <c r="H82" s="586"/>
      <c r="I82" s="585">
        <v>223006154</v>
      </c>
      <c r="J82" s="586"/>
      <c r="K82" s="586"/>
      <c r="L82" s="586"/>
      <c r="M82" s="585">
        <v>223006154</v>
      </c>
    </row>
    <row r="83" spans="1:13">
      <c r="A83" s="470" t="str">
        <f t="shared" si="5"/>
        <v xml:space="preserve"> "Тема Ко"</v>
      </c>
      <c r="B83" s="260">
        <f t="shared" si="3"/>
        <v>-29525116.210000001</v>
      </c>
      <c r="C83" s="260">
        <f t="shared" si="4"/>
        <v>-29525116.210000001</v>
      </c>
      <c r="D83" s="470">
        <f>VLOOKUP(F83,Справочник!$A$2:$C$415,3,FALSE)</f>
        <v>0</v>
      </c>
      <c r="F83" s="579">
        <v>4300</v>
      </c>
      <c r="G83" s="580" t="s">
        <v>73</v>
      </c>
      <c r="H83" s="582"/>
      <c r="I83" s="581">
        <v>29525116.210000001</v>
      </c>
      <c r="J83" s="582"/>
      <c r="K83" s="582"/>
      <c r="L83" s="582"/>
      <c r="M83" s="581">
        <v>29525116.210000001</v>
      </c>
    </row>
    <row r="84" spans="1:13" ht="24">
      <c r="A84" s="470" t="str">
        <f t="shared" si="5"/>
        <v xml:space="preserve"> "Тема Ко"</v>
      </c>
      <c r="B84" s="260">
        <f t="shared" si="3"/>
        <v>-29525116.210000001</v>
      </c>
      <c r="C84" s="260">
        <f t="shared" si="4"/>
        <v>-29525116.210000001</v>
      </c>
      <c r="D84" s="470" t="str">
        <f>VLOOKUP(F84,Справочник!$A$2:$C$415,3,FALSE)</f>
        <v>Отложенные налоговые обязательства</v>
      </c>
      <c r="F84" s="583">
        <v>4310</v>
      </c>
      <c r="G84" s="584" t="s">
        <v>236</v>
      </c>
      <c r="H84" s="586"/>
      <c r="I84" s="585">
        <v>29525116.210000001</v>
      </c>
      <c r="J84" s="586"/>
      <c r="K84" s="586"/>
      <c r="L84" s="586"/>
      <c r="M84" s="585">
        <v>29525116.210000001</v>
      </c>
    </row>
    <row r="85" spans="1:13">
      <c r="A85" s="470" t="str">
        <f t="shared" si="5"/>
        <v xml:space="preserve"> "Тема Ко"</v>
      </c>
      <c r="B85" s="260">
        <f t="shared" si="3"/>
        <v>-40000000000</v>
      </c>
      <c r="C85" s="260">
        <f t="shared" si="4"/>
        <v>-40000000000</v>
      </c>
      <c r="D85" s="470">
        <f>VLOOKUP(F85,Справочник!$A$2:$C$415,3,FALSE)</f>
        <v>0</v>
      </c>
      <c r="F85" s="579">
        <v>5000</v>
      </c>
      <c r="G85" s="580" t="s">
        <v>45</v>
      </c>
      <c r="H85" s="582"/>
      <c r="I85" s="581">
        <v>40000000000</v>
      </c>
      <c r="J85" s="581">
        <v>3000000000</v>
      </c>
      <c r="K85" s="581">
        <v>3000000000</v>
      </c>
      <c r="L85" s="582"/>
      <c r="M85" s="581">
        <v>40000000000</v>
      </c>
    </row>
    <row r="86" spans="1:13">
      <c r="A86" s="470" t="str">
        <f t="shared" si="5"/>
        <v xml:space="preserve"> "Тема Ко"</v>
      </c>
      <c r="B86" s="260">
        <f t="shared" si="3"/>
        <v>-10000000000</v>
      </c>
      <c r="C86" s="260">
        <f t="shared" si="4"/>
        <v>-10000000000</v>
      </c>
      <c r="D86" s="470" t="str">
        <f>VLOOKUP(F86,Справочник!$A$2:$C$415,3,FALSE)</f>
        <v>Уставный (акционерный) капитал</v>
      </c>
      <c r="F86" s="583">
        <v>5010</v>
      </c>
      <c r="G86" s="584" t="s">
        <v>240</v>
      </c>
      <c r="H86" s="586"/>
      <c r="I86" s="585">
        <v>10000000000</v>
      </c>
      <c r="J86" s="586"/>
      <c r="K86" s="586"/>
      <c r="L86" s="586"/>
      <c r="M86" s="585">
        <v>10000000000</v>
      </c>
    </row>
    <row r="87" spans="1:13">
      <c r="A87" s="470" t="str">
        <f t="shared" si="5"/>
        <v xml:space="preserve"> "Тема Ко"</v>
      </c>
      <c r="B87" s="260">
        <f t="shared" si="3"/>
        <v>-30000000000</v>
      </c>
      <c r="C87" s="260">
        <f t="shared" si="4"/>
        <v>-30000000000</v>
      </c>
      <c r="D87" s="470" t="str">
        <f>VLOOKUP(F87,Справочник!$A$2:$C$415,3,FALSE)</f>
        <v>Уставный (акционерный) капитал</v>
      </c>
      <c r="F87" s="583">
        <v>5020</v>
      </c>
      <c r="G87" s="584" t="s">
        <v>241</v>
      </c>
      <c r="H87" s="586"/>
      <c r="I87" s="585">
        <v>30000000000</v>
      </c>
      <c r="J87" s="585">
        <v>3000000000</v>
      </c>
      <c r="K87" s="585">
        <v>3000000000</v>
      </c>
      <c r="L87" s="586"/>
      <c r="M87" s="585">
        <v>30000000000</v>
      </c>
    </row>
    <row r="88" spans="1:13">
      <c r="A88" s="470" t="str">
        <f t="shared" si="5"/>
        <v xml:space="preserve"> "Тема Ко"</v>
      </c>
      <c r="B88" s="260">
        <f t="shared" si="3"/>
        <v>34198424973</v>
      </c>
      <c r="C88" s="260">
        <f t="shared" si="4"/>
        <v>34198424973</v>
      </c>
      <c r="D88" s="470">
        <f>VLOOKUP(F88,Справочник!$A$2:$C$415,3,FALSE)</f>
        <v>0</v>
      </c>
      <c r="F88" s="579">
        <v>5100</v>
      </c>
      <c r="G88" s="580" t="s">
        <v>243</v>
      </c>
      <c r="H88" s="581">
        <v>34198424973</v>
      </c>
      <c r="I88" s="582"/>
      <c r="J88" s="581">
        <v>3000000000</v>
      </c>
      <c r="K88" s="581">
        <v>3000000000</v>
      </c>
      <c r="L88" s="581">
        <v>34198424973</v>
      </c>
      <c r="M88" s="582"/>
    </row>
    <row r="89" spans="1:13">
      <c r="A89" s="470" t="str">
        <f t="shared" si="5"/>
        <v xml:space="preserve"> "Тема Ко"</v>
      </c>
      <c r="B89" s="260">
        <f t="shared" si="3"/>
        <v>34198424973</v>
      </c>
      <c r="C89" s="260">
        <f t="shared" si="4"/>
        <v>34198424973</v>
      </c>
      <c r="D89" s="470" t="str">
        <f>VLOOKUP(F89,Справочник!$A$2:$C$415,3,FALSE)</f>
        <v>Уставный (акционерный) капитал</v>
      </c>
      <c r="F89" s="583">
        <v>5110</v>
      </c>
      <c r="G89" s="584" t="s">
        <v>243</v>
      </c>
      <c r="H89" s="585">
        <v>34198424973</v>
      </c>
      <c r="I89" s="586"/>
      <c r="J89" s="585">
        <v>3000000000</v>
      </c>
      <c r="K89" s="585">
        <v>3000000000</v>
      </c>
      <c r="L89" s="585">
        <v>34198424973</v>
      </c>
      <c r="M89" s="586"/>
    </row>
    <row r="90" spans="1:13">
      <c r="A90" s="470" t="str">
        <f t="shared" si="5"/>
        <v xml:space="preserve"> "Тема Ко"</v>
      </c>
      <c r="B90" s="260">
        <f t="shared" si="3"/>
        <v>28619715.41</v>
      </c>
      <c r="C90" s="260">
        <f t="shared" si="4"/>
        <v>28619715.41</v>
      </c>
      <c r="D90" s="470">
        <f>VLOOKUP(F90,Справочник!$A$2:$C$415,3,FALSE)</f>
        <v>0</v>
      </c>
      <c r="F90" s="579">
        <v>5500</v>
      </c>
      <c r="G90" s="580" t="s">
        <v>253</v>
      </c>
      <c r="H90" s="582"/>
      <c r="I90" s="593">
        <v>-28619715.41</v>
      </c>
      <c r="J90" s="582"/>
      <c r="K90" s="582"/>
      <c r="L90" s="582"/>
      <c r="M90" s="593">
        <v>-28619715.41</v>
      </c>
    </row>
    <row r="91" spans="1:13" ht="24">
      <c r="A91" s="470" t="str">
        <f t="shared" si="5"/>
        <v xml:space="preserve"> "Тема Ко"</v>
      </c>
      <c r="B91" s="260">
        <f t="shared" si="3"/>
        <v>30841179.890000001</v>
      </c>
      <c r="C91" s="260">
        <f t="shared" si="4"/>
        <v>30841179.890000001</v>
      </c>
      <c r="D91" s="470" t="str">
        <f>VLOOKUP(F91,Справочник!$A$2:$C$415,3,FALSE)</f>
        <v>Нераспределенная прибыль (непокрытый убыток)</v>
      </c>
      <c r="F91" s="583">
        <v>5510</v>
      </c>
      <c r="G91" s="584" t="s">
        <v>254</v>
      </c>
      <c r="H91" s="586"/>
      <c r="I91" s="592">
        <v>-30841179.890000001</v>
      </c>
      <c r="J91" s="586"/>
      <c r="K91" s="586"/>
      <c r="L91" s="586"/>
      <c r="M91" s="592">
        <v>-30841179.890000001</v>
      </c>
    </row>
    <row r="92" spans="1:13" ht="24">
      <c r="A92" s="470" t="str">
        <f t="shared" si="5"/>
        <v xml:space="preserve"> "Тема Ко"</v>
      </c>
      <c r="B92" s="260">
        <f t="shared" si="3"/>
        <v>-2221464.48</v>
      </c>
      <c r="C92" s="260">
        <f t="shared" si="4"/>
        <v>-2221464.48</v>
      </c>
      <c r="D92" s="470" t="str">
        <f>VLOOKUP(F92,Справочник!$A$2:$C$415,3,FALSE)</f>
        <v>Нераспределенная прибыль (непокрытый убыток)</v>
      </c>
      <c r="F92" s="583">
        <v>5520</v>
      </c>
      <c r="G92" s="584" t="s">
        <v>255</v>
      </c>
      <c r="H92" s="586"/>
      <c r="I92" s="585">
        <v>2221464.48</v>
      </c>
      <c r="J92" s="586"/>
      <c r="K92" s="586"/>
      <c r="L92" s="586"/>
      <c r="M92" s="585">
        <v>2221464.48</v>
      </c>
    </row>
    <row r="93" spans="1:13">
      <c r="A93" s="470" t="str">
        <f t="shared" si="5"/>
        <v xml:space="preserve"> "Тема Ко"</v>
      </c>
      <c r="B93" s="260">
        <f t="shared" si="3"/>
        <v>1485465.2</v>
      </c>
      <c r="C93" s="260">
        <f t="shared" si="4"/>
        <v>193360475.68000001</v>
      </c>
      <c r="D93" s="470">
        <f>VLOOKUP(F93,Справочник!$A$2:$C$415,3,FALSE)</f>
        <v>0</v>
      </c>
      <c r="F93" s="579">
        <v>5600</v>
      </c>
      <c r="G93" s="580" t="s">
        <v>256</v>
      </c>
      <c r="H93" s="582"/>
      <c r="I93" s="593">
        <v>-1485465.2</v>
      </c>
      <c r="J93" s="581">
        <v>798000313.75999999</v>
      </c>
      <c r="K93" s="581">
        <v>606125303.27999997</v>
      </c>
      <c r="L93" s="582"/>
      <c r="M93" s="593">
        <v>-193360475.68000001</v>
      </c>
    </row>
    <row r="94" spans="1:13">
      <c r="A94" s="470" t="str">
        <f t="shared" si="5"/>
        <v xml:space="preserve"> "Тема Ко"</v>
      </c>
      <c r="B94" s="260">
        <f t="shared" si="3"/>
        <v>1485465.2</v>
      </c>
      <c r="C94" s="260">
        <f t="shared" si="4"/>
        <v>193360475.68000001</v>
      </c>
      <c r="D94" s="470" t="str">
        <f>VLOOKUP(F94,Справочник!$A$2:$C$415,3,FALSE)</f>
        <v>Нераспределенная прибыль (непокрытый убыток)</v>
      </c>
      <c r="F94" s="583">
        <v>5610</v>
      </c>
      <c r="G94" s="584" t="s">
        <v>256</v>
      </c>
      <c r="H94" s="586"/>
      <c r="I94" s="592">
        <v>-1485465.2</v>
      </c>
      <c r="J94" s="585">
        <v>798000313.75999999</v>
      </c>
      <c r="K94" s="585">
        <v>606125303.27999997</v>
      </c>
      <c r="L94" s="586"/>
      <c r="M94" s="592">
        <v>-193360475.68000001</v>
      </c>
    </row>
    <row r="95" spans="1:13">
      <c r="A95" s="470" t="str">
        <f t="shared" si="5"/>
        <v xml:space="preserve"> "Тема Ко"</v>
      </c>
      <c r="B95" s="260">
        <f t="shared" si="3"/>
        <v>0</v>
      </c>
      <c r="C95" s="260">
        <f t="shared" si="4"/>
        <v>0</v>
      </c>
      <c r="D95" s="470">
        <f>VLOOKUP(F95,Справочник!$A$2:$C$415,3,FALSE)</f>
        <v>0</v>
      </c>
      <c r="F95" s="579">
        <v>6000</v>
      </c>
      <c r="G95" s="580" t="s">
        <v>257</v>
      </c>
      <c r="H95" s="582"/>
      <c r="I95" s="582"/>
      <c r="J95" s="581">
        <v>337542368.44</v>
      </c>
      <c r="K95" s="581">
        <v>337542368.44</v>
      </c>
      <c r="L95" s="582"/>
      <c r="M95" s="582"/>
    </row>
    <row r="96" spans="1:13">
      <c r="A96" s="470" t="str">
        <f t="shared" si="5"/>
        <v xml:space="preserve"> "Тема Ко"</v>
      </c>
      <c r="B96" s="260">
        <f t="shared" si="3"/>
        <v>0</v>
      </c>
      <c r="C96" s="260">
        <f t="shared" si="4"/>
        <v>0</v>
      </c>
      <c r="D96" s="470" t="str">
        <f>VLOOKUP(F96,Справочник!$A$2:$C$415,3,FALSE)</f>
        <v>Выручка</v>
      </c>
      <c r="F96" s="583">
        <v>6010</v>
      </c>
      <c r="G96" s="584" t="s">
        <v>257</v>
      </c>
      <c r="H96" s="586"/>
      <c r="I96" s="586"/>
      <c r="J96" s="585">
        <v>337542368.44</v>
      </c>
      <c r="K96" s="585">
        <v>337542368.44</v>
      </c>
      <c r="L96" s="586"/>
      <c r="M96" s="586"/>
    </row>
    <row r="97" spans="1:13">
      <c r="A97" s="470" t="str">
        <f t="shared" si="5"/>
        <v xml:space="preserve"> "Тема Ко"</v>
      </c>
      <c r="B97" s="260">
        <f t="shared" si="3"/>
        <v>0</v>
      </c>
      <c r="C97" s="260">
        <f t="shared" si="4"/>
        <v>0</v>
      </c>
      <c r="D97" s="470">
        <f>VLOOKUP(F97,Справочник!$A$2:$C$415,3,FALSE)</f>
        <v>0</v>
      </c>
      <c r="F97" s="579">
        <v>6200</v>
      </c>
      <c r="G97" s="580" t="s">
        <v>266</v>
      </c>
      <c r="H97" s="582"/>
      <c r="I97" s="582"/>
      <c r="J97" s="581">
        <v>268593720.05000001</v>
      </c>
      <c r="K97" s="581">
        <v>268593720.05000001</v>
      </c>
      <c r="L97" s="582"/>
      <c r="M97" s="582"/>
    </row>
    <row r="98" spans="1:13">
      <c r="A98" s="470" t="str">
        <f t="shared" si="5"/>
        <v xml:space="preserve"> "Тема Ко"</v>
      </c>
      <c r="B98" s="260">
        <f t="shared" si="3"/>
        <v>0</v>
      </c>
      <c r="C98" s="260">
        <f t="shared" si="4"/>
        <v>0</v>
      </c>
      <c r="D98" s="470" t="str">
        <f>VLOOKUP(F98,Справочник!$A$2:$C$415,3,FALSE)</f>
        <v>Доходы от выбытия активов</v>
      </c>
      <c r="F98" s="583">
        <v>6210</v>
      </c>
      <c r="G98" s="584" t="s">
        <v>267</v>
      </c>
      <c r="H98" s="586"/>
      <c r="I98" s="586"/>
      <c r="J98" s="585">
        <v>265103261.03999999</v>
      </c>
      <c r="K98" s="585">
        <v>265103261.03999999</v>
      </c>
      <c r="L98" s="586"/>
      <c r="M98" s="586"/>
    </row>
    <row r="99" spans="1:13">
      <c r="A99" s="470" t="str">
        <f t="shared" si="5"/>
        <v xml:space="preserve"> "Тема Ко"</v>
      </c>
      <c r="B99" s="260">
        <f t="shared" si="3"/>
        <v>0</v>
      </c>
      <c r="C99" s="260">
        <f t="shared" si="4"/>
        <v>0</v>
      </c>
      <c r="D99" s="470" t="str">
        <f>VLOOKUP(F99,Справочник!$A$2:$C$415,3,FALSE)</f>
        <v>Доходы от курсовой разницы</v>
      </c>
      <c r="F99" s="583">
        <v>6250</v>
      </c>
      <c r="G99" s="584" t="s">
        <v>271</v>
      </c>
      <c r="H99" s="586"/>
      <c r="I99" s="586"/>
      <c r="J99" s="585">
        <v>64734.27</v>
      </c>
      <c r="K99" s="585">
        <v>64734.27</v>
      </c>
      <c r="L99" s="586"/>
      <c r="M99" s="586"/>
    </row>
    <row r="100" spans="1:13">
      <c r="A100" s="470" t="str">
        <f t="shared" si="5"/>
        <v xml:space="preserve"> "Тема Ко"</v>
      </c>
      <c r="B100" s="260">
        <f t="shared" si="3"/>
        <v>0</v>
      </c>
      <c r="C100" s="260">
        <f t="shared" si="4"/>
        <v>0</v>
      </c>
      <c r="D100" s="470" t="str">
        <f>VLOOKUP(F100,Справочник!$A$2:$C$415,3,FALSE)</f>
        <v>Прочие доходы</v>
      </c>
      <c r="F100" s="583">
        <v>6280</v>
      </c>
      <c r="G100" s="584" t="s">
        <v>266</v>
      </c>
      <c r="H100" s="586"/>
      <c r="I100" s="586"/>
      <c r="J100" s="585">
        <v>3425724.74</v>
      </c>
      <c r="K100" s="585">
        <v>3425724.74</v>
      </c>
      <c r="L100" s="586"/>
      <c r="M100" s="586"/>
    </row>
    <row r="101" spans="1:13" ht="24">
      <c r="A101" s="470" t="str">
        <f t="shared" si="5"/>
        <v xml:space="preserve"> "Тема Ко"</v>
      </c>
      <c r="B101" s="260">
        <f t="shared" si="3"/>
        <v>0</v>
      </c>
      <c r="C101" s="260">
        <f t="shared" si="4"/>
        <v>0</v>
      </c>
      <c r="D101" s="470">
        <f>VLOOKUP(F101,Справочник!$A$2:$C$415,3,FALSE)</f>
        <v>0</v>
      </c>
      <c r="F101" s="579">
        <v>7000</v>
      </c>
      <c r="G101" s="580" t="s">
        <v>279</v>
      </c>
      <c r="H101" s="582"/>
      <c r="I101" s="582"/>
      <c r="J101" s="581">
        <v>542914122.58000004</v>
      </c>
      <c r="K101" s="581">
        <v>542914122.58000004</v>
      </c>
      <c r="L101" s="582"/>
      <c r="M101" s="582"/>
    </row>
    <row r="102" spans="1:13">
      <c r="A102" s="470" t="str">
        <f t="shared" si="5"/>
        <v xml:space="preserve"> "Тема Ко"</v>
      </c>
      <c r="B102" s="260">
        <f t="shared" si="3"/>
        <v>0</v>
      </c>
      <c r="C102" s="260">
        <f t="shared" si="4"/>
        <v>0</v>
      </c>
      <c r="D102" s="470" t="str">
        <f>VLOOKUP(F102,Справочник!$A$2:$C$415,3,FALSE)</f>
        <v>Себестоимость реализованных товаров и услуг</v>
      </c>
      <c r="F102" s="583">
        <v>7010</v>
      </c>
      <c r="G102" s="584" t="s">
        <v>279</v>
      </c>
      <c r="H102" s="586"/>
      <c r="I102" s="586"/>
      <c r="J102" s="585">
        <v>542914122.58000004</v>
      </c>
      <c r="K102" s="585">
        <v>542914122.58000004</v>
      </c>
      <c r="L102" s="586"/>
      <c r="M102" s="586"/>
    </row>
    <row r="103" spans="1:13">
      <c r="A103" s="470" t="str">
        <f t="shared" si="5"/>
        <v xml:space="preserve"> "Тема Ко"</v>
      </c>
      <c r="B103" s="260">
        <f t="shared" si="3"/>
        <v>0</v>
      </c>
      <c r="C103" s="260">
        <f t="shared" si="4"/>
        <v>0</v>
      </c>
      <c r="D103" s="470">
        <f>VLOOKUP(F103,Справочник!$A$2:$C$415,3,FALSE)</f>
        <v>0</v>
      </c>
      <c r="F103" s="579">
        <v>7100</v>
      </c>
      <c r="G103" s="580" t="s">
        <v>280</v>
      </c>
      <c r="H103" s="582"/>
      <c r="I103" s="582"/>
      <c r="J103" s="581">
        <v>5234324.1100000003</v>
      </c>
      <c r="K103" s="581">
        <v>5234324.1100000003</v>
      </c>
      <c r="L103" s="582"/>
      <c r="M103" s="582"/>
    </row>
    <row r="104" spans="1:13">
      <c r="A104" s="470" t="str">
        <f t="shared" si="5"/>
        <v xml:space="preserve"> "Тема Ко"</v>
      </c>
      <c r="B104" s="260">
        <f t="shared" si="3"/>
        <v>0</v>
      </c>
      <c r="C104" s="260">
        <f t="shared" si="4"/>
        <v>0</v>
      </c>
      <c r="D104" s="470" t="str">
        <f>VLOOKUP(F104,Справочник!$A$2:$C$415,3,FALSE)</f>
        <v>Расходы по реализации</v>
      </c>
      <c r="F104" s="583">
        <v>7110</v>
      </c>
      <c r="G104" s="584" t="s">
        <v>280</v>
      </c>
      <c r="H104" s="586"/>
      <c r="I104" s="586"/>
      <c r="J104" s="585">
        <v>5234324.1100000003</v>
      </c>
      <c r="K104" s="585">
        <v>5234324.1100000003</v>
      </c>
      <c r="L104" s="586"/>
      <c r="M104" s="586"/>
    </row>
    <row r="105" spans="1:13">
      <c r="A105" s="470" t="str">
        <f t="shared" si="5"/>
        <v xml:space="preserve"> "Тема Ко"</v>
      </c>
      <c r="B105" s="260">
        <f t="shared" si="3"/>
        <v>0</v>
      </c>
      <c r="C105" s="260">
        <f t="shared" si="4"/>
        <v>0</v>
      </c>
      <c r="D105" s="470">
        <f>VLOOKUP(F105,Справочник!$A$2:$C$415,3,FALSE)</f>
        <v>0</v>
      </c>
      <c r="F105" s="579">
        <v>7200</v>
      </c>
      <c r="G105" s="580" t="s">
        <v>55</v>
      </c>
      <c r="H105" s="582"/>
      <c r="I105" s="582"/>
      <c r="J105" s="581">
        <v>110891076.34999999</v>
      </c>
      <c r="K105" s="581">
        <v>110891076.34999999</v>
      </c>
      <c r="L105" s="582"/>
      <c r="M105" s="582"/>
    </row>
    <row r="106" spans="1:13">
      <c r="A106" s="470" t="str">
        <f t="shared" si="5"/>
        <v xml:space="preserve"> "Тема Ко"</v>
      </c>
      <c r="B106" s="260">
        <f t="shared" si="3"/>
        <v>0</v>
      </c>
      <c r="C106" s="260">
        <f t="shared" si="4"/>
        <v>0</v>
      </c>
      <c r="D106" s="470" t="str">
        <f>VLOOKUP(F106,Справочник!$A$2:$C$415,3,FALSE)</f>
        <v>Административные расходы</v>
      </c>
      <c r="F106" s="583">
        <v>7210</v>
      </c>
      <c r="G106" s="584" t="s">
        <v>55</v>
      </c>
      <c r="H106" s="586"/>
      <c r="I106" s="586"/>
      <c r="J106" s="585">
        <v>110891076.34999999</v>
      </c>
      <c r="K106" s="585">
        <v>110891076.34999999</v>
      </c>
      <c r="L106" s="586"/>
      <c r="M106" s="586"/>
    </row>
    <row r="107" spans="1:13">
      <c r="A107" s="470" t="str">
        <f t="shared" si="5"/>
        <v xml:space="preserve"> "Тема Ко"</v>
      </c>
      <c r="B107" s="260">
        <f t="shared" si="3"/>
        <v>0</v>
      </c>
      <c r="C107" s="260">
        <f t="shared" si="4"/>
        <v>0</v>
      </c>
      <c r="D107" s="470">
        <f>VLOOKUP(F107,Справочник!$A$2:$C$415,3,FALSE)</f>
        <v>0</v>
      </c>
      <c r="F107" s="579">
        <v>7300</v>
      </c>
      <c r="G107" s="580" t="s">
        <v>281</v>
      </c>
      <c r="H107" s="582"/>
      <c r="I107" s="582"/>
      <c r="J107" s="581">
        <v>25441105.41</v>
      </c>
      <c r="K107" s="581">
        <v>25441105.41</v>
      </c>
      <c r="L107" s="582"/>
      <c r="M107" s="582"/>
    </row>
    <row r="108" spans="1:13">
      <c r="A108" s="470" t="str">
        <f t="shared" si="5"/>
        <v xml:space="preserve"> "Тема Ко"</v>
      </c>
      <c r="B108" s="260">
        <f t="shared" si="3"/>
        <v>0</v>
      </c>
      <c r="C108" s="260">
        <f t="shared" si="4"/>
        <v>0</v>
      </c>
      <c r="D108" s="470" t="str">
        <f>VLOOKUP(F108,Справочник!$A$2:$C$415,3,FALSE)</f>
        <v>Расходы по финансированию</v>
      </c>
      <c r="F108" s="583">
        <v>7310</v>
      </c>
      <c r="G108" s="584" t="s">
        <v>282</v>
      </c>
      <c r="H108" s="586"/>
      <c r="I108" s="586"/>
      <c r="J108" s="585">
        <v>23090328.41</v>
      </c>
      <c r="K108" s="585">
        <v>23090328.41</v>
      </c>
      <c r="L108" s="586"/>
      <c r="M108" s="586"/>
    </row>
    <row r="109" spans="1:13">
      <c r="A109" s="470" t="str">
        <f t="shared" si="5"/>
        <v xml:space="preserve"> "Тема Ко"</v>
      </c>
      <c r="B109" s="260">
        <f t="shared" si="3"/>
        <v>0</v>
      </c>
      <c r="C109" s="260">
        <f t="shared" si="4"/>
        <v>0</v>
      </c>
      <c r="D109" s="470" t="str">
        <f>VLOOKUP(F109,Справочник!$A$2:$C$415,3,FALSE)</f>
        <v>Расходы по финансированию</v>
      </c>
      <c r="F109" s="583">
        <v>7340</v>
      </c>
      <c r="G109" s="584" t="s">
        <v>285</v>
      </c>
      <c r="H109" s="586"/>
      <c r="I109" s="586"/>
      <c r="J109" s="585">
        <v>2350777</v>
      </c>
      <c r="K109" s="585">
        <v>2350777</v>
      </c>
      <c r="L109" s="586"/>
      <c r="M109" s="586"/>
    </row>
    <row r="110" spans="1:13">
      <c r="A110" s="470" t="str">
        <f t="shared" si="5"/>
        <v xml:space="preserve"> "Тема Ко"</v>
      </c>
      <c r="B110" s="260">
        <f t="shared" si="3"/>
        <v>0</v>
      </c>
      <c r="C110" s="260">
        <f t="shared" si="4"/>
        <v>0</v>
      </c>
      <c r="D110" s="470">
        <f>VLOOKUP(F110,Справочник!$A$2:$C$415,3,FALSE)</f>
        <v>0</v>
      </c>
      <c r="F110" s="579">
        <v>7400</v>
      </c>
      <c r="G110" s="580" t="s">
        <v>286</v>
      </c>
      <c r="H110" s="582"/>
      <c r="I110" s="582"/>
      <c r="J110" s="581">
        <v>127123119.3</v>
      </c>
      <c r="K110" s="581">
        <v>127123119.3</v>
      </c>
      <c r="L110" s="582"/>
      <c r="M110" s="582"/>
    </row>
    <row r="111" spans="1:13">
      <c r="A111" s="470" t="str">
        <f t="shared" si="5"/>
        <v xml:space="preserve"> "Тема Ко"</v>
      </c>
      <c r="B111" s="260">
        <f t="shared" si="3"/>
        <v>0</v>
      </c>
      <c r="C111" s="260">
        <f t="shared" si="4"/>
        <v>0</v>
      </c>
      <c r="D111" s="470" t="str">
        <f>VLOOKUP(F111,Справочник!$A$2:$C$415,3,FALSE)</f>
        <v>Расходы по выбытию активов</v>
      </c>
      <c r="F111" s="583">
        <v>7410</v>
      </c>
      <c r="G111" s="584" t="s">
        <v>287</v>
      </c>
      <c r="H111" s="586"/>
      <c r="I111" s="586"/>
      <c r="J111" s="585">
        <v>120180513.08</v>
      </c>
      <c r="K111" s="585">
        <v>120180513.08</v>
      </c>
      <c r="L111" s="586"/>
      <c r="M111" s="586"/>
    </row>
    <row r="112" spans="1:13">
      <c r="A112" s="470" t="str">
        <f t="shared" si="5"/>
        <v xml:space="preserve"> "Тема Ко"</v>
      </c>
      <c r="B112" s="260">
        <f t="shared" si="3"/>
        <v>0</v>
      </c>
      <c r="C112" s="260">
        <f t="shared" si="4"/>
        <v>0</v>
      </c>
      <c r="D112" s="470" t="str">
        <f>VLOOKUP(F112,Справочник!$A$2:$C$415,3,FALSE)</f>
        <v>Расходы по курсовой разнице</v>
      </c>
      <c r="F112" s="583">
        <v>7430</v>
      </c>
      <c r="G112" s="584" t="s">
        <v>289</v>
      </c>
      <c r="H112" s="586"/>
      <c r="I112" s="586"/>
      <c r="J112" s="585">
        <v>87720.19</v>
      </c>
      <c r="K112" s="585">
        <v>87720.19</v>
      </c>
      <c r="L112" s="586"/>
      <c r="M112" s="586"/>
    </row>
    <row r="113" spans="1:13">
      <c r="A113" s="470" t="str">
        <f t="shared" si="5"/>
        <v xml:space="preserve"> "Тема Ко"</v>
      </c>
      <c r="B113" s="260">
        <f t="shared" si="3"/>
        <v>0</v>
      </c>
      <c r="C113" s="260">
        <f t="shared" si="4"/>
        <v>0</v>
      </c>
      <c r="D113" s="470" t="str">
        <f>VLOOKUP(F113,Справочник!$A$2:$C$415,3,FALSE)</f>
        <v>Прочие расходы</v>
      </c>
      <c r="F113" s="583">
        <v>7470</v>
      </c>
      <c r="G113" s="584" t="s">
        <v>286</v>
      </c>
      <c r="H113" s="586"/>
      <c r="I113" s="586"/>
      <c r="J113" s="585">
        <v>6854886.0300000003</v>
      </c>
      <c r="K113" s="585">
        <v>6854886.0300000003</v>
      </c>
      <c r="L113" s="586"/>
      <c r="M113" s="586"/>
    </row>
    <row r="114" spans="1:13">
      <c r="A114" s="470" t="str">
        <f t="shared" si="5"/>
        <v xml:space="preserve"> "Тема Ко"</v>
      </c>
      <c r="B114" s="260">
        <f t="shared" si="3"/>
        <v>0</v>
      </c>
      <c r="C114" s="260">
        <f t="shared" si="4"/>
        <v>0</v>
      </c>
      <c r="D114" s="470">
        <f>VLOOKUP(F114,Справочник!$A$2:$C$415,3,FALSE)</f>
        <v>0</v>
      </c>
      <c r="F114" s="579">
        <v>7700</v>
      </c>
      <c r="G114" s="580" t="s">
        <v>297</v>
      </c>
      <c r="H114" s="582"/>
      <c r="I114" s="582"/>
      <c r="J114" s="593">
        <v>-11675933.99</v>
      </c>
      <c r="K114" s="593">
        <v>-11675933.99</v>
      </c>
      <c r="L114" s="582"/>
      <c r="M114" s="582"/>
    </row>
    <row r="115" spans="1:13">
      <c r="A115" s="470" t="str">
        <f t="shared" si="5"/>
        <v xml:space="preserve"> "Тема Ко"</v>
      </c>
      <c r="B115" s="260">
        <f t="shared" si="3"/>
        <v>0</v>
      </c>
      <c r="C115" s="260">
        <f t="shared" si="4"/>
        <v>0</v>
      </c>
      <c r="D115" s="470" t="str">
        <f>VLOOKUP(F115,Справочник!$A$2:$C$415,3,FALSE)</f>
        <v>Расходы по подоходному налогу</v>
      </c>
      <c r="F115" s="583">
        <v>7710</v>
      </c>
      <c r="G115" s="584" t="s">
        <v>297</v>
      </c>
      <c r="H115" s="586"/>
      <c r="I115" s="586"/>
      <c r="J115" s="592">
        <v>-11675933.99</v>
      </c>
      <c r="K115" s="592">
        <v>-11675933.99</v>
      </c>
      <c r="L115" s="586"/>
      <c r="M115" s="586"/>
    </row>
    <row r="116" spans="1:13">
      <c r="A116" s="470" t="str">
        <f t="shared" si="5"/>
        <v xml:space="preserve"> "Тема Ко"</v>
      </c>
      <c r="B116" s="260">
        <f t="shared" si="3"/>
        <v>0</v>
      </c>
      <c r="C116" s="260">
        <f t="shared" si="4"/>
        <v>0</v>
      </c>
      <c r="D116" s="470">
        <f>VLOOKUP(F116,Справочник!$A$2:$C$415,3,FALSE)</f>
        <v>0</v>
      </c>
      <c r="F116" s="579">
        <v>8100</v>
      </c>
      <c r="G116" s="580" t="s">
        <v>115</v>
      </c>
      <c r="H116" s="582"/>
      <c r="I116" s="582"/>
      <c r="J116" s="581">
        <v>13793051.75</v>
      </c>
      <c r="K116" s="581">
        <v>13793051.75</v>
      </c>
      <c r="L116" s="582"/>
      <c r="M116" s="582"/>
    </row>
    <row r="117" spans="1:13">
      <c r="A117" s="470" t="str">
        <f t="shared" si="5"/>
        <v xml:space="preserve"> "Тема Ко"</v>
      </c>
      <c r="B117" s="260">
        <f t="shared" si="3"/>
        <v>0</v>
      </c>
      <c r="C117" s="260">
        <f t="shared" si="4"/>
        <v>0</v>
      </c>
      <c r="D117" s="470" t="e">
        <f>VLOOKUP(F117,Справочник!$A$2:$C$415,3,FALSE)</f>
        <v>#N/A</v>
      </c>
      <c r="F117" s="583">
        <v>8110</v>
      </c>
      <c r="G117" s="584" t="s">
        <v>115</v>
      </c>
      <c r="H117" s="586"/>
      <c r="I117" s="586"/>
      <c r="J117" s="585">
        <v>13793051.75</v>
      </c>
      <c r="K117" s="585">
        <v>13793051.75</v>
      </c>
      <c r="L117" s="586"/>
      <c r="M117" s="586"/>
    </row>
    <row r="118" spans="1:13">
      <c r="A118" s="470" t="str">
        <f t="shared" si="5"/>
        <v xml:space="preserve"> "Тема Ко"</v>
      </c>
      <c r="B118" s="260">
        <f t="shared" si="3"/>
        <v>40621659475.850006</v>
      </c>
      <c r="C118" s="260">
        <f t="shared" si="4"/>
        <v>43357052172.450005</v>
      </c>
      <c r="D118" s="470" t="e">
        <f>VLOOKUP(F118,Справочник!$A$2:$C$415,3,FALSE)</f>
        <v>#N/A</v>
      </c>
      <c r="F118" s="680" t="s">
        <v>615</v>
      </c>
      <c r="G118" s="680"/>
      <c r="H118" s="595">
        <v>40621659475.850006</v>
      </c>
      <c r="I118" s="595">
        <v>40621659475.850006</v>
      </c>
      <c r="J118" s="595">
        <v>13543121580.75</v>
      </c>
      <c r="K118" s="595">
        <v>13543121580.75</v>
      </c>
      <c r="L118" s="595">
        <v>43357052172.450005</v>
      </c>
      <c r="M118" s="595">
        <v>43357052172.450005</v>
      </c>
    </row>
    <row r="119" spans="1:13">
      <c r="A119" s="470" t="str">
        <f t="shared" si="5"/>
        <v xml:space="preserve"> "Тема Ко"</v>
      </c>
      <c r="B119" s="260">
        <f t="shared" si="3"/>
        <v>0</v>
      </c>
      <c r="C119" s="260">
        <f t="shared" si="4"/>
        <v>0</v>
      </c>
      <c r="D119" s="470">
        <f>VLOOKUP(F119,Справочник!$A$2:$C$415,3,FALSE)</f>
        <v>0</v>
      </c>
      <c r="F119" s="362"/>
      <c r="G119" s="363"/>
      <c r="H119" s="366"/>
      <c r="I119" s="364"/>
      <c r="J119" s="365"/>
      <c r="K119" s="366"/>
      <c r="L119" s="366"/>
      <c r="M119" s="364"/>
    </row>
    <row r="120" spans="1:13">
      <c r="A120" s="470" t="str">
        <f t="shared" si="5"/>
        <v xml:space="preserve"> "Тема Ко"</v>
      </c>
      <c r="B120" s="260">
        <f t="shared" si="3"/>
        <v>0</v>
      </c>
      <c r="C120" s="260">
        <f t="shared" si="4"/>
        <v>0</v>
      </c>
      <c r="D120" s="470">
        <f>VLOOKUP(F120,Справочник!$A$2:$C$415,3,FALSE)</f>
        <v>0</v>
      </c>
      <c r="F120" s="361"/>
      <c r="G120" s="357"/>
      <c r="H120" s="358"/>
      <c r="I120" s="360"/>
      <c r="J120" s="360"/>
      <c r="K120" s="360"/>
      <c r="L120" s="358"/>
      <c r="M120" s="360"/>
    </row>
    <row r="121" spans="1:13">
      <c r="A121" s="470" t="str">
        <f t="shared" si="5"/>
        <v xml:space="preserve"> "Тема Ко"</v>
      </c>
      <c r="B121" s="260">
        <f t="shared" si="3"/>
        <v>0</v>
      </c>
      <c r="C121" s="260">
        <f t="shared" si="4"/>
        <v>0</v>
      </c>
      <c r="D121" s="470">
        <f>VLOOKUP(F121,Справочник!$A$2:$C$415,3,FALSE)</f>
        <v>0</v>
      </c>
      <c r="F121" s="362"/>
      <c r="G121" s="363"/>
      <c r="H121" s="366"/>
      <c r="I121" s="365"/>
      <c r="J121" s="365"/>
      <c r="K121" s="364"/>
      <c r="L121" s="366"/>
      <c r="M121" s="364"/>
    </row>
    <row r="122" spans="1:13">
      <c r="A122" s="470" t="str">
        <f t="shared" si="5"/>
        <v xml:space="preserve"> "Тема Ко"</v>
      </c>
      <c r="B122" s="260">
        <f t="shared" si="3"/>
        <v>0</v>
      </c>
      <c r="C122" s="260">
        <f t="shared" si="4"/>
        <v>0</v>
      </c>
      <c r="D122" s="470">
        <f>VLOOKUP(F122,Справочник!$A$2:$C$415,3,FALSE)</f>
        <v>0</v>
      </c>
      <c r="F122" s="362"/>
      <c r="G122" s="363"/>
      <c r="H122" s="366"/>
      <c r="I122" s="365"/>
      <c r="J122" s="364"/>
      <c r="K122" s="364"/>
      <c r="L122" s="366"/>
      <c r="M122" s="364"/>
    </row>
    <row r="123" spans="1:13">
      <c r="A123" s="470" t="str">
        <f t="shared" si="5"/>
        <v xml:space="preserve"> "Тема Ко"</v>
      </c>
      <c r="B123" s="260">
        <f t="shared" si="3"/>
        <v>0</v>
      </c>
      <c r="C123" s="260">
        <f t="shared" si="4"/>
        <v>0</v>
      </c>
      <c r="D123" s="470">
        <f>VLOOKUP(F123,Справочник!$A$2:$C$415,3,FALSE)</f>
        <v>0</v>
      </c>
      <c r="F123" s="362"/>
      <c r="G123" s="363"/>
      <c r="H123" s="366"/>
      <c r="I123" s="364"/>
      <c r="J123" s="364"/>
      <c r="K123" s="364"/>
      <c r="L123" s="366"/>
      <c r="M123" s="366"/>
    </row>
    <row r="124" spans="1:13">
      <c r="A124" s="470" t="str">
        <f t="shared" si="5"/>
        <v xml:space="preserve"> "Тема Ко"</v>
      </c>
      <c r="B124" s="260">
        <f t="shared" si="3"/>
        <v>0</v>
      </c>
      <c r="C124" s="260">
        <f t="shared" si="4"/>
        <v>0</v>
      </c>
      <c r="D124" s="470">
        <f>VLOOKUP(F124,Справочник!$A$2:$C$415,3,FALSE)</f>
        <v>0</v>
      </c>
      <c r="F124" s="361"/>
      <c r="G124" s="357"/>
      <c r="H124" s="358"/>
      <c r="I124" s="359"/>
      <c r="J124" s="360"/>
      <c r="K124" s="360"/>
      <c r="L124" s="360"/>
      <c r="M124" s="358"/>
    </row>
    <row r="125" spans="1:13">
      <c r="A125" s="470" t="str">
        <f t="shared" si="5"/>
        <v xml:space="preserve"> "Тема Ко"</v>
      </c>
      <c r="B125" s="260">
        <f t="shared" si="3"/>
        <v>0</v>
      </c>
      <c r="C125" s="260">
        <f t="shared" si="4"/>
        <v>0</v>
      </c>
      <c r="D125" s="470">
        <f>VLOOKUP(F125,Справочник!$A$2:$C$415,3,FALSE)</f>
        <v>0</v>
      </c>
      <c r="F125" s="362"/>
      <c r="G125" s="363"/>
      <c r="H125" s="366"/>
      <c r="I125" s="365"/>
      <c r="J125" s="364"/>
      <c r="K125" s="364"/>
      <c r="L125" s="364"/>
      <c r="M125" s="366"/>
    </row>
    <row r="126" spans="1:13">
      <c r="A126" s="470" t="str">
        <f t="shared" si="5"/>
        <v xml:space="preserve"> "Тема Ко"</v>
      </c>
      <c r="B126" s="260">
        <f t="shared" si="3"/>
        <v>0</v>
      </c>
      <c r="C126" s="260">
        <f t="shared" si="4"/>
        <v>0</v>
      </c>
      <c r="D126" s="470">
        <f>VLOOKUP(F126,Справочник!$A$2:$C$415,3,FALSE)</f>
        <v>0</v>
      </c>
      <c r="F126" s="361"/>
      <c r="G126" s="357"/>
      <c r="H126" s="358"/>
      <c r="I126" s="360"/>
      <c r="J126" s="360"/>
      <c r="K126" s="360"/>
      <c r="L126" s="358"/>
      <c r="M126" s="360"/>
    </row>
    <row r="127" spans="1:13">
      <c r="A127" s="470" t="str">
        <f t="shared" si="5"/>
        <v xml:space="preserve"> "Тема Ко"</v>
      </c>
      <c r="B127" s="260">
        <f t="shared" si="3"/>
        <v>0</v>
      </c>
      <c r="C127" s="260">
        <f t="shared" si="4"/>
        <v>0</v>
      </c>
      <c r="D127" s="470">
        <f>VLOOKUP(F127,Справочник!$A$2:$C$415,3,FALSE)</f>
        <v>0</v>
      </c>
      <c r="F127" s="362"/>
      <c r="G127" s="363"/>
      <c r="H127" s="366"/>
      <c r="I127" s="364"/>
      <c r="J127" s="365"/>
      <c r="K127" s="364"/>
      <c r="L127" s="366"/>
      <c r="M127" s="364"/>
    </row>
    <row r="128" spans="1:13">
      <c r="A128" s="470" t="str">
        <f t="shared" si="5"/>
        <v xml:space="preserve"> "Тема Ко"</v>
      </c>
      <c r="B128" s="260">
        <f t="shared" si="3"/>
        <v>0</v>
      </c>
      <c r="C128" s="260">
        <f t="shared" si="4"/>
        <v>0</v>
      </c>
      <c r="D128" s="470">
        <f>VLOOKUP(F128,Справочник!$A$2:$C$415,3,FALSE)</f>
        <v>0</v>
      </c>
      <c r="F128" s="362"/>
      <c r="G128" s="363"/>
      <c r="H128" s="366"/>
      <c r="I128" s="365"/>
      <c r="J128" s="368"/>
      <c r="K128" s="366"/>
      <c r="L128" s="366"/>
      <c r="M128" s="364"/>
    </row>
    <row r="129" spans="1:13">
      <c r="A129" s="470" t="str">
        <f t="shared" si="5"/>
        <v xml:space="preserve"> "Тема Ко"</v>
      </c>
      <c r="B129" s="260">
        <f t="shared" si="3"/>
        <v>0</v>
      </c>
      <c r="C129" s="260">
        <f t="shared" si="4"/>
        <v>0</v>
      </c>
      <c r="D129" s="470">
        <f>VLOOKUP(F129,Справочник!$A$2:$C$415,3,FALSE)</f>
        <v>0</v>
      </c>
      <c r="F129" s="362"/>
      <c r="G129" s="363"/>
      <c r="H129" s="366"/>
      <c r="I129" s="364"/>
      <c r="J129" s="364"/>
      <c r="K129" s="366"/>
      <c r="L129" s="366"/>
      <c r="M129" s="364"/>
    </row>
    <row r="130" spans="1:13">
      <c r="A130" s="470" t="str">
        <f t="shared" si="5"/>
        <v xml:space="preserve"> "Тема Ко"</v>
      </c>
      <c r="B130" s="260">
        <f t="shared" si="3"/>
        <v>0</v>
      </c>
      <c r="C130" s="260">
        <f t="shared" si="4"/>
        <v>0</v>
      </c>
      <c r="D130" s="470">
        <f>VLOOKUP(F130,Справочник!$A$2:$C$415,3,FALSE)</f>
        <v>0</v>
      </c>
      <c r="F130" s="361"/>
      <c r="G130" s="357"/>
      <c r="H130" s="358"/>
      <c r="I130" s="359"/>
      <c r="J130" s="360"/>
      <c r="K130" s="360"/>
      <c r="L130" s="358"/>
      <c r="M130" s="358"/>
    </row>
    <row r="131" spans="1:13">
      <c r="A131" s="470" t="str">
        <f t="shared" si="5"/>
        <v xml:space="preserve"> "Тема Ко"</v>
      </c>
      <c r="B131" s="260">
        <f t="shared" si="3"/>
        <v>0</v>
      </c>
      <c r="C131" s="260">
        <f t="shared" si="4"/>
        <v>0</v>
      </c>
      <c r="D131" s="470">
        <f>VLOOKUP(F131,Справочник!$A$2:$C$415,3,FALSE)</f>
        <v>0</v>
      </c>
      <c r="F131" s="362"/>
      <c r="G131" s="363"/>
      <c r="H131" s="366"/>
      <c r="I131" s="365"/>
      <c r="J131" s="364"/>
      <c r="K131" s="364"/>
      <c r="L131" s="366"/>
      <c r="M131" s="366"/>
    </row>
    <row r="132" spans="1:13">
      <c r="A132" s="470" t="str">
        <f t="shared" si="5"/>
        <v xml:space="preserve"> "Тема Ко"</v>
      </c>
      <c r="B132" s="260">
        <f t="shared" si="3"/>
        <v>0</v>
      </c>
      <c r="C132" s="260">
        <f t="shared" si="4"/>
        <v>0</v>
      </c>
      <c r="D132" s="470">
        <f>VLOOKUP(F132,Справочник!$A$2:$C$415,3,FALSE)</f>
        <v>0</v>
      </c>
      <c r="F132" s="361"/>
      <c r="G132" s="357"/>
      <c r="H132" s="358"/>
      <c r="I132" s="359"/>
      <c r="J132" s="360"/>
      <c r="K132" s="360"/>
      <c r="L132" s="358"/>
      <c r="M132" s="358"/>
    </row>
    <row r="133" spans="1:13">
      <c r="A133" s="470" t="str">
        <f t="shared" si="5"/>
        <v xml:space="preserve"> "Тема Ко"</v>
      </c>
      <c r="B133" s="260">
        <f t="shared" si="3"/>
        <v>0</v>
      </c>
      <c r="C133" s="260">
        <f t="shared" si="4"/>
        <v>0</v>
      </c>
      <c r="D133" s="470">
        <f>VLOOKUP(F133,Справочник!$A$2:$C$415,3,FALSE)</f>
        <v>0</v>
      </c>
      <c r="F133" s="362"/>
      <c r="G133" s="363"/>
      <c r="H133" s="366"/>
      <c r="I133" s="365"/>
      <c r="J133" s="364"/>
      <c r="K133" s="364"/>
      <c r="L133" s="366"/>
      <c r="M133" s="366"/>
    </row>
    <row r="134" spans="1:13">
      <c r="A134" s="470" t="str">
        <f t="shared" si="5"/>
        <v xml:space="preserve"> "Тема Ко"</v>
      </c>
      <c r="B134" s="260">
        <f t="shared" si="3"/>
        <v>0</v>
      </c>
      <c r="C134" s="260">
        <f t="shared" si="4"/>
        <v>0</v>
      </c>
      <c r="D134" s="470">
        <f>VLOOKUP(F134,Справочник!$A$2:$C$415,3,FALSE)</f>
        <v>0</v>
      </c>
      <c r="F134" s="362"/>
      <c r="G134" s="363"/>
      <c r="H134" s="366"/>
      <c r="I134" s="365"/>
      <c r="J134" s="364"/>
      <c r="K134" s="364"/>
      <c r="L134" s="366"/>
      <c r="M134" s="366"/>
    </row>
    <row r="135" spans="1:13">
      <c r="A135" s="470" t="str">
        <f t="shared" si="5"/>
        <v xml:space="preserve"> "Тема Ко"</v>
      </c>
      <c r="B135" s="260">
        <f t="shared" si="3"/>
        <v>0</v>
      </c>
      <c r="C135" s="260">
        <f t="shared" si="4"/>
        <v>0</v>
      </c>
      <c r="D135" s="470">
        <f>VLOOKUP(F135,Справочник!$A$2:$C$415,3,FALSE)</f>
        <v>0</v>
      </c>
      <c r="F135" s="362"/>
      <c r="G135" s="363"/>
      <c r="H135" s="366"/>
      <c r="I135" s="365"/>
      <c r="J135" s="364"/>
      <c r="K135" s="364"/>
      <c r="L135" s="366"/>
      <c r="M135" s="366"/>
    </row>
    <row r="136" spans="1:13">
      <c r="A136" s="470" t="str">
        <f t="shared" si="5"/>
        <v xml:space="preserve"> "Тема Ко"</v>
      </c>
      <c r="B136" s="260">
        <f t="shared" ref="B136:B171" si="6">IF(ISBLANK(H136)=FALSE,H136,-I136)</f>
        <v>0</v>
      </c>
      <c r="C136" s="260">
        <f t="shared" si="4"/>
        <v>0</v>
      </c>
      <c r="D136" s="470">
        <f>VLOOKUP(F136,Справочник!$A$2:$C$415,3,FALSE)</f>
        <v>0</v>
      </c>
      <c r="F136" s="361"/>
      <c r="G136" s="357"/>
      <c r="H136" s="358"/>
      <c r="I136" s="359"/>
      <c r="J136" s="369"/>
      <c r="K136" s="369"/>
      <c r="L136" s="358"/>
      <c r="M136" s="358"/>
    </row>
    <row r="137" spans="1:13">
      <c r="A137" s="470" t="str">
        <f t="shared" si="5"/>
        <v xml:space="preserve"> "Тема Ко"</v>
      </c>
      <c r="B137" s="260">
        <f t="shared" si="6"/>
        <v>0</v>
      </c>
      <c r="C137" s="260">
        <f t="shared" si="4"/>
        <v>0</v>
      </c>
      <c r="D137" s="470">
        <f>VLOOKUP(F137,Справочник!$A$2:$C$415,3,FALSE)</f>
        <v>0</v>
      </c>
      <c r="F137" s="362"/>
      <c r="G137" s="363"/>
      <c r="H137" s="366"/>
      <c r="I137" s="365"/>
      <c r="J137" s="367"/>
      <c r="K137" s="367"/>
      <c r="L137" s="366"/>
      <c r="M137" s="366"/>
    </row>
    <row r="138" spans="1:13">
      <c r="A138" s="470" t="str">
        <f t="shared" si="5"/>
        <v xml:space="preserve"> "Тема Ко"</v>
      </c>
      <c r="B138" s="260">
        <f t="shared" si="6"/>
        <v>0</v>
      </c>
      <c r="C138" s="260">
        <f t="shared" ref="C138:C171" si="7">IF(ISBLANK(L138)=FALSE,L138,-M138)</f>
        <v>0</v>
      </c>
      <c r="D138" s="470">
        <f>VLOOKUP(F138,Справочник!$A$2:$C$415,3,FALSE)</f>
        <v>0</v>
      </c>
      <c r="F138" s="361"/>
      <c r="G138" s="357"/>
      <c r="H138" s="358"/>
      <c r="I138" s="359"/>
      <c r="J138" s="360"/>
      <c r="K138" s="360"/>
      <c r="L138" s="358"/>
      <c r="M138" s="358"/>
    </row>
    <row r="139" spans="1:13">
      <c r="A139" s="470" t="str">
        <f t="shared" ref="A139:A171" si="8">A138</f>
        <v xml:space="preserve"> "Тема Ко"</v>
      </c>
      <c r="B139" s="260">
        <f t="shared" si="6"/>
        <v>0</v>
      </c>
      <c r="C139" s="260">
        <f t="shared" si="7"/>
        <v>0</v>
      </c>
      <c r="D139" s="470">
        <f>VLOOKUP(F139,Справочник!$A$2:$C$415,3,FALSE)</f>
        <v>0</v>
      </c>
      <c r="F139" s="362"/>
      <c r="G139" s="363"/>
      <c r="H139" s="366"/>
      <c r="I139" s="365"/>
      <c r="J139" s="364"/>
      <c r="K139" s="364"/>
      <c r="L139" s="366"/>
      <c r="M139" s="366"/>
    </row>
    <row r="140" spans="1:13">
      <c r="A140" s="470" t="str">
        <f t="shared" si="8"/>
        <v xml:space="preserve"> "Тема Ко"</v>
      </c>
      <c r="B140" s="260">
        <f t="shared" si="6"/>
        <v>0</v>
      </c>
      <c r="C140" s="260">
        <f t="shared" si="7"/>
        <v>0</v>
      </c>
      <c r="D140" s="470">
        <f>VLOOKUP(F140,Справочник!$A$2:$C$415,3,FALSE)</f>
        <v>0</v>
      </c>
      <c r="F140" s="362"/>
      <c r="G140" s="363"/>
      <c r="H140" s="366"/>
      <c r="I140" s="365"/>
      <c r="J140" s="364"/>
      <c r="K140" s="364"/>
      <c r="L140" s="366"/>
      <c r="M140" s="366"/>
    </row>
    <row r="141" spans="1:13">
      <c r="A141" s="470" t="str">
        <f t="shared" si="8"/>
        <v xml:space="preserve"> "Тема Ко"</v>
      </c>
      <c r="B141" s="260">
        <f t="shared" si="6"/>
        <v>0</v>
      </c>
      <c r="C141" s="260">
        <f t="shared" si="7"/>
        <v>0</v>
      </c>
      <c r="D141" s="470">
        <f>VLOOKUP(F141,Справочник!$A$2:$C$415,3,FALSE)</f>
        <v>0</v>
      </c>
      <c r="F141" s="362"/>
      <c r="G141" s="363"/>
      <c r="H141" s="366"/>
      <c r="I141" s="365"/>
      <c r="J141" s="364"/>
      <c r="K141" s="364"/>
      <c r="L141" s="366"/>
      <c r="M141" s="366"/>
    </row>
    <row r="142" spans="1:13">
      <c r="A142" s="470" t="str">
        <f t="shared" si="8"/>
        <v xml:space="preserve"> "Тема Ко"</v>
      </c>
      <c r="B142" s="260">
        <f t="shared" si="6"/>
        <v>0</v>
      </c>
      <c r="C142" s="260">
        <f t="shared" si="7"/>
        <v>0</v>
      </c>
      <c r="D142" s="470">
        <f>VLOOKUP(F142,Справочник!$A$2:$C$415,3,FALSE)</f>
        <v>0</v>
      </c>
      <c r="F142" s="362"/>
      <c r="G142" s="363"/>
      <c r="H142" s="366"/>
      <c r="I142" s="365"/>
      <c r="J142" s="364"/>
      <c r="K142" s="364"/>
      <c r="L142" s="366"/>
      <c r="M142" s="366"/>
    </row>
    <row r="143" spans="1:13">
      <c r="A143" s="470" t="str">
        <f t="shared" si="8"/>
        <v xml:space="preserve"> "Тема Ко"</v>
      </c>
      <c r="B143" s="260">
        <f t="shared" si="6"/>
        <v>0</v>
      </c>
      <c r="C143" s="260">
        <f t="shared" si="7"/>
        <v>0</v>
      </c>
      <c r="D143" s="470">
        <f>VLOOKUP(F143,Справочник!$A$2:$C$415,3,FALSE)</f>
        <v>0</v>
      </c>
      <c r="F143" s="362"/>
      <c r="G143" s="363"/>
      <c r="H143" s="366"/>
      <c r="I143" s="365"/>
      <c r="J143" s="364"/>
      <c r="K143" s="364"/>
      <c r="L143" s="366"/>
      <c r="M143" s="366"/>
    </row>
    <row r="144" spans="1:13">
      <c r="A144" s="470" t="str">
        <f t="shared" si="8"/>
        <v xml:space="preserve"> "Тема Ко"</v>
      </c>
      <c r="B144" s="260">
        <f t="shared" si="6"/>
        <v>0</v>
      </c>
      <c r="C144" s="260">
        <f t="shared" si="7"/>
        <v>0</v>
      </c>
      <c r="D144" s="470">
        <f>VLOOKUP(F144,Справочник!$A$2:$C$415,3,FALSE)</f>
        <v>0</v>
      </c>
      <c r="F144" s="362"/>
      <c r="G144" s="363"/>
      <c r="H144" s="366"/>
      <c r="I144" s="365"/>
      <c r="J144" s="364"/>
      <c r="K144" s="364"/>
      <c r="L144" s="366"/>
      <c r="M144" s="366"/>
    </row>
    <row r="145" spans="1:13">
      <c r="A145" s="470" t="str">
        <f t="shared" si="8"/>
        <v xml:space="preserve"> "Тема Ко"</v>
      </c>
      <c r="B145" s="260">
        <f t="shared" si="6"/>
        <v>0</v>
      </c>
      <c r="C145" s="260">
        <f t="shared" si="7"/>
        <v>0</v>
      </c>
      <c r="D145" s="470">
        <f>VLOOKUP(F145,Справочник!$A$2:$C$415,3,FALSE)</f>
        <v>0</v>
      </c>
      <c r="F145" s="361"/>
      <c r="G145" s="357"/>
      <c r="H145" s="358"/>
      <c r="I145" s="359"/>
      <c r="J145" s="360"/>
      <c r="K145" s="360"/>
      <c r="L145" s="369"/>
      <c r="M145" s="358"/>
    </row>
    <row r="146" spans="1:13">
      <c r="A146" s="470" t="str">
        <f t="shared" si="8"/>
        <v xml:space="preserve"> "Тема Ко"</v>
      </c>
      <c r="B146" s="260">
        <f t="shared" si="6"/>
        <v>0</v>
      </c>
      <c r="C146" s="260">
        <f t="shared" si="7"/>
        <v>0</v>
      </c>
      <c r="D146" s="470">
        <f>VLOOKUP(F146,Справочник!$A$2:$C$415,3,FALSE)</f>
        <v>0</v>
      </c>
      <c r="F146" s="361"/>
      <c r="G146" s="357"/>
      <c r="H146" s="358"/>
      <c r="I146" s="359"/>
      <c r="J146" s="369"/>
      <c r="K146" s="369"/>
      <c r="L146" s="358"/>
      <c r="M146" s="358"/>
    </row>
    <row r="147" spans="1:13">
      <c r="A147" s="470" t="str">
        <f t="shared" si="8"/>
        <v xml:space="preserve"> "Тема Ко"</v>
      </c>
      <c r="B147" s="260">
        <f t="shared" si="6"/>
        <v>0</v>
      </c>
      <c r="C147" s="260">
        <f t="shared" si="7"/>
        <v>0</v>
      </c>
      <c r="D147" s="470">
        <f>VLOOKUP(F147,Справочник!$A$2:$C$415,3,FALSE)</f>
        <v>0</v>
      </c>
      <c r="F147" s="362"/>
      <c r="G147" s="363"/>
      <c r="H147" s="366"/>
      <c r="I147" s="365"/>
      <c r="J147" s="364"/>
      <c r="K147" s="364"/>
      <c r="L147" s="366"/>
      <c r="M147" s="366"/>
    </row>
    <row r="148" spans="1:13">
      <c r="A148" s="470" t="str">
        <f t="shared" si="8"/>
        <v xml:space="preserve"> "Тема Ко"</v>
      </c>
      <c r="B148" s="260">
        <f t="shared" si="6"/>
        <v>0</v>
      </c>
      <c r="C148" s="260">
        <f t="shared" si="7"/>
        <v>0</v>
      </c>
      <c r="D148" s="470">
        <f>VLOOKUP(F148,Справочник!$A$2:$C$415,3,FALSE)</f>
        <v>0</v>
      </c>
      <c r="F148" s="362"/>
      <c r="G148" s="363"/>
      <c r="H148" s="366"/>
      <c r="I148" s="365"/>
      <c r="J148" s="364"/>
      <c r="K148" s="364"/>
      <c r="L148" s="367"/>
      <c r="M148" s="366"/>
    </row>
    <row r="149" spans="1:13">
      <c r="A149" s="470" t="str">
        <f t="shared" si="8"/>
        <v xml:space="preserve"> "Тема Ко"</v>
      </c>
      <c r="B149" s="260">
        <f t="shared" si="6"/>
        <v>0</v>
      </c>
      <c r="C149" s="260">
        <f t="shared" si="7"/>
        <v>0</v>
      </c>
      <c r="D149" s="470">
        <f>VLOOKUP(F149,Справочник!$A$2:$C$415,3,FALSE)</f>
        <v>0</v>
      </c>
      <c r="F149" s="362"/>
      <c r="G149" s="363"/>
      <c r="H149" s="366"/>
      <c r="I149" s="365"/>
      <c r="J149" s="364"/>
      <c r="K149" s="364"/>
      <c r="L149" s="366"/>
      <c r="M149" s="366"/>
    </row>
    <row r="150" spans="1:13">
      <c r="A150" s="470" t="str">
        <f t="shared" si="8"/>
        <v xml:space="preserve"> "Тема Ко"</v>
      </c>
      <c r="B150" s="260">
        <f t="shared" si="6"/>
        <v>0</v>
      </c>
      <c r="C150" s="260">
        <f t="shared" si="7"/>
        <v>0</v>
      </c>
      <c r="D150" s="470">
        <f>VLOOKUP(F150,Справочник!$A$2:$C$415,3,FALSE)</f>
        <v>0</v>
      </c>
      <c r="F150" s="362"/>
      <c r="G150" s="363"/>
      <c r="H150" s="366"/>
      <c r="I150" s="365"/>
      <c r="J150" s="364"/>
      <c r="K150" s="364"/>
      <c r="L150" s="366"/>
      <c r="M150" s="366"/>
    </row>
    <row r="151" spans="1:13">
      <c r="A151" s="470" t="str">
        <f t="shared" si="8"/>
        <v xml:space="preserve"> "Тема Ко"</v>
      </c>
      <c r="B151" s="260">
        <f t="shared" si="6"/>
        <v>0</v>
      </c>
      <c r="C151" s="260">
        <f t="shared" si="7"/>
        <v>0</v>
      </c>
      <c r="D151" s="470">
        <f>VLOOKUP(F151,Справочник!$A$2:$C$415,3,FALSE)</f>
        <v>0</v>
      </c>
      <c r="F151" s="361"/>
      <c r="G151" s="357"/>
      <c r="H151" s="358"/>
      <c r="I151" s="359"/>
      <c r="J151" s="360"/>
      <c r="K151" s="360"/>
      <c r="L151" s="358"/>
      <c r="M151" s="358"/>
    </row>
    <row r="152" spans="1:13">
      <c r="A152" s="470" t="str">
        <f t="shared" si="8"/>
        <v xml:space="preserve"> "Тема Ко"</v>
      </c>
      <c r="B152" s="260">
        <f t="shared" si="6"/>
        <v>0</v>
      </c>
      <c r="C152" s="260">
        <f t="shared" si="7"/>
        <v>0</v>
      </c>
      <c r="D152" s="470">
        <f>VLOOKUP(F152,Справочник!$A$2:$C$415,3,FALSE)</f>
        <v>0</v>
      </c>
      <c r="F152" s="362"/>
      <c r="G152" s="363"/>
      <c r="H152" s="366"/>
      <c r="I152" s="365"/>
      <c r="J152" s="364"/>
      <c r="K152" s="364"/>
      <c r="L152" s="366"/>
      <c r="M152" s="366"/>
    </row>
    <row r="153" spans="1:13">
      <c r="A153" s="470" t="str">
        <f t="shared" si="8"/>
        <v xml:space="preserve"> "Тема Ко"</v>
      </c>
      <c r="B153" s="260">
        <f t="shared" si="6"/>
        <v>0</v>
      </c>
      <c r="C153" s="260">
        <f t="shared" si="7"/>
        <v>0</v>
      </c>
      <c r="D153" s="470">
        <f>VLOOKUP(F153,Справочник!$A$2:$C$415,3,FALSE)</f>
        <v>0</v>
      </c>
      <c r="F153" s="362"/>
      <c r="G153" s="363"/>
      <c r="H153" s="366"/>
      <c r="I153" s="365"/>
      <c r="J153" s="364"/>
      <c r="K153" s="364"/>
      <c r="L153" s="366"/>
      <c r="M153" s="366"/>
    </row>
    <row r="154" spans="1:13">
      <c r="A154" s="470" t="str">
        <f t="shared" si="8"/>
        <v xml:space="preserve"> "Тема Ко"</v>
      </c>
      <c r="B154" s="260">
        <f t="shared" si="6"/>
        <v>0</v>
      </c>
      <c r="C154" s="260">
        <f t="shared" si="7"/>
        <v>0</v>
      </c>
      <c r="D154" s="470">
        <f>VLOOKUP(F154,Справочник!$A$2:$C$415,3,FALSE)</f>
        <v>0</v>
      </c>
      <c r="F154" s="361"/>
      <c r="G154" s="357"/>
      <c r="H154" s="358"/>
      <c r="I154" s="359"/>
      <c r="J154" s="360"/>
      <c r="K154" s="360"/>
      <c r="L154" s="358"/>
      <c r="M154" s="358"/>
    </row>
    <row r="155" spans="1:13">
      <c r="A155" s="470" t="str">
        <f t="shared" si="8"/>
        <v xml:space="preserve"> "Тема Ко"</v>
      </c>
      <c r="B155" s="260">
        <f t="shared" si="6"/>
        <v>0</v>
      </c>
      <c r="C155" s="260">
        <f t="shared" si="7"/>
        <v>0</v>
      </c>
      <c r="D155" s="470">
        <f>VLOOKUP(F155,Справочник!$A$2:$C$415,3,FALSE)</f>
        <v>0</v>
      </c>
      <c r="F155" s="362"/>
      <c r="G155" s="363"/>
      <c r="H155" s="366"/>
      <c r="I155" s="365"/>
      <c r="J155" s="364"/>
      <c r="K155" s="364"/>
      <c r="L155" s="366"/>
      <c r="M155" s="366"/>
    </row>
    <row r="156" spans="1:13">
      <c r="A156" s="470" t="str">
        <f t="shared" si="8"/>
        <v xml:space="preserve"> "Тема Ко"</v>
      </c>
      <c r="B156" s="260">
        <f t="shared" si="6"/>
        <v>0</v>
      </c>
      <c r="C156" s="260">
        <f t="shared" si="7"/>
        <v>0</v>
      </c>
      <c r="D156" s="470">
        <f>VLOOKUP(F156,Справочник!$A$2:$C$415,3,FALSE)</f>
        <v>0</v>
      </c>
      <c r="F156" s="362"/>
      <c r="G156" s="363"/>
      <c r="H156" s="366"/>
      <c r="I156" s="365"/>
      <c r="J156" s="364"/>
      <c r="K156" s="364"/>
      <c r="L156" s="366"/>
      <c r="M156" s="366"/>
    </row>
    <row r="157" spans="1:13">
      <c r="A157" s="470" t="str">
        <f t="shared" si="8"/>
        <v xml:space="preserve"> "Тема Ко"</v>
      </c>
      <c r="B157" s="260">
        <f t="shared" si="6"/>
        <v>0</v>
      </c>
      <c r="C157" s="260">
        <f t="shared" si="7"/>
        <v>0</v>
      </c>
      <c r="D157" s="470">
        <f>VLOOKUP(F157,Справочник!$A$2:$C$415,3,FALSE)</f>
        <v>0</v>
      </c>
      <c r="F157" s="361"/>
      <c r="G157" s="357"/>
      <c r="H157" s="358"/>
      <c r="I157" s="359"/>
      <c r="J157" s="360"/>
      <c r="K157" s="360"/>
      <c r="L157" s="358"/>
      <c r="M157" s="358"/>
    </row>
    <row r="158" spans="1:13">
      <c r="A158" s="470" t="str">
        <f t="shared" si="8"/>
        <v xml:space="preserve"> "Тема Ко"</v>
      </c>
      <c r="B158" s="260">
        <f t="shared" si="6"/>
        <v>0</v>
      </c>
      <c r="C158" s="260">
        <f t="shared" si="7"/>
        <v>0</v>
      </c>
      <c r="D158" s="470">
        <f>VLOOKUP(F158,Справочник!$A$2:$C$415,3,FALSE)</f>
        <v>0</v>
      </c>
      <c r="F158" s="362"/>
      <c r="G158" s="363"/>
      <c r="H158" s="366"/>
      <c r="I158" s="365"/>
      <c r="J158" s="364"/>
      <c r="K158" s="364"/>
      <c r="L158" s="366"/>
      <c r="M158" s="366"/>
    </row>
    <row r="159" spans="1:13">
      <c r="A159" s="470" t="str">
        <f t="shared" si="8"/>
        <v xml:space="preserve"> "Тема Ко"</v>
      </c>
      <c r="B159" s="260">
        <f t="shared" si="6"/>
        <v>0</v>
      </c>
      <c r="C159" s="260">
        <f t="shared" si="7"/>
        <v>0</v>
      </c>
      <c r="D159" s="470">
        <f>VLOOKUP(F159,Справочник!$A$2:$C$415,3,FALSE)</f>
        <v>0</v>
      </c>
      <c r="F159" s="362"/>
      <c r="G159" s="363"/>
      <c r="H159" s="366"/>
      <c r="I159" s="365"/>
      <c r="J159" s="364"/>
      <c r="K159" s="364"/>
      <c r="L159" s="366"/>
      <c r="M159" s="366"/>
    </row>
    <row r="160" spans="1:13">
      <c r="A160" s="470" t="str">
        <f t="shared" si="8"/>
        <v xml:space="preserve"> "Тема Ко"</v>
      </c>
      <c r="B160" s="260">
        <f t="shared" si="6"/>
        <v>0</v>
      </c>
      <c r="C160" s="260">
        <f t="shared" si="7"/>
        <v>0</v>
      </c>
      <c r="D160" s="470">
        <f>VLOOKUP(F160,Справочник!$A$2:$C$415,3,FALSE)</f>
        <v>0</v>
      </c>
      <c r="F160" s="362"/>
      <c r="G160" s="363"/>
      <c r="H160" s="366"/>
      <c r="I160" s="365"/>
      <c r="J160" s="364"/>
      <c r="K160" s="364"/>
      <c r="L160" s="366"/>
      <c r="M160" s="366"/>
    </row>
    <row r="161" spans="1:13">
      <c r="A161" s="470" t="str">
        <f t="shared" si="8"/>
        <v xml:space="preserve"> "Тема Ко"</v>
      </c>
      <c r="B161" s="260">
        <f t="shared" si="6"/>
        <v>0</v>
      </c>
      <c r="C161" s="260">
        <f t="shared" si="7"/>
        <v>0</v>
      </c>
      <c r="D161" s="470">
        <f>VLOOKUP(F161,Справочник!$A$2:$C$415,3,FALSE)</f>
        <v>0</v>
      </c>
      <c r="F161" s="361"/>
      <c r="G161" s="357"/>
      <c r="H161" s="358"/>
      <c r="I161" s="359"/>
      <c r="J161" s="360"/>
      <c r="K161" s="360"/>
      <c r="L161" s="358"/>
      <c r="M161" s="358"/>
    </row>
    <row r="162" spans="1:13">
      <c r="A162" s="470" t="str">
        <f t="shared" si="8"/>
        <v xml:space="preserve"> "Тема Ко"</v>
      </c>
      <c r="B162" s="260">
        <f t="shared" si="6"/>
        <v>0</v>
      </c>
      <c r="C162" s="260">
        <f t="shared" si="7"/>
        <v>0</v>
      </c>
      <c r="D162" s="470">
        <f>VLOOKUP(F162,Справочник!$A$2:$C$415,3,FALSE)</f>
        <v>0</v>
      </c>
      <c r="F162" s="362"/>
      <c r="G162" s="363"/>
      <c r="H162" s="366"/>
      <c r="I162" s="365"/>
      <c r="J162" s="364"/>
      <c r="K162" s="364"/>
      <c r="L162" s="366"/>
      <c r="M162" s="366"/>
    </row>
    <row r="163" spans="1:13">
      <c r="A163" s="470" t="str">
        <f t="shared" si="8"/>
        <v xml:space="preserve"> "Тема Ко"</v>
      </c>
      <c r="B163" s="260">
        <f t="shared" si="6"/>
        <v>0</v>
      </c>
      <c r="C163" s="260">
        <f t="shared" si="7"/>
        <v>0</v>
      </c>
      <c r="D163" s="470">
        <f>VLOOKUP(F163,Справочник!$A$2:$C$415,3,FALSE)</f>
        <v>0</v>
      </c>
      <c r="F163" s="362"/>
      <c r="G163" s="363"/>
      <c r="H163" s="366"/>
      <c r="I163" s="365"/>
      <c r="J163" s="364"/>
      <c r="K163" s="364"/>
      <c r="L163" s="366"/>
      <c r="M163" s="366"/>
    </row>
    <row r="164" spans="1:13">
      <c r="A164" s="470" t="str">
        <f t="shared" si="8"/>
        <v xml:space="preserve"> "Тема Ко"</v>
      </c>
      <c r="B164" s="260">
        <f t="shared" si="6"/>
        <v>0</v>
      </c>
      <c r="C164" s="260">
        <f t="shared" si="7"/>
        <v>0</v>
      </c>
      <c r="D164" s="470">
        <f>VLOOKUP(F164,Справочник!$A$2:$C$415,3,FALSE)</f>
        <v>0</v>
      </c>
      <c r="F164" s="362"/>
      <c r="G164" s="363"/>
      <c r="H164" s="366"/>
      <c r="I164" s="365"/>
      <c r="J164" s="364"/>
      <c r="K164" s="364"/>
      <c r="L164" s="366"/>
      <c r="M164" s="366"/>
    </row>
    <row r="165" spans="1:13">
      <c r="A165" s="470" t="str">
        <f t="shared" si="8"/>
        <v xml:space="preserve"> "Тема Ко"</v>
      </c>
      <c r="B165" s="260">
        <f t="shared" si="6"/>
        <v>0</v>
      </c>
      <c r="C165" s="260">
        <f t="shared" si="7"/>
        <v>0</v>
      </c>
      <c r="D165" s="470">
        <f>VLOOKUP(F165,Справочник!$A$2:$C$415,3,FALSE)</f>
        <v>0</v>
      </c>
      <c r="F165" s="362"/>
      <c r="G165" s="363"/>
      <c r="H165" s="366"/>
      <c r="I165" s="365"/>
      <c r="J165" s="364"/>
      <c r="K165" s="364"/>
      <c r="L165" s="366"/>
      <c r="M165" s="366"/>
    </row>
    <row r="166" spans="1:13">
      <c r="A166" s="470" t="str">
        <f t="shared" si="8"/>
        <v xml:space="preserve"> "Тема Ко"</v>
      </c>
      <c r="B166" s="260">
        <f t="shared" si="6"/>
        <v>0</v>
      </c>
      <c r="C166" s="260">
        <f t="shared" si="7"/>
        <v>0</v>
      </c>
      <c r="D166" s="470">
        <f>VLOOKUP(F166,Справочник!$A$2:$C$415,3,FALSE)</f>
        <v>0</v>
      </c>
      <c r="F166" s="362"/>
      <c r="G166" s="363"/>
      <c r="H166" s="366"/>
      <c r="I166" s="365"/>
      <c r="J166" s="364"/>
      <c r="K166" s="364"/>
      <c r="L166" s="366"/>
      <c r="M166" s="366"/>
    </row>
    <row r="167" spans="1:13">
      <c r="A167" s="470" t="str">
        <f t="shared" si="8"/>
        <v xml:space="preserve"> "Тема Ко"</v>
      </c>
      <c r="B167" s="260">
        <f t="shared" si="6"/>
        <v>0</v>
      </c>
      <c r="C167" s="260">
        <f t="shared" si="7"/>
        <v>0</v>
      </c>
      <c r="D167" s="470">
        <f>VLOOKUP(F167,Справочник!$A$2:$C$415,3,FALSE)</f>
        <v>0</v>
      </c>
      <c r="F167" s="361"/>
      <c r="G167" s="357"/>
      <c r="H167" s="358"/>
      <c r="I167" s="359"/>
      <c r="J167" s="360"/>
      <c r="K167" s="360"/>
      <c r="L167" s="358"/>
      <c r="M167" s="358"/>
    </row>
    <row r="168" spans="1:13">
      <c r="A168" s="470" t="str">
        <f t="shared" si="8"/>
        <v xml:space="preserve"> "Тема Ко"</v>
      </c>
      <c r="B168" s="260">
        <f t="shared" si="6"/>
        <v>0</v>
      </c>
      <c r="C168" s="260">
        <f t="shared" si="7"/>
        <v>0</v>
      </c>
      <c r="D168" s="470">
        <f>VLOOKUP(F168,Справочник!$A$2:$C$415,3,FALSE)</f>
        <v>0</v>
      </c>
      <c r="F168" s="362"/>
      <c r="G168" s="363"/>
      <c r="H168" s="366"/>
      <c r="I168" s="365"/>
      <c r="J168" s="364"/>
      <c r="K168" s="364"/>
      <c r="L168" s="366"/>
      <c r="M168" s="366"/>
    </row>
    <row r="169" spans="1:13">
      <c r="A169" s="470" t="str">
        <f t="shared" si="8"/>
        <v xml:space="preserve"> "Тема Ко"</v>
      </c>
      <c r="B169" s="260">
        <f t="shared" si="6"/>
        <v>0</v>
      </c>
      <c r="C169" s="260">
        <f t="shared" si="7"/>
        <v>0</v>
      </c>
      <c r="D169" s="470">
        <f>VLOOKUP(F169,Справочник!$A$2:$C$415,3,FALSE)</f>
        <v>0</v>
      </c>
      <c r="F169" s="361"/>
      <c r="G169" s="357"/>
      <c r="H169" s="358"/>
      <c r="I169" s="359"/>
      <c r="J169" s="360"/>
      <c r="K169" s="360"/>
      <c r="L169" s="358"/>
      <c r="M169" s="358"/>
    </row>
    <row r="170" spans="1:13">
      <c r="A170" s="470" t="str">
        <f t="shared" si="8"/>
        <v xml:space="preserve"> "Тема Ко"</v>
      </c>
      <c r="B170" s="260">
        <f t="shared" si="6"/>
        <v>0</v>
      </c>
      <c r="C170" s="260">
        <f t="shared" si="7"/>
        <v>0</v>
      </c>
      <c r="D170" s="470">
        <f>VLOOKUP(F170,Справочник!$A$2:$C$415,3,FALSE)</f>
        <v>0</v>
      </c>
      <c r="F170" s="362"/>
      <c r="G170" s="363"/>
      <c r="H170" s="366"/>
      <c r="I170" s="365"/>
      <c r="J170" s="364"/>
      <c r="K170" s="364"/>
      <c r="L170" s="366"/>
      <c r="M170" s="366"/>
    </row>
    <row r="171" spans="1:13">
      <c r="A171" s="470" t="str">
        <f t="shared" si="8"/>
        <v xml:space="preserve"> "Тема Ко"</v>
      </c>
      <c r="B171" s="260">
        <f t="shared" si="6"/>
        <v>0</v>
      </c>
      <c r="C171" s="260">
        <f t="shared" si="7"/>
        <v>0</v>
      </c>
      <c r="D171" s="470">
        <f>VLOOKUP(F171,Справочник!$A$2:$C$415,3,FALSE)</f>
        <v>0</v>
      </c>
      <c r="F171" s="353"/>
      <c r="G171" s="353"/>
      <c r="H171" s="370"/>
      <c r="I171" s="370"/>
      <c r="J171" s="370"/>
      <c r="K171" s="370"/>
      <c r="L171" s="370"/>
      <c r="M171" s="370"/>
    </row>
    <row r="172" spans="1:13">
      <c r="F172" s="352"/>
      <c r="G172" s="352"/>
      <c r="H172" s="352"/>
      <c r="I172" s="352"/>
      <c r="J172" s="352"/>
      <c r="K172" s="352"/>
      <c r="L172" s="352"/>
      <c r="M172" s="352"/>
    </row>
    <row r="173" spans="1:13">
      <c r="F173" s="351"/>
      <c r="G173" s="351"/>
      <c r="H173" s="351"/>
      <c r="I173" s="351"/>
      <c r="J173" s="351"/>
      <c r="K173" s="351"/>
      <c r="L173" s="351"/>
      <c r="M173" s="351"/>
    </row>
    <row r="174" spans="1:13">
      <c r="F174" s="354"/>
      <c r="G174" s="354"/>
      <c r="H174" s="355"/>
      <c r="I174" s="355"/>
      <c r="J174" s="352"/>
      <c r="K174" s="352"/>
      <c r="L174" s="352"/>
      <c r="M174" s="352"/>
    </row>
    <row r="175" spans="1:13">
      <c r="F175" s="352"/>
      <c r="G175" s="352"/>
      <c r="H175" s="356"/>
      <c r="I175" s="356"/>
      <c r="J175" s="352"/>
      <c r="K175" s="352"/>
      <c r="L175" s="352"/>
      <c r="M175" s="352"/>
    </row>
    <row r="176" spans="1:13">
      <c r="F176" s="351"/>
      <c r="G176" s="351"/>
      <c r="H176" s="351"/>
      <c r="I176" s="351"/>
      <c r="J176" s="351"/>
      <c r="K176" s="351"/>
      <c r="L176" s="351"/>
      <c r="M176" s="351"/>
    </row>
  </sheetData>
  <mergeCells count="9">
    <mergeCell ref="F118:G118"/>
    <mergeCell ref="J6:K6"/>
    <mergeCell ref="L6:M6"/>
    <mergeCell ref="B2:C2"/>
    <mergeCell ref="B3:C3"/>
    <mergeCell ref="B4:C4"/>
    <mergeCell ref="F6:F7"/>
    <mergeCell ref="G6:G7"/>
    <mergeCell ref="H6:I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G2" sqref="G2:G11"/>
    </sheetView>
  </sheetViews>
  <sheetFormatPr defaultRowHeight="15"/>
  <cols>
    <col min="7" max="7" width="10.140625" bestFit="1" customWidth="1"/>
    <col min="9" max="9" width="11.5703125" bestFit="1" customWidth="1"/>
  </cols>
  <sheetData>
    <row r="1" spans="1:9">
      <c r="G1">
        <v>2013</v>
      </c>
      <c r="I1">
        <v>2012</v>
      </c>
    </row>
    <row r="2" spans="1:9">
      <c r="A2" s="681" t="s">
        <v>124</v>
      </c>
      <c r="B2" s="681"/>
      <c r="C2" s="681"/>
      <c r="G2" s="620">
        <f>(ОСВ.6!M54+ОСВ.3!M36)/1000</f>
        <v>58855.193369999986</v>
      </c>
      <c r="I2" s="620">
        <f>(ОСВ.6!I54+ОСВ.5!I60+ОСВ.3!I36)/1000</f>
        <v>144341.46596999999</v>
      </c>
    </row>
    <row r="3" spans="1:9">
      <c r="A3" s="681" t="s">
        <v>180</v>
      </c>
      <c r="B3" s="681"/>
      <c r="G3" s="620">
        <f>(ОСВ.6!M55+ОСВ.5!M61+ОСВ.4!M26+ОСВ.3!M37+ОСВ.2!M47+ОСВ.1!M38)/1000</f>
        <v>3083.8942100000004</v>
      </c>
      <c r="I3" s="620">
        <f>(ОСВ.6!I55+ОСВ.5!I61+ОСВ.4!I26+ОСВ.3!I37+ОСВ.2!I47+ОСВ.1!I38)/1000</f>
        <v>2888.5560500000001</v>
      </c>
    </row>
    <row r="4" spans="1:9">
      <c r="A4" s="681" t="s">
        <v>178</v>
      </c>
      <c r="B4" s="681"/>
      <c r="C4" s="681"/>
      <c r="D4" s="681"/>
      <c r="G4" s="620">
        <f>(ОСВ.6!M53+ОСВ.5!M59+ОСВ.4!M25+ОСВ.3!M35+ОСВ.2!M46+ОСВ.1!M37)/1000</f>
        <v>2576.1826500000002</v>
      </c>
      <c r="I4" s="620">
        <f>(ОСВ.6!I53+ОСВ.5!I59+ОСВ.4!I25+ОСВ.3!I35+ОСВ.2!I46+ОСВ.1!I37)/1000</f>
        <v>2464.7603399999998</v>
      </c>
    </row>
    <row r="5" spans="1:9">
      <c r="A5" s="681" t="s">
        <v>184</v>
      </c>
      <c r="B5" s="681"/>
      <c r="G5" s="621">
        <v>454373</v>
      </c>
      <c r="I5" s="621">
        <v>151034</v>
      </c>
    </row>
    <row r="6" spans="1:9">
      <c r="A6" s="681" t="s">
        <v>783</v>
      </c>
      <c r="B6" s="681"/>
    </row>
    <row r="7" spans="1:9">
      <c r="A7" s="681" t="s">
        <v>181</v>
      </c>
      <c r="B7" s="681"/>
    </row>
    <row r="8" spans="1:9">
      <c r="A8" s="681" t="s">
        <v>784</v>
      </c>
      <c r="B8" s="681"/>
      <c r="C8" s="681"/>
      <c r="I8" s="620"/>
    </row>
    <row r="9" spans="1:9">
      <c r="A9" s="619" t="s">
        <v>785</v>
      </c>
      <c r="I9" s="621"/>
    </row>
    <row r="10" spans="1:9">
      <c r="A10" s="681" t="s">
        <v>786</v>
      </c>
      <c r="B10" s="681"/>
      <c r="G10" s="620">
        <f>(ОСВ.6!M61+ОСВ.5!M65+ОСВ.4!M31+ОСВ.3!M41+ОСВ.2!M55+ОСВ.1!M42)/1000</f>
        <v>2367.93334</v>
      </c>
      <c r="I10" s="623">
        <f>(ОСВ.6!I61+ОСВ.5!I65+ОСВ.4!I31+ОСВ.3!I41+ОСВ.2!I55+ОСВ.1!I42)/1000</f>
        <v>1874.0974200000001</v>
      </c>
    </row>
    <row r="11" spans="1:9" ht="15.75" thickBot="1">
      <c r="A11" s="681" t="s">
        <v>787</v>
      </c>
      <c r="B11" s="681"/>
      <c r="C11" s="681"/>
      <c r="G11" s="622">
        <f>(ОСВ.6!M62+ОСВ.5!M66+ОСВ.4!M32+ОСВ.3!M42+ОСВ.2!M56+ОСВ.1!M43)/1000</f>
        <v>5405.0392300000003</v>
      </c>
      <c r="I11" s="620">
        <f>(ОСВ.6!I62+ОСВ.5!I66+ОСВ.4!I32+ОСВ.3!I42+ОСВ.2!I56+ОСВ.1!I43)/1000</f>
        <v>4540.3052300000008</v>
      </c>
    </row>
  </sheetData>
  <mergeCells count="9">
    <mergeCell ref="A8:C8"/>
    <mergeCell ref="A10:B10"/>
    <mergeCell ref="A11:C11"/>
    <mergeCell ref="A2:C2"/>
    <mergeCell ref="A3:B3"/>
    <mergeCell ref="A4:D4"/>
    <mergeCell ref="A5:B5"/>
    <mergeCell ref="A6:B6"/>
    <mergeCell ref="A7:B7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6"/>
  <sheetViews>
    <sheetView workbookViewId="0"/>
  </sheetViews>
  <sheetFormatPr defaultRowHeight="15"/>
  <cols>
    <col min="1" max="1" width="38.28515625" style="467" bestFit="1" customWidth="1"/>
    <col min="2" max="2" width="9.140625" style="467"/>
    <col min="3" max="4" width="14.85546875" style="467" bestFit="1" customWidth="1"/>
    <col min="5" max="5" width="43.7109375" style="467" bestFit="1" customWidth="1"/>
    <col min="6" max="6" width="9.140625" style="467"/>
    <col min="7" max="7" width="38.28515625" style="467" bestFit="1" customWidth="1"/>
    <col min="8" max="8" width="8.7109375" style="467" customWidth="1"/>
    <col min="9" max="10" width="13.42578125" style="467" bestFit="1" customWidth="1"/>
    <col min="11" max="16384" width="9.140625" style="467"/>
  </cols>
  <sheetData>
    <row r="1" spans="1:11">
      <c r="A1" s="396"/>
      <c r="B1" s="66"/>
      <c r="C1" s="66"/>
      <c r="D1" s="66"/>
      <c r="G1" s="286" t="s">
        <v>605</v>
      </c>
      <c r="H1" s="287"/>
      <c r="I1" s="287"/>
      <c r="J1" s="287"/>
    </row>
    <row r="2" spans="1:11" ht="15.75">
      <c r="A2" s="487" t="s">
        <v>739</v>
      </c>
      <c r="B2" s="287"/>
      <c r="C2" s="287"/>
      <c r="D2" s="66"/>
      <c r="G2" s="487" t="s">
        <v>740</v>
      </c>
      <c r="H2" s="287"/>
      <c r="I2" s="287"/>
      <c r="J2" s="287"/>
    </row>
    <row r="3" spans="1:11">
      <c r="A3" s="66" t="s">
        <v>730</v>
      </c>
      <c r="B3" s="66" t="s">
        <v>731</v>
      </c>
      <c r="C3" s="66"/>
      <c r="D3" s="66"/>
      <c r="G3" s="682" t="s">
        <v>678</v>
      </c>
      <c r="H3" s="682"/>
      <c r="I3" s="682"/>
      <c r="J3" s="287"/>
    </row>
    <row r="4" spans="1:11">
      <c r="A4" s="66" t="s">
        <v>732</v>
      </c>
      <c r="B4" s="66" t="s">
        <v>733</v>
      </c>
      <c r="C4" s="66"/>
      <c r="D4" s="66"/>
      <c r="G4" s="682" t="s">
        <v>359</v>
      </c>
      <c r="H4" s="682"/>
      <c r="I4" s="682"/>
      <c r="J4" s="287"/>
    </row>
    <row r="5" spans="1:11" ht="15.75" thickBot="1">
      <c r="A5" s="287"/>
      <c r="B5" s="287"/>
      <c r="C5" s="287"/>
      <c r="D5" s="287"/>
      <c r="G5" s="287"/>
      <c r="H5" s="287"/>
      <c r="I5" s="287"/>
      <c r="J5" s="287"/>
    </row>
    <row r="6" spans="1:11">
      <c r="A6" s="469" t="s">
        <v>360</v>
      </c>
      <c r="B6" s="289" t="s">
        <v>606</v>
      </c>
      <c r="C6" s="289" t="s">
        <v>650</v>
      </c>
      <c r="D6" s="290" t="s">
        <v>651</v>
      </c>
      <c r="G6" s="288" t="s">
        <v>695</v>
      </c>
      <c r="H6" s="289" t="s">
        <v>606</v>
      </c>
      <c r="I6" s="289" t="s">
        <v>650</v>
      </c>
      <c r="J6" s="290" t="s">
        <v>651</v>
      </c>
    </row>
    <row r="7" spans="1:11" ht="15.75" thickBot="1">
      <c r="A7" s="398">
        <v>5610</v>
      </c>
      <c r="B7" s="468" t="s">
        <v>727</v>
      </c>
      <c r="C7" s="468" t="s">
        <v>364</v>
      </c>
      <c r="D7" s="468" t="s">
        <v>365</v>
      </c>
      <c r="G7" s="291"/>
      <c r="H7" s="292"/>
      <c r="I7" s="292"/>
      <c r="J7" s="293"/>
    </row>
    <row r="8" spans="1:11" ht="36">
      <c r="A8" s="316" t="s">
        <v>736</v>
      </c>
      <c r="B8" s="394" t="s">
        <v>728</v>
      </c>
      <c r="C8" s="395"/>
      <c r="D8" s="395"/>
      <c r="G8" s="316" t="s">
        <v>736</v>
      </c>
      <c r="H8" s="394" t="s">
        <v>728</v>
      </c>
      <c r="I8" s="395"/>
      <c r="J8" s="395"/>
    </row>
    <row r="9" spans="1:11">
      <c r="A9" s="297" t="str">
        <f>A8</f>
        <v xml:space="preserve"> "Hold Own"</v>
      </c>
      <c r="B9" s="430">
        <v>5500</v>
      </c>
      <c r="C9" s="435">
        <v>-12849096.5</v>
      </c>
      <c r="D9" s="432"/>
      <c r="E9" s="75">
        <f>VLOOKUP(B9,Справочник!$A$2:$C$415,3,FALSE)</f>
        <v>0</v>
      </c>
      <c r="G9" s="297" t="str">
        <f>G8</f>
        <v xml:space="preserve"> "Hold Own"</v>
      </c>
      <c r="H9" s="430">
        <v>5500</v>
      </c>
      <c r="I9" s="435">
        <v>-51045209.770000003</v>
      </c>
      <c r="J9" s="432"/>
      <c r="K9" s="75">
        <f>VLOOKUP(H9,Справочник!$A$2:$C$415,3,FALSE)</f>
        <v>0</v>
      </c>
    </row>
    <row r="10" spans="1:11">
      <c r="A10" s="297" t="str">
        <f>A9</f>
        <v xml:space="preserve"> "Hold Own"</v>
      </c>
      <c r="B10" s="430">
        <v>5510</v>
      </c>
      <c r="C10" s="435">
        <v>-12849096.5</v>
      </c>
      <c r="D10" s="432"/>
      <c r="E10" s="75" t="str">
        <f>VLOOKUP(B10,Справочник!$A$2:$C$415,3,FALSE)</f>
        <v>Нераспределенная прибыль (непокрытый убыток)</v>
      </c>
      <c r="G10" s="297" t="str">
        <f>G9</f>
        <v xml:space="preserve"> "Hold Own"</v>
      </c>
      <c r="H10" s="430">
        <v>5510</v>
      </c>
      <c r="I10" s="435">
        <v>-51045209.770000003</v>
      </c>
      <c r="J10" s="432"/>
      <c r="K10" s="75" t="str">
        <f>VLOOKUP(H10,Справочник!$A$2:$C$415,3,FALSE)</f>
        <v>Нераспределенная прибыль (непокрытый убыток)</v>
      </c>
    </row>
    <row r="11" spans="1:11">
      <c r="A11" s="297" t="str">
        <f t="shared" ref="A11:A51" si="0">A10</f>
        <v xml:space="preserve"> "Hold Own"</v>
      </c>
      <c r="B11" s="430">
        <v>6000</v>
      </c>
      <c r="C11" s="432"/>
      <c r="D11" s="431">
        <v>300000</v>
      </c>
      <c r="E11" s="75">
        <f>VLOOKUP(B11,Справочник!$A$2:$C$415,3,FALSE)</f>
        <v>0</v>
      </c>
      <c r="G11" s="297" t="str">
        <f t="shared" ref="G11:G51" si="1">G10</f>
        <v xml:space="preserve"> "Hold Own"</v>
      </c>
      <c r="H11" s="430">
        <v>6200</v>
      </c>
      <c r="I11" s="432"/>
      <c r="J11" s="431">
        <v>1737587.76</v>
      </c>
      <c r="K11" s="75">
        <f>VLOOKUP(H11,Справочник!$A$2:$C$415,3,FALSE)</f>
        <v>0</v>
      </c>
    </row>
    <row r="12" spans="1:11">
      <c r="A12" s="297" t="str">
        <f t="shared" si="0"/>
        <v xml:space="preserve"> "Hold Own"</v>
      </c>
      <c r="B12" s="430">
        <v>6010</v>
      </c>
      <c r="C12" s="432"/>
      <c r="D12" s="431">
        <v>300000</v>
      </c>
      <c r="E12" s="75" t="str">
        <f>VLOOKUP(B12,Справочник!$A$2:$C$415,3,FALSE)</f>
        <v>Выручка</v>
      </c>
      <c r="G12" s="297" t="str">
        <f t="shared" si="1"/>
        <v xml:space="preserve"> "Hold Own"</v>
      </c>
      <c r="H12" s="430">
        <v>6250</v>
      </c>
      <c r="I12" s="432"/>
      <c r="J12" s="431">
        <v>1733869.01</v>
      </c>
      <c r="K12" s="75" t="str">
        <f>VLOOKUP(H12,Справочник!$A$2:$C$415,3,FALSE)</f>
        <v>Доходы от курсовой разницы</v>
      </c>
    </row>
    <row r="13" spans="1:11">
      <c r="A13" s="297" t="str">
        <f t="shared" si="0"/>
        <v xml:space="preserve"> "Hold Own"</v>
      </c>
      <c r="B13" s="430">
        <v>6200</v>
      </c>
      <c r="C13" s="432"/>
      <c r="D13" s="431">
        <v>5681187.6699999999</v>
      </c>
      <c r="E13" s="75">
        <f>VLOOKUP(B13,Справочник!$A$2:$C$415,3,FALSE)</f>
        <v>0</v>
      </c>
      <c r="G13" s="297" t="str">
        <f t="shared" si="1"/>
        <v xml:space="preserve"> "Hold Own"</v>
      </c>
      <c r="H13" s="430">
        <v>6280</v>
      </c>
      <c r="I13" s="432"/>
      <c r="J13" s="431">
        <v>3718.75</v>
      </c>
      <c r="K13" s="75" t="str">
        <f>VLOOKUP(H13,Справочник!$A$2:$C$415,3,FALSE)</f>
        <v>Прочие доходы</v>
      </c>
    </row>
    <row r="14" spans="1:11">
      <c r="A14" s="297" t="str">
        <f t="shared" si="0"/>
        <v xml:space="preserve"> "Hold Own"</v>
      </c>
      <c r="B14" s="430">
        <v>6210</v>
      </c>
      <c r="C14" s="432"/>
      <c r="D14" s="431">
        <v>5581610.21</v>
      </c>
      <c r="E14" s="75" t="str">
        <f>VLOOKUP(B14,Справочник!$A$2:$C$415,3,FALSE)</f>
        <v>Доходы от выбытия активов</v>
      </c>
      <c r="G14" s="297" t="str">
        <f t="shared" si="1"/>
        <v xml:space="preserve"> "Hold Own"</v>
      </c>
      <c r="H14" s="430">
        <v>7000</v>
      </c>
      <c r="I14" s="431">
        <v>946032.51</v>
      </c>
      <c r="J14" s="432"/>
      <c r="K14" s="75">
        <f>VLOOKUP(H14,Справочник!$A$2:$C$415,3,FALSE)</f>
        <v>0</v>
      </c>
    </row>
    <row r="15" spans="1:11">
      <c r="A15" s="297" t="str">
        <f t="shared" si="0"/>
        <v xml:space="preserve"> "Hold Own"</v>
      </c>
      <c r="B15" s="430">
        <v>6250</v>
      </c>
      <c r="C15" s="432"/>
      <c r="D15" s="431">
        <v>99577.46</v>
      </c>
      <c r="E15" s="75" t="str">
        <f>VLOOKUP(B15,Справочник!$A$2:$C$415,3,FALSE)</f>
        <v>Доходы от курсовой разницы</v>
      </c>
      <c r="G15" s="297" t="str">
        <f t="shared" si="1"/>
        <v xml:space="preserve"> "Hold Own"</v>
      </c>
      <c r="H15" s="430">
        <v>7010</v>
      </c>
      <c r="I15" s="431">
        <v>946032.51</v>
      </c>
      <c r="J15" s="432"/>
      <c r="K15" s="75" t="str">
        <f>VLOOKUP(H15,Справочник!$A$2:$C$415,3,FALSE)</f>
        <v>Себестоимость реализованных товаров и услуг</v>
      </c>
    </row>
    <row r="16" spans="1:11">
      <c r="A16" s="297" t="str">
        <f t="shared" si="0"/>
        <v xml:space="preserve"> "Hold Own"</v>
      </c>
      <c r="B16" s="430">
        <v>7200</v>
      </c>
      <c r="C16" s="431">
        <v>1253210.57</v>
      </c>
      <c r="D16" s="432"/>
      <c r="E16" s="75">
        <f>VLOOKUP(B16,Справочник!$A$2:$C$415,3,FALSE)</f>
        <v>0</v>
      </c>
      <c r="G16" s="297" t="str">
        <f t="shared" si="1"/>
        <v xml:space="preserve"> "Hold Own"</v>
      </c>
      <c r="H16" s="430">
        <v>7200</v>
      </c>
      <c r="I16" s="431">
        <v>9355131.2300000004</v>
      </c>
      <c r="J16" s="432"/>
      <c r="K16" s="75">
        <f>VLOOKUP(H16,Справочник!$A$2:$C$415,3,FALSE)</f>
        <v>0</v>
      </c>
    </row>
    <row r="17" spans="1:11">
      <c r="A17" s="297" t="str">
        <f t="shared" si="0"/>
        <v xml:space="preserve"> "Hold Own"</v>
      </c>
      <c r="B17" s="430">
        <v>7210</v>
      </c>
      <c r="C17" s="431">
        <v>1253210.57</v>
      </c>
      <c r="D17" s="432"/>
      <c r="E17" s="75" t="str">
        <f>VLOOKUP(B17,Справочник!$A$2:$C$415,3,FALSE)</f>
        <v>Административные расходы</v>
      </c>
      <c r="G17" s="297" t="str">
        <f t="shared" si="1"/>
        <v xml:space="preserve"> "Hold Own"</v>
      </c>
      <c r="H17" s="430">
        <v>7210</v>
      </c>
      <c r="I17" s="431">
        <v>9355131.2300000004</v>
      </c>
      <c r="J17" s="432"/>
      <c r="K17" s="75" t="str">
        <f>VLOOKUP(H17,Справочник!$A$2:$C$415,3,FALSE)</f>
        <v>Административные расходы</v>
      </c>
    </row>
    <row r="18" spans="1:11">
      <c r="A18" s="297" t="str">
        <f t="shared" si="0"/>
        <v xml:space="preserve"> "Hold Own"</v>
      </c>
      <c r="B18" s="430">
        <v>7400</v>
      </c>
      <c r="C18" s="431">
        <v>17577073.600000001</v>
      </c>
      <c r="D18" s="432"/>
      <c r="E18" s="75">
        <f>VLOOKUP(B18,Справочник!$A$2:$C$415,3,FALSE)</f>
        <v>0</v>
      </c>
      <c r="G18" s="297" t="str">
        <f t="shared" si="1"/>
        <v xml:space="preserve"> "Hold Own"</v>
      </c>
      <c r="H18" s="430">
        <v>7400</v>
      </c>
      <c r="I18" s="431">
        <v>42481633.789999999</v>
      </c>
      <c r="J18" s="432"/>
      <c r="K18" s="75">
        <f>VLOOKUP(H18,Справочник!$A$2:$C$415,3,FALSE)</f>
        <v>0</v>
      </c>
    </row>
    <row r="19" spans="1:11">
      <c r="A19" s="297" t="str">
        <f t="shared" si="0"/>
        <v xml:space="preserve"> "Hold Own"</v>
      </c>
      <c r="B19" s="430">
        <v>7410</v>
      </c>
      <c r="C19" s="431">
        <v>13174264.609999999</v>
      </c>
      <c r="D19" s="432"/>
      <c r="E19" s="75" t="str">
        <f>VLOOKUP(B19,Справочник!$A$2:$C$415,3,FALSE)</f>
        <v>Расходы по выбытию активов</v>
      </c>
      <c r="G19" s="297" t="str">
        <f t="shared" si="1"/>
        <v xml:space="preserve"> "Hold Own"</v>
      </c>
      <c r="H19" s="430">
        <v>7410</v>
      </c>
      <c r="I19" s="431">
        <v>33241410</v>
      </c>
      <c r="J19" s="432"/>
      <c r="K19" s="75" t="str">
        <f>VLOOKUP(H19,Справочник!$A$2:$C$415,3,FALSE)</f>
        <v>Расходы по выбытию активов</v>
      </c>
    </row>
    <row r="20" spans="1:11">
      <c r="A20" s="297" t="str">
        <f t="shared" si="0"/>
        <v xml:space="preserve"> "Hold Own"</v>
      </c>
      <c r="B20" s="430">
        <v>7430</v>
      </c>
      <c r="C20" s="431">
        <v>19453.990000000002</v>
      </c>
      <c r="D20" s="432"/>
      <c r="E20" s="75" t="str">
        <f>VLOOKUP(B20,Справочник!$A$2:$C$415,3,FALSE)</f>
        <v>Расходы по курсовой разнице</v>
      </c>
      <c r="G20" s="297" t="str">
        <f t="shared" si="1"/>
        <v xml:space="preserve"> "Hold Own"</v>
      </c>
      <c r="H20" s="430">
        <v>7430</v>
      </c>
      <c r="I20" s="431">
        <v>869167.42</v>
      </c>
      <c r="J20" s="432"/>
      <c r="K20" s="75" t="str">
        <f>VLOOKUP(H20,Справочник!$A$2:$C$415,3,FALSE)</f>
        <v>Расходы по курсовой разнице</v>
      </c>
    </row>
    <row r="21" spans="1:11">
      <c r="A21" s="297" t="str">
        <f t="shared" si="0"/>
        <v xml:space="preserve"> "Hold Own"</v>
      </c>
      <c r="B21" s="430">
        <v>7450</v>
      </c>
      <c r="C21" s="431">
        <v>4383355</v>
      </c>
      <c r="D21" s="432"/>
      <c r="E21" s="75" t="str">
        <f>VLOOKUP(B21,Справочник!$A$2:$C$415,3,FALSE)</f>
        <v>Расходы по операционной аренде</v>
      </c>
      <c r="G21" s="297" t="str">
        <f t="shared" si="1"/>
        <v xml:space="preserve"> "Hold Own"</v>
      </c>
      <c r="H21" s="430">
        <v>7450</v>
      </c>
      <c r="I21" s="431">
        <v>8271516</v>
      </c>
      <c r="J21" s="432"/>
      <c r="K21" s="75" t="str">
        <f>VLOOKUP(H21,Справочник!$A$2:$C$415,3,FALSE)</f>
        <v>Расходы по операционной аренде</v>
      </c>
    </row>
    <row r="22" spans="1:11" ht="24">
      <c r="A22" s="297" t="str">
        <f t="shared" si="0"/>
        <v xml:space="preserve"> "Hold Own"</v>
      </c>
      <c r="B22" s="483" t="s">
        <v>608</v>
      </c>
      <c r="C22" s="458">
        <v>5981187.6699999999</v>
      </c>
      <c r="D22" s="458">
        <v>5981187.6699999999</v>
      </c>
      <c r="E22" s="75" t="e">
        <f>VLOOKUP(B22,Справочник!$A$2:$C$415,3,FALSE)</f>
        <v>#N/A</v>
      </c>
      <c r="G22" s="297" t="str">
        <f t="shared" si="1"/>
        <v xml:space="preserve"> "Hold Own"</v>
      </c>
      <c r="H22" s="430">
        <v>7470</v>
      </c>
      <c r="I22" s="431">
        <v>99540.37</v>
      </c>
      <c r="J22" s="432"/>
      <c r="K22" s="75" t="str">
        <f>VLOOKUP(H22,Справочник!$A$2:$C$415,3,FALSE)</f>
        <v>Прочие расходы</v>
      </c>
    </row>
    <row r="23" spans="1:11" ht="48">
      <c r="A23" s="297" t="str">
        <f t="shared" si="0"/>
        <v xml:space="preserve"> "Hold Own"</v>
      </c>
      <c r="B23" s="483" t="s">
        <v>698</v>
      </c>
      <c r="C23" s="484"/>
      <c r="D23" s="484"/>
      <c r="E23" s="75"/>
      <c r="G23" s="297" t="str">
        <f t="shared" si="1"/>
        <v xml:space="preserve"> "Hold Own"</v>
      </c>
      <c r="H23" s="457" t="s">
        <v>608</v>
      </c>
      <c r="I23" s="458">
        <v>1737587.76</v>
      </c>
      <c r="J23" s="458">
        <v>1737587.76</v>
      </c>
      <c r="K23" s="75" t="e">
        <f>VLOOKUP(H23,Справочник!$A$2:$C$415,3,FALSE)</f>
        <v>#N/A</v>
      </c>
    </row>
    <row r="24" spans="1:11">
      <c r="A24" s="297" t="str">
        <f t="shared" si="0"/>
        <v xml:space="preserve"> "Hold Own"</v>
      </c>
      <c r="B24" s="485" t="s">
        <v>608</v>
      </c>
      <c r="C24" s="486">
        <v>5981187.6699999999</v>
      </c>
      <c r="D24" s="486">
        <v>5981187.6699999999</v>
      </c>
      <c r="E24" s="75" t="e">
        <f>VLOOKUP(B24,Справочник!$A$2:$C$415,3,FALSE)</f>
        <v>#N/A</v>
      </c>
      <c r="G24" s="297" t="str">
        <f t="shared" si="1"/>
        <v xml:space="preserve"> "Hold Own"</v>
      </c>
      <c r="H24" s="430"/>
      <c r="I24" s="431"/>
      <c r="J24" s="432"/>
      <c r="K24" s="75">
        <f>VLOOKUP(H24,Справочник!$A$2:$C$415,3,FALSE)</f>
        <v>0</v>
      </c>
    </row>
    <row r="25" spans="1:11">
      <c r="A25" s="297" t="str">
        <f t="shared" si="0"/>
        <v xml:space="preserve"> "Hold Own"</v>
      </c>
      <c r="B25" s="430"/>
      <c r="C25" s="431"/>
      <c r="D25" s="432"/>
      <c r="E25" s="75">
        <f>VLOOKUP(B25,Справочник!$A$2:$C$415,3,FALSE)</f>
        <v>0</v>
      </c>
      <c r="G25" s="297" t="str">
        <f t="shared" si="1"/>
        <v xml:space="preserve"> "Hold Own"</v>
      </c>
      <c r="H25" s="454"/>
      <c r="I25" s="434"/>
      <c r="J25" s="434"/>
      <c r="K25" s="75"/>
    </row>
    <row r="26" spans="1:11">
      <c r="A26" s="297" t="str">
        <f t="shared" si="0"/>
        <v xml:space="preserve"> "Hold Own"</v>
      </c>
      <c r="B26" s="430"/>
      <c r="C26" s="431"/>
      <c r="D26" s="432"/>
      <c r="E26" s="75">
        <f>VLOOKUP(B26,Справочник!$A$2:$C$415,3,FALSE)</f>
        <v>0</v>
      </c>
      <c r="G26" s="297" t="str">
        <f t="shared" si="1"/>
        <v xml:space="preserve"> "Hold Own"</v>
      </c>
      <c r="H26" s="377"/>
      <c r="I26" s="379"/>
      <c r="J26" s="378"/>
      <c r="K26" s="75">
        <f>VLOOKUP(H26,Справочник!$A$2:$C$415,3,FALSE)</f>
        <v>0</v>
      </c>
    </row>
    <row r="27" spans="1:11">
      <c r="A27" s="297" t="str">
        <f t="shared" si="0"/>
        <v xml:space="preserve"> "Hold Own"</v>
      </c>
      <c r="B27" s="430"/>
      <c r="C27" s="431"/>
      <c r="D27" s="432"/>
      <c r="E27" s="75">
        <f>VLOOKUP(B27,Справочник!$A$2:$C$415,3,FALSE)</f>
        <v>0</v>
      </c>
      <c r="G27" s="297" t="str">
        <f t="shared" si="1"/>
        <v xml:space="preserve"> "Hold Own"</v>
      </c>
      <c r="H27" s="377"/>
      <c r="I27" s="379"/>
      <c r="J27" s="378"/>
      <c r="K27" s="75">
        <f>VLOOKUP(H27,Справочник!$A$2:$C$415,3,FALSE)</f>
        <v>0</v>
      </c>
    </row>
    <row r="28" spans="1:11">
      <c r="A28" s="297" t="str">
        <f t="shared" si="0"/>
        <v xml:space="preserve"> "Hold Own"</v>
      </c>
      <c r="B28" s="430"/>
      <c r="C28" s="431"/>
      <c r="D28" s="432"/>
      <c r="E28" s="75">
        <f>VLOOKUP(B28,Справочник!$A$2:$C$415,3,FALSE)</f>
        <v>0</v>
      </c>
      <c r="G28" s="297" t="str">
        <f t="shared" si="1"/>
        <v xml:space="preserve"> "Hold Own"</v>
      </c>
      <c r="H28" s="377"/>
      <c r="I28" s="378"/>
      <c r="J28" s="379"/>
      <c r="K28" s="75">
        <f>VLOOKUP(H28,Справочник!$A$2:$C$415,3,FALSE)</f>
        <v>0</v>
      </c>
    </row>
    <row r="29" spans="1:11">
      <c r="A29" s="297" t="str">
        <f t="shared" si="0"/>
        <v xml:space="preserve"> "Hold Own"</v>
      </c>
      <c r="B29" s="430"/>
      <c r="C29" s="431"/>
      <c r="D29" s="432"/>
      <c r="E29" s="75">
        <f>VLOOKUP(B29,Справочник!$A$2:$C$415,3,FALSE)</f>
        <v>0</v>
      </c>
      <c r="G29" s="297" t="str">
        <f t="shared" si="1"/>
        <v xml:space="preserve"> "Hold Own"</v>
      </c>
      <c r="H29" s="377"/>
      <c r="I29" s="378"/>
      <c r="J29" s="379"/>
      <c r="K29" s="75">
        <f>VLOOKUP(H29,Справочник!$A$2:$C$415,3,FALSE)</f>
        <v>0</v>
      </c>
    </row>
    <row r="30" spans="1:11">
      <c r="A30" s="297"/>
      <c r="B30" s="433"/>
      <c r="C30" s="434"/>
      <c r="D30" s="434"/>
      <c r="E30" s="75"/>
      <c r="G30" s="297" t="str">
        <f t="shared" si="1"/>
        <v xml:space="preserve"> "Hold Own"</v>
      </c>
      <c r="H30" s="377"/>
      <c r="I30" s="378"/>
      <c r="J30" s="379"/>
      <c r="K30" s="75">
        <f>VLOOKUP(H30,Справочник!$A$2:$C$415,3,FALSE)</f>
        <v>0</v>
      </c>
    </row>
    <row r="31" spans="1:11">
      <c r="A31" s="297"/>
      <c r="B31" s="377"/>
      <c r="C31" s="378"/>
      <c r="D31" s="379"/>
      <c r="E31" s="75">
        <f>VLOOKUP(B31,Справочник!$A$2:$C$415,3,FALSE)</f>
        <v>0</v>
      </c>
      <c r="G31" s="297" t="str">
        <f t="shared" si="1"/>
        <v xml:space="preserve"> "Hold Own"</v>
      </c>
      <c r="H31" s="377"/>
      <c r="I31" s="378"/>
      <c r="J31" s="379"/>
      <c r="K31" s="75">
        <f>VLOOKUP(H31,Справочник!$A$2:$C$415,3,FALSE)</f>
        <v>0</v>
      </c>
    </row>
    <row r="32" spans="1:11">
      <c r="A32" s="297"/>
      <c r="B32" s="377"/>
      <c r="C32" s="378"/>
      <c r="D32" s="379"/>
      <c r="E32" s="75">
        <f>VLOOKUP(B32,Справочник!$A$2:$C$415,3,FALSE)</f>
        <v>0</v>
      </c>
      <c r="G32" s="297" t="str">
        <f t="shared" si="1"/>
        <v xml:space="preserve"> "Hold Own"</v>
      </c>
      <c r="H32" s="377"/>
      <c r="I32" s="378"/>
      <c r="J32" s="379"/>
      <c r="K32" s="75">
        <f>VLOOKUP(H32,Справочник!$A$2:$C$415,3,FALSE)</f>
        <v>0</v>
      </c>
    </row>
    <row r="33" spans="1:11">
      <c r="A33" s="297">
        <f t="shared" si="0"/>
        <v>0</v>
      </c>
      <c r="B33" s="377"/>
      <c r="C33" s="378"/>
      <c r="D33" s="379"/>
      <c r="E33" s="75">
        <f>VLOOKUP(B33,Справочник!$A$2:$C$415,3,FALSE)</f>
        <v>0</v>
      </c>
      <c r="G33" s="297" t="str">
        <f t="shared" si="1"/>
        <v xml:space="preserve"> "Hold Own"</v>
      </c>
      <c r="H33" s="377"/>
      <c r="I33" s="380"/>
      <c r="J33" s="379"/>
      <c r="K33" s="75">
        <f>VLOOKUP(H33,Справочник!$A$2:$C$415,3,FALSE)</f>
        <v>0</v>
      </c>
    </row>
    <row r="34" spans="1:11">
      <c r="A34" s="297"/>
      <c r="B34" s="377"/>
      <c r="C34" s="378"/>
      <c r="D34" s="379"/>
      <c r="E34" s="75">
        <f>VLOOKUP(B34,Справочник!$A$2:$C$415,3,FALSE)</f>
        <v>0</v>
      </c>
      <c r="G34" s="297" t="str">
        <f t="shared" si="1"/>
        <v xml:space="preserve"> "Hold Own"</v>
      </c>
      <c r="H34" s="377"/>
      <c r="I34" s="380"/>
      <c r="J34" s="379"/>
      <c r="K34" s="75">
        <f>VLOOKUP(H34,Справочник!$A$2:$C$415,3,FALSE)</f>
        <v>0</v>
      </c>
    </row>
    <row r="35" spans="1:11">
      <c r="A35" s="297"/>
      <c r="B35" s="377"/>
      <c r="C35" s="378"/>
      <c r="D35" s="379"/>
      <c r="E35" s="75">
        <f>VLOOKUP(B35,Справочник!$A$2:$C$415,3,FALSE)</f>
        <v>0</v>
      </c>
      <c r="G35" s="297" t="str">
        <f t="shared" si="1"/>
        <v xml:space="preserve"> "Hold Own"</v>
      </c>
      <c r="H35" s="377"/>
      <c r="I35" s="378"/>
      <c r="J35" s="379"/>
      <c r="K35" s="75">
        <f>VLOOKUP(H35,Справочник!$A$2:$C$415,3,FALSE)</f>
        <v>0</v>
      </c>
    </row>
    <row r="36" spans="1:11">
      <c r="A36" s="297">
        <f t="shared" si="0"/>
        <v>0</v>
      </c>
      <c r="B36" s="377"/>
      <c r="C36" s="378"/>
      <c r="D36" s="379"/>
      <c r="E36" s="75">
        <f>VLOOKUP(B36,Справочник!$A$2:$C$415,3,FALSE)</f>
        <v>0</v>
      </c>
      <c r="G36" s="297" t="str">
        <f t="shared" si="1"/>
        <v xml:space="preserve"> "Hold Own"</v>
      </c>
      <c r="H36" s="377"/>
      <c r="I36" s="378"/>
      <c r="J36" s="379"/>
      <c r="K36" s="75">
        <f>VLOOKUP(H36,Справочник!$A$2:$C$415,3,FALSE)</f>
        <v>0</v>
      </c>
    </row>
    <row r="37" spans="1:11">
      <c r="A37" s="297"/>
      <c r="B37" s="377"/>
      <c r="C37" s="378"/>
      <c r="D37" s="379"/>
      <c r="E37" s="75">
        <f>VLOOKUP(B37,Справочник!$A$2:$C$415,3,FALSE)</f>
        <v>0</v>
      </c>
      <c r="G37" s="297" t="str">
        <f t="shared" si="1"/>
        <v xml:space="preserve"> "Hold Own"</v>
      </c>
      <c r="H37" s="377"/>
      <c r="I37" s="378"/>
      <c r="J37" s="379"/>
      <c r="K37" s="75">
        <f>VLOOKUP(H37,Справочник!$A$2:$C$415,3,FALSE)</f>
        <v>0</v>
      </c>
    </row>
    <row r="38" spans="1:11">
      <c r="A38" s="297"/>
      <c r="B38" s="377"/>
      <c r="C38" s="378"/>
      <c r="D38" s="379"/>
      <c r="E38" s="75">
        <f>VLOOKUP(B38,Справочник!$A$2:$C$415,3,FALSE)</f>
        <v>0</v>
      </c>
      <c r="G38" s="297" t="str">
        <f t="shared" si="1"/>
        <v xml:space="preserve"> "Hold Own"</v>
      </c>
      <c r="H38" s="377"/>
      <c r="I38" s="378"/>
      <c r="J38" s="379"/>
      <c r="K38" s="75">
        <f>VLOOKUP(H38,Справочник!$A$2:$C$415,3,FALSE)</f>
        <v>0</v>
      </c>
    </row>
    <row r="39" spans="1:11">
      <c r="A39" s="297">
        <f t="shared" si="0"/>
        <v>0</v>
      </c>
      <c r="B39" s="377"/>
      <c r="C39" s="378"/>
      <c r="D39" s="379"/>
      <c r="E39" s="75">
        <f>VLOOKUP(B39,Справочник!$A$2:$C$415,3,FALSE)</f>
        <v>0</v>
      </c>
      <c r="G39" s="297" t="str">
        <f t="shared" si="1"/>
        <v xml:space="preserve"> "Hold Own"</v>
      </c>
      <c r="H39" s="377"/>
      <c r="I39" s="378"/>
      <c r="J39" s="379"/>
      <c r="K39" s="75">
        <f>VLOOKUP(H39,Справочник!$A$2:$C$415,3,FALSE)</f>
        <v>0</v>
      </c>
    </row>
    <row r="40" spans="1:11">
      <c r="A40" s="297"/>
      <c r="B40" s="377"/>
      <c r="C40" s="378"/>
      <c r="D40" s="379"/>
      <c r="E40" s="75">
        <f>VLOOKUP(B40,Справочник!$A$2:$C$415,3,FALSE)</f>
        <v>0</v>
      </c>
      <c r="G40" s="297" t="str">
        <f t="shared" si="1"/>
        <v xml:space="preserve"> "Hold Own"</v>
      </c>
      <c r="H40" s="377"/>
      <c r="I40" s="378"/>
      <c r="J40" s="379"/>
      <c r="K40" s="75">
        <f>VLOOKUP(H40,Справочник!$A$2:$C$415,3,FALSE)</f>
        <v>0</v>
      </c>
    </row>
    <row r="41" spans="1:11">
      <c r="A41" s="297"/>
      <c r="B41" s="377"/>
      <c r="C41" s="378"/>
      <c r="D41" s="379"/>
      <c r="E41" s="75">
        <f>VLOOKUP(B41,Справочник!$A$2:$C$415,3,FALSE)</f>
        <v>0</v>
      </c>
      <c r="G41" s="297" t="str">
        <f t="shared" si="1"/>
        <v xml:space="preserve"> "Hold Own"</v>
      </c>
      <c r="H41" s="377"/>
      <c r="I41" s="378"/>
      <c r="J41" s="379"/>
      <c r="K41" s="75">
        <f>VLOOKUP(H41,Справочник!$A$2:$C$415,3,FALSE)</f>
        <v>0</v>
      </c>
    </row>
    <row r="42" spans="1:11">
      <c r="A42" s="297"/>
      <c r="B42" s="377"/>
      <c r="C42" s="378"/>
      <c r="D42" s="379"/>
      <c r="E42" s="75">
        <f>VLOOKUP(B42,Справочник!$A$2:$C$415,3,FALSE)</f>
        <v>0</v>
      </c>
      <c r="G42" s="297" t="str">
        <f t="shared" si="1"/>
        <v xml:space="preserve"> "Hold Own"</v>
      </c>
      <c r="H42" s="377"/>
      <c r="I42" s="378"/>
      <c r="J42" s="379"/>
      <c r="K42" s="75">
        <f>VLOOKUP(H42,Справочник!$A$2:$C$415,3,FALSE)</f>
        <v>0</v>
      </c>
    </row>
    <row r="43" spans="1:11">
      <c r="A43" s="297">
        <f t="shared" si="0"/>
        <v>0</v>
      </c>
      <c r="B43" s="377"/>
      <c r="C43" s="378"/>
      <c r="D43" s="379"/>
      <c r="E43" s="75">
        <f>VLOOKUP(B43,Справочник!$A$2:$C$415,3,FALSE)</f>
        <v>0</v>
      </c>
      <c r="G43" s="297" t="str">
        <f t="shared" si="1"/>
        <v xml:space="preserve"> "Hold Own"</v>
      </c>
      <c r="H43" s="377"/>
      <c r="I43" s="378"/>
      <c r="J43" s="379"/>
      <c r="K43" s="75">
        <f>VLOOKUP(H43,Справочник!$A$2:$C$415,3,FALSE)</f>
        <v>0</v>
      </c>
    </row>
    <row r="44" spans="1:11">
      <c r="A44" s="297"/>
      <c r="B44" s="377"/>
      <c r="C44" s="378"/>
      <c r="D44" s="379"/>
      <c r="E44" s="75">
        <f>VLOOKUP(B44,Справочник!$A$2:$C$415,3,FALSE)</f>
        <v>0</v>
      </c>
      <c r="G44" s="297" t="str">
        <f t="shared" si="1"/>
        <v xml:space="preserve"> "Hold Own"</v>
      </c>
      <c r="H44" s="377"/>
      <c r="I44" s="378"/>
      <c r="J44" s="379"/>
      <c r="K44" s="75">
        <f>VLOOKUP(H44,Справочник!$A$2:$C$415,3,FALSE)</f>
        <v>0</v>
      </c>
    </row>
    <row r="45" spans="1:11">
      <c r="A45" s="297"/>
      <c r="B45" s="377"/>
      <c r="C45" s="378"/>
      <c r="D45" s="379"/>
      <c r="E45" s="75">
        <f>VLOOKUP(B45,Справочник!$A$2:$C$415,3,FALSE)</f>
        <v>0</v>
      </c>
      <c r="G45" s="297" t="str">
        <f t="shared" si="1"/>
        <v xml:space="preserve"> "Hold Own"</v>
      </c>
      <c r="H45" s="377"/>
      <c r="I45" s="378"/>
      <c r="J45" s="379"/>
      <c r="K45" s="75">
        <f>VLOOKUP(H45,Справочник!$A$2:$C$415,3,FALSE)</f>
        <v>0</v>
      </c>
    </row>
    <row r="46" spans="1:11">
      <c r="A46" s="297"/>
      <c r="B46" s="377"/>
      <c r="C46" s="378"/>
      <c r="D46" s="379"/>
      <c r="E46" s="75">
        <f>VLOOKUP(B46,Справочник!$A$2:$C$415,3,FALSE)</f>
        <v>0</v>
      </c>
      <c r="G46" s="297" t="str">
        <f t="shared" si="1"/>
        <v xml:space="preserve"> "Hold Own"</v>
      </c>
      <c r="H46" s="377"/>
      <c r="I46" s="378"/>
      <c r="J46" s="379"/>
      <c r="K46" s="75">
        <f>VLOOKUP(H46,Справочник!$A$2:$C$415,3,FALSE)</f>
        <v>0</v>
      </c>
    </row>
    <row r="47" spans="1:11">
      <c r="A47" s="297"/>
      <c r="B47" s="377"/>
      <c r="C47" s="380"/>
      <c r="D47" s="379"/>
      <c r="E47" s="75">
        <f>VLOOKUP(B47,Справочник!$A$2:$C$415,3,FALSE)</f>
        <v>0</v>
      </c>
      <c r="G47" s="297" t="str">
        <f t="shared" si="1"/>
        <v xml:space="preserve"> "Hold Own"</v>
      </c>
      <c r="H47" s="377"/>
      <c r="I47" s="378"/>
      <c r="J47" s="379"/>
      <c r="K47" s="75">
        <f>VLOOKUP(H47,Справочник!$A$2:$C$415,3,FALSE)</f>
        <v>0</v>
      </c>
    </row>
    <row r="48" spans="1:11">
      <c r="A48" s="297"/>
      <c r="B48" s="377"/>
      <c r="C48" s="378"/>
      <c r="D48" s="379"/>
      <c r="E48" s="75">
        <f>VLOOKUP(B48,Справочник!$A$2:$C$415,3,FALSE)</f>
        <v>0</v>
      </c>
      <c r="G48" s="297" t="str">
        <f t="shared" si="1"/>
        <v xml:space="preserve"> "Hold Own"</v>
      </c>
      <c r="H48" s="377"/>
      <c r="I48" s="378"/>
      <c r="J48" s="379"/>
      <c r="K48" s="75">
        <f>VLOOKUP(H48,Справочник!$A$2:$C$415,3,FALSE)</f>
        <v>0</v>
      </c>
    </row>
    <row r="49" spans="1:11">
      <c r="A49" s="297">
        <f t="shared" si="0"/>
        <v>0</v>
      </c>
      <c r="B49" s="377"/>
      <c r="C49" s="378"/>
      <c r="D49" s="379"/>
      <c r="E49" s="75">
        <f>VLOOKUP(B49,Справочник!$A$2:$C$415,3,FALSE)</f>
        <v>0</v>
      </c>
      <c r="G49" s="297" t="str">
        <f t="shared" si="1"/>
        <v xml:space="preserve"> "Hold Own"</v>
      </c>
      <c r="H49" s="377"/>
      <c r="I49" s="378"/>
      <c r="J49" s="379"/>
      <c r="K49" s="75">
        <f>VLOOKUP(H49,Справочник!$A$2:$C$415,3,FALSE)</f>
        <v>0</v>
      </c>
    </row>
    <row r="50" spans="1:11">
      <c r="A50" s="297"/>
      <c r="B50" s="377"/>
      <c r="C50" s="378"/>
      <c r="D50" s="379"/>
      <c r="E50" s="75">
        <f>VLOOKUP(B50,Справочник!$A$2:$C$415,3,FALSE)</f>
        <v>0</v>
      </c>
      <c r="G50" s="297" t="str">
        <f t="shared" si="1"/>
        <v xml:space="preserve"> "Hold Own"</v>
      </c>
      <c r="H50" s="298"/>
      <c r="I50" s="299"/>
      <c r="J50" s="300"/>
      <c r="K50" s="75">
        <f>VLOOKUP(H50,Справочник!$A$2:$C$415,3,FALSE)</f>
        <v>0</v>
      </c>
    </row>
    <row r="51" spans="1:11">
      <c r="A51" s="297">
        <f t="shared" si="0"/>
        <v>0</v>
      </c>
      <c r="B51" s="298"/>
      <c r="C51" s="299"/>
      <c r="D51" s="300"/>
      <c r="E51" s="75">
        <f>VLOOKUP(B51,Справочник!$A$2:$C$415,3,FALSE)</f>
        <v>0</v>
      </c>
      <c r="G51" s="297" t="str">
        <f t="shared" si="1"/>
        <v xml:space="preserve"> "Hold Own"</v>
      </c>
      <c r="H51" s="298"/>
      <c r="I51" s="299"/>
      <c r="J51" s="300"/>
      <c r="K51" s="75">
        <f>VLOOKUP(H51,Справочник!$A$2:$C$415,3,FALSE)</f>
        <v>0</v>
      </c>
    </row>
    <row r="52" spans="1:11">
      <c r="A52" s="297">
        <f>A51</f>
        <v>0</v>
      </c>
      <c r="B52" s="298"/>
      <c r="C52" s="299"/>
      <c r="D52" s="300"/>
      <c r="E52" s="75">
        <f>VLOOKUP(B52,Справочник!$A$2:$C$415,3,FALSE)</f>
        <v>0</v>
      </c>
      <c r="G52" s="297"/>
      <c r="H52" s="302"/>
      <c r="I52" s="303"/>
      <c r="J52" s="345"/>
      <c r="K52" s="75"/>
    </row>
    <row r="53" spans="1:11" ht="15.75" thickBot="1">
      <c r="A53" s="334"/>
      <c r="B53" s="302"/>
      <c r="C53" s="303"/>
      <c r="D53" s="345"/>
      <c r="E53" s="75"/>
      <c r="G53" s="297"/>
      <c r="H53" s="295"/>
      <c r="I53" s="304"/>
      <c r="J53" s="296"/>
      <c r="K53" s="75"/>
    </row>
    <row r="54" spans="1:11" ht="15.75" thickBot="1">
      <c r="A54" s="294"/>
      <c r="B54" s="295"/>
      <c r="C54" s="304"/>
      <c r="D54" s="296"/>
      <c r="G54" s="301"/>
      <c r="H54" s="306"/>
      <c r="I54" s="307"/>
      <c r="J54" s="308"/>
      <c r="K54" s="75"/>
    </row>
    <row r="55" spans="1:11" ht="15.75" thickBot="1">
      <c r="A55" s="305" t="s">
        <v>696</v>
      </c>
      <c r="B55" s="306"/>
      <c r="C55" s="307"/>
      <c r="D55" s="308"/>
      <c r="G55" s="294"/>
      <c r="H55" s="310"/>
      <c r="I55" s="311"/>
      <c r="J55" s="330"/>
      <c r="K55" s="75"/>
    </row>
    <row r="56" spans="1:11" ht="15.75" thickBot="1">
      <c r="A56" s="309"/>
      <c r="B56" s="310"/>
      <c r="C56" s="311"/>
      <c r="D56" s="391"/>
    </row>
  </sheetData>
  <autoFilter ref="A7:K336"/>
  <mergeCells count="2">
    <mergeCell ref="G3:I3"/>
    <mergeCell ref="G4:I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6"/>
  <sheetViews>
    <sheetView topLeftCell="A4" workbookViewId="0">
      <selection activeCell="C23" sqref="C23"/>
    </sheetView>
  </sheetViews>
  <sheetFormatPr defaultRowHeight="15"/>
  <cols>
    <col min="1" max="1" width="38.28515625" style="467" bestFit="1" customWidth="1"/>
    <col min="2" max="2" width="9.140625" style="467"/>
    <col min="3" max="4" width="14.85546875" style="467" bestFit="1" customWidth="1"/>
    <col min="5" max="5" width="43.7109375" style="467" bestFit="1" customWidth="1"/>
    <col min="6" max="6" width="9.140625" style="467"/>
    <col min="7" max="7" width="38.28515625" style="467" bestFit="1" customWidth="1"/>
    <col min="8" max="8" width="8.7109375" style="467" customWidth="1"/>
    <col min="9" max="10" width="13.42578125" style="467" bestFit="1" customWidth="1"/>
    <col min="11" max="16384" width="9.140625" style="467"/>
  </cols>
  <sheetData>
    <row r="1" spans="1:11">
      <c r="A1" s="396"/>
      <c r="B1" s="66"/>
      <c r="C1" s="66"/>
      <c r="D1" s="66"/>
      <c r="G1" s="286" t="s">
        <v>605</v>
      </c>
      <c r="H1" s="287"/>
      <c r="I1" s="287"/>
      <c r="J1" s="287"/>
    </row>
    <row r="2" spans="1:11" ht="15.75">
      <c r="A2" s="487" t="s">
        <v>739</v>
      </c>
      <c r="B2" s="287"/>
      <c r="C2" s="287"/>
      <c r="D2" s="66"/>
      <c r="G2" s="487" t="s">
        <v>740</v>
      </c>
      <c r="H2" s="287"/>
      <c r="I2" s="287"/>
      <c r="J2" s="287"/>
    </row>
    <row r="3" spans="1:11">
      <c r="A3" s="66" t="s">
        <v>730</v>
      </c>
      <c r="B3" s="66" t="s">
        <v>731</v>
      </c>
      <c r="C3" s="66"/>
      <c r="D3" s="66"/>
      <c r="G3" s="682" t="s">
        <v>678</v>
      </c>
      <c r="H3" s="682"/>
      <c r="I3" s="682"/>
      <c r="J3" s="287"/>
    </row>
    <row r="4" spans="1:11">
      <c r="A4" s="66" t="s">
        <v>732</v>
      </c>
      <c r="B4" s="66" t="s">
        <v>733</v>
      </c>
      <c r="C4" s="66"/>
      <c r="D4" s="66"/>
      <c r="G4" s="682" t="s">
        <v>359</v>
      </c>
      <c r="H4" s="682"/>
      <c r="I4" s="682"/>
      <c r="J4" s="287"/>
    </row>
    <row r="5" spans="1:11" ht="15.75" thickBot="1">
      <c r="A5" s="287"/>
      <c r="B5" s="287"/>
      <c r="C5" s="287"/>
      <c r="D5" s="287"/>
      <c r="G5" s="287"/>
      <c r="H5" s="287"/>
      <c r="I5" s="287"/>
      <c r="J5" s="287"/>
    </row>
    <row r="6" spans="1:11">
      <c r="A6" s="469" t="s">
        <v>360</v>
      </c>
      <c r="B6" s="289" t="s">
        <v>606</v>
      </c>
      <c r="C6" s="289" t="s">
        <v>650</v>
      </c>
      <c r="D6" s="290" t="s">
        <v>651</v>
      </c>
      <c r="G6" s="288" t="s">
        <v>695</v>
      </c>
      <c r="H6" s="289" t="s">
        <v>606</v>
      </c>
      <c r="I6" s="289" t="s">
        <v>650</v>
      </c>
      <c r="J6" s="290" t="s">
        <v>651</v>
      </c>
    </row>
    <row r="7" spans="1:11" ht="15.75" thickBot="1">
      <c r="A7" s="398">
        <v>5610</v>
      </c>
      <c r="B7" s="468" t="s">
        <v>727</v>
      </c>
      <c r="C7" s="468" t="s">
        <v>364</v>
      </c>
      <c r="D7" s="468" t="s">
        <v>365</v>
      </c>
      <c r="G7" s="291"/>
      <c r="H7" s="292"/>
      <c r="I7" s="292"/>
      <c r="J7" s="293"/>
    </row>
    <row r="8" spans="1:11" ht="36">
      <c r="A8" s="316" t="s">
        <v>741</v>
      </c>
      <c r="B8" s="394" t="s">
        <v>728</v>
      </c>
      <c r="C8" s="395"/>
      <c r="D8" s="395"/>
      <c r="G8" s="316" t="s">
        <v>741</v>
      </c>
      <c r="H8" s="394" t="s">
        <v>728</v>
      </c>
      <c r="I8" s="395"/>
      <c r="J8" s="395"/>
    </row>
    <row r="9" spans="1:11">
      <c r="A9" s="297" t="str">
        <f>A8</f>
        <v>"Penson Group"</v>
      </c>
      <c r="B9" s="488">
        <v>5500</v>
      </c>
      <c r="C9" s="443">
        <v>29447120.800000001</v>
      </c>
      <c r="D9" s="444"/>
      <c r="E9" s="75">
        <f>VLOOKUP(B9,Справочник!$A$2:$C$415,3,FALSE)</f>
        <v>0</v>
      </c>
      <c r="G9" s="297" t="str">
        <f>G8</f>
        <v>"Penson Group"</v>
      </c>
      <c r="H9" s="488">
        <v>5500</v>
      </c>
      <c r="I9" s="443">
        <v>114815651.20999999</v>
      </c>
      <c r="J9" s="444"/>
      <c r="K9" s="75">
        <f>VLOOKUP(H9,Справочник!$A$2:$C$415,3,FALSE)</f>
        <v>0</v>
      </c>
    </row>
    <row r="10" spans="1:11">
      <c r="A10" s="297" t="str">
        <f>A9</f>
        <v>"Penson Group"</v>
      </c>
      <c r="B10" s="488">
        <v>5510</v>
      </c>
      <c r="C10" s="443">
        <v>29447120.800000001</v>
      </c>
      <c r="D10" s="444"/>
      <c r="E10" s="75" t="str">
        <f>VLOOKUP(B10,Справочник!$A$2:$C$415,3,FALSE)</f>
        <v>Нераспределенная прибыль (непокрытый убыток)</v>
      </c>
      <c r="G10" s="297" t="str">
        <f>G9</f>
        <v>"Penson Group"</v>
      </c>
      <c r="H10" s="488">
        <v>5510</v>
      </c>
      <c r="I10" s="443">
        <v>114815651.20999999</v>
      </c>
      <c r="J10" s="444"/>
      <c r="K10" s="75" t="str">
        <f>VLOOKUP(H10,Справочник!$A$2:$C$415,3,FALSE)</f>
        <v>Нераспределенная прибыль (непокрытый убыток)</v>
      </c>
    </row>
    <row r="11" spans="1:11">
      <c r="A11" s="297" t="str">
        <f t="shared" ref="A11:A51" si="0">A10</f>
        <v>"Penson Group"</v>
      </c>
      <c r="B11" s="488">
        <v>6000</v>
      </c>
      <c r="C11" s="444"/>
      <c r="D11" s="443">
        <v>625546012.39999998</v>
      </c>
      <c r="E11" s="75">
        <f>VLOOKUP(B11,Справочник!$A$2:$C$415,3,FALSE)</f>
        <v>0</v>
      </c>
      <c r="G11" s="297" t="str">
        <f t="shared" ref="G11:G51" si="1">G10</f>
        <v>"Penson Group"</v>
      </c>
      <c r="H11" s="488">
        <v>6000</v>
      </c>
      <c r="I11" s="444"/>
      <c r="J11" s="443">
        <v>842225060.60000002</v>
      </c>
      <c r="K11" s="75">
        <f>VLOOKUP(H11,Справочник!$A$2:$C$415,3,FALSE)</f>
        <v>0</v>
      </c>
    </row>
    <row r="12" spans="1:11">
      <c r="A12" s="297" t="str">
        <f t="shared" si="0"/>
        <v>"Penson Group"</v>
      </c>
      <c r="B12" s="488">
        <v>6010</v>
      </c>
      <c r="C12" s="444"/>
      <c r="D12" s="443">
        <v>625363845</v>
      </c>
      <c r="E12" s="75" t="str">
        <f>VLOOKUP(B12,Справочник!$A$2:$C$415,3,FALSE)</f>
        <v>Выручка</v>
      </c>
      <c r="G12" s="297" t="str">
        <f t="shared" si="1"/>
        <v>"Penson Group"</v>
      </c>
      <c r="H12" s="488">
        <v>6010</v>
      </c>
      <c r="I12" s="444"/>
      <c r="J12" s="443">
        <v>840714414.60000002</v>
      </c>
      <c r="K12" s="75" t="str">
        <f>VLOOKUP(H12,Справочник!$A$2:$C$415,3,FALSE)</f>
        <v>Выручка</v>
      </c>
    </row>
    <row r="13" spans="1:11">
      <c r="A13" s="297" t="str">
        <f t="shared" si="0"/>
        <v>"Penson Group"</v>
      </c>
      <c r="B13" s="488">
        <v>6011</v>
      </c>
      <c r="C13" s="444"/>
      <c r="D13" s="443">
        <v>182167.4</v>
      </c>
      <c r="E13" s="75" t="str">
        <f>VLOOKUP(B13,Справочник!$A$2:$C$415,3,FALSE)</f>
        <v>Выручка</v>
      </c>
      <c r="G13" s="297" t="str">
        <f t="shared" si="1"/>
        <v>"Penson Group"</v>
      </c>
      <c r="H13" s="488">
        <v>6011</v>
      </c>
      <c r="I13" s="444"/>
      <c r="J13" s="443">
        <v>1510646</v>
      </c>
      <c r="K13" s="75" t="str">
        <f>VLOOKUP(H13,Справочник!$A$2:$C$415,3,FALSE)</f>
        <v>Выручка</v>
      </c>
    </row>
    <row r="14" spans="1:11">
      <c r="A14" s="297" t="str">
        <f t="shared" si="0"/>
        <v>"Penson Group"</v>
      </c>
      <c r="B14" s="488">
        <v>6100</v>
      </c>
      <c r="C14" s="444"/>
      <c r="D14" s="443">
        <v>1382690.63</v>
      </c>
      <c r="E14" s="75">
        <f>VLOOKUP(B14,Справочник!$A$2:$C$415,3,FALSE)</f>
        <v>0</v>
      </c>
      <c r="G14" s="297" t="str">
        <f t="shared" si="1"/>
        <v>"Penson Group"</v>
      </c>
      <c r="H14" s="488">
        <v>6100</v>
      </c>
      <c r="I14" s="444"/>
      <c r="J14" s="443">
        <v>9034.5400000000009</v>
      </c>
      <c r="K14" s="75">
        <f>VLOOKUP(H14,Справочник!$A$2:$C$415,3,FALSE)</f>
        <v>0</v>
      </c>
    </row>
    <row r="15" spans="1:11">
      <c r="A15" s="297" t="str">
        <f t="shared" si="0"/>
        <v>"Penson Group"</v>
      </c>
      <c r="B15" s="488">
        <v>6110</v>
      </c>
      <c r="C15" s="444"/>
      <c r="D15" s="443">
        <v>1382690.63</v>
      </c>
      <c r="E15" s="75" t="str">
        <f>VLOOKUP(B15,Справочник!$A$2:$C$415,3,FALSE)</f>
        <v>Доходы по финансированию</v>
      </c>
      <c r="G15" s="297" t="str">
        <f t="shared" si="1"/>
        <v>"Penson Group"</v>
      </c>
      <c r="H15" s="488">
        <v>6110</v>
      </c>
      <c r="I15" s="444"/>
      <c r="J15" s="456">
        <v>294.14</v>
      </c>
      <c r="K15" s="75" t="str">
        <f>VLOOKUP(H15,Справочник!$A$2:$C$415,3,FALSE)</f>
        <v>Доходы по финансированию</v>
      </c>
    </row>
    <row r="16" spans="1:11">
      <c r="A16" s="297" t="str">
        <f t="shared" si="0"/>
        <v>"Penson Group"</v>
      </c>
      <c r="B16" s="488">
        <v>6200</v>
      </c>
      <c r="C16" s="444"/>
      <c r="D16" s="443">
        <v>8490306.6400000006</v>
      </c>
      <c r="E16" s="75">
        <f>VLOOKUP(B16,Справочник!$A$2:$C$415,3,FALSE)</f>
        <v>0</v>
      </c>
      <c r="G16" s="297" t="str">
        <f t="shared" si="1"/>
        <v>"Penson Group"</v>
      </c>
      <c r="H16" s="488">
        <v>6120</v>
      </c>
      <c r="I16" s="444"/>
      <c r="J16" s="443">
        <v>8740.4</v>
      </c>
      <c r="K16" s="75" t="str">
        <f>VLOOKUP(H16,Справочник!$A$2:$C$415,3,FALSE)</f>
        <v>Доходы по финансированию</v>
      </c>
    </row>
    <row r="17" spans="1:11">
      <c r="A17" s="297" t="str">
        <f t="shared" si="0"/>
        <v>"Penson Group"</v>
      </c>
      <c r="B17" s="488">
        <v>6210</v>
      </c>
      <c r="C17" s="444"/>
      <c r="D17" s="443">
        <v>6935000</v>
      </c>
      <c r="E17" s="75" t="str">
        <f>VLOOKUP(B17,Справочник!$A$2:$C$415,3,FALSE)</f>
        <v>Доходы от выбытия активов</v>
      </c>
      <c r="G17" s="297" t="str">
        <f t="shared" si="1"/>
        <v>"Penson Group"</v>
      </c>
      <c r="H17" s="488">
        <v>6200</v>
      </c>
      <c r="I17" s="444"/>
      <c r="J17" s="443">
        <v>2724618.18</v>
      </c>
      <c r="K17" s="75">
        <f>VLOOKUP(H17,Справочник!$A$2:$C$415,3,FALSE)</f>
        <v>0</v>
      </c>
    </row>
    <row r="18" spans="1:11">
      <c r="A18" s="297" t="str">
        <f t="shared" si="0"/>
        <v>"Penson Group"</v>
      </c>
      <c r="B18" s="488">
        <v>6250</v>
      </c>
      <c r="C18" s="444"/>
      <c r="D18" s="443">
        <v>1438306.64</v>
      </c>
      <c r="E18" s="75" t="str">
        <f>VLOOKUP(B18,Справочник!$A$2:$C$415,3,FALSE)</f>
        <v>Доходы от курсовой разницы</v>
      </c>
      <c r="G18" s="297" t="str">
        <f t="shared" si="1"/>
        <v>"Penson Group"</v>
      </c>
      <c r="H18" s="488">
        <v>6210</v>
      </c>
      <c r="I18" s="444"/>
      <c r="J18" s="443">
        <v>2200000</v>
      </c>
      <c r="K18" s="75" t="str">
        <f>VLOOKUP(H18,Справочник!$A$2:$C$415,3,FALSE)</f>
        <v>Доходы от выбытия активов</v>
      </c>
    </row>
    <row r="19" spans="1:11">
      <c r="A19" s="297" t="str">
        <f t="shared" si="0"/>
        <v>"Penson Group"</v>
      </c>
      <c r="B19" s="488">
        <v>6260</v>
      </c>
      <c r="C19" s="444"/>
      <c r="D19" s="443">
        <v>117000</v>
      </c>
      <c r="E19" s="75" t="str">
        <f>VLOOKUP(B19,Справочник!$A$2:$C$415,3,FALSE)</f>
        <v>Доходы от операционной аренды</v>
      </c>
      <c r="G19" s="297" t="str">
        <f t="shared" si="1"/>
        <v>"Penson Group"</v>
      </c>
      <c r="H19" s="488">
        <v>6250</v>
      </c>
      <c r="I19" s="444"/>
      <c r="J19" s="443">
        <v>323560.05</v>
      </c>
      <c r="K19" s="75" t="str">
        <f>VLOOKUP(H19,Справочник!$A$2:$C$415,3,FALSE)</f>
        <v>Доходы от курсовой разницы</v>
      </c>
    </row>
    <row r="20" spans="1:11">
      <c r="A20" s="297" t="str">
        <f t="shared" si="0"/>
        <v>"Penson Group"</v>
      </c>
      <c r="B20" s="488">
        <v>7000</v>
      </c>
      <c r="C20" s="443">
        <v>122669817.19</v>
      </c>
      <c r="D20" s="444"/>
      <c r="E20" s="75">
        <f>VLOOKUP(B20,Справочник!$A$2:$C$415,3,FALSE)</f>
        <v>0</v>
      </c>
      <c r="G20" s="297" t="str">
        <f t="shared" si="1"/>
        <v>"Penson Group"</v>
      </c>
      <c r="H20" s="488">
        <v>6260</v>
      </c>
      <c r="I20" s="444"/>
      <c r="J20" s="443">
        <v>156001</v>
      </c>
      <c r="K20" s="75" t="str">
        <f>VLOOKUP(H20,Справочник!$A$2:$C$415,3,FALSE)</f>
        <v>Доходы от операционной аренды</v>
      </c>
    </row>
    <row r="21" spans="1:11">
      <c r="A21" s="297" t="str">
        <f t="shared" si="0"/>
        <v>"Penson Group"</v>
      </c>
      <c r="B21" s="488">
        <v>7010</v>
      </c>
      <c r="C21" s="443">
        <v>4081029.95</v>
      </c>
      <c r="D21" s="444"/>
      <c r="E21" s="75" t="str">
        <f>VLOOKUP(B21,Справочник!$A$2:$C$415,3,FALSE)</f>
        <v>Себестоимость реализованных товаров и услуг</v>
      </c>
      <c r="G21" s="297" t="str">
        <f t="shared" si="1"/>
        <v>"Penson Group"</v>
      </c>
      <c r="H21" s="488">
        <v>6280</v>
      </c>
      <c r="I21" s="444"/>
      <c r="J21" s="443">
        <v>45057.13</v>
      </c>
      <c r="K21" s="75" t="str">
        <f>VLOOKUP(H21,Справочник!$A$2:$C$415,3,FALSE)</f>
        <v>Прочие доходы</v>
      </c>
    </row>
    <row r="22" spans="1:11">
      <c r="A22" s="297" t="str">
        <f t="shared" si="0"/>
        <v>"Penson Group"</v>
      </c>
      <c r="B22" s="488">
        <v>7011</v>
      </c>
      <c r="C22" s="443">
        <v>118588787.23999999</v>
      </c>
      <c r="D22" s="444"/>
      <c r="E22" s="75" t="str">
        <f>VLOOKUP(B22,Справочник!$A$2:$C$415,3,FALSE)</f>
        <v>Себестоимость реализованных товаров и услуг</v>
      </c>
      <c r="G22" s="297" t="str">
        <f t="shared" si="1"/>
        <v>"Penson Group"</v>
      </c>
      <c r="H22" s="488">
        <v>7000</v>
      </c>
      <c r="I22" s="443">
        <v>132477446.39</v>
      </c>
      <c r="J22" s="444"/>
      <c r="K22" s="75">
        <f>VLOOKUP(H22,Справочник!$A$2:$C$415,3,FALSE)</f>
        <v>0</v>
      </c>
    </row>
    <row r="23" spans="1:11">
      <c r="A23" s="297" t="str">
        <f t="shared" si="0"/>
        <v>"Penson Group"</v>
      </c>
      <c r="B23" s="488">
        <v>7100</v>
      </c>
      <c r="C23" s="443">
        <v>379059410.63999999</v>
      </c>
      <c r="D23" s="444"/>
      <c r="E23" s="75"/>
      <c r="G23" s="297" t="str">
        <f t="shared" si="1"/>
        <v>"Penson Group"</v>
      </c>
      <c r="H23" s="488">
        <v>7010</v>
      </c>
      <c r="I23" s="443">
        <v>141025</v>
      </c>
      <c r="J23" s="444"/>
      <c r="K23" s="75" t="str">
        <f>VLOOKUP(H23,Справочник!$A$2:$C$415,3,FALSE)</f>
        <v>Себестоимость реализованных товаров и услуг</v>
      </c>
    </row>
    <row r="24" spans="1:11">
      <c r="A24" s="297" t="str">
        <f t="shared" si="0"/>
        <v>"Penson Group"</v>
      </c>
      <c r="B24" s="488">
        <v>7110</v>
      </c>
      <c r="C24" s="443">
        <v>379008106.17000002</v>
      </c>
      <c r="D24" s="444"/>
      <c r="E24" s="75" t="str">
        <f>VLOOKUP(B24,Справочник!$A$2:$C$415,3,FALSE)</f>
        <v>Расходы по реализации</v>
      </c>
      <c r="G24" s="297" t="str">
        <f t="shared" si="1"/>
        <v>"Penson Group"</v>
      </c>
      <c r="H24" s="488">
        <v>7011</v>
      </c>
      <c r="I24" s="443">
        <v>132336421.39</v>
      </c>
      <c r="J24" s="444"/>
      <c r="K24" s="75" t="str">
        <f>VLOOKUP(H24,Справочник!$A$2:$C$415,3,FALSE)</f>
        <v>Себестоимость реализованных товаров и услуг</v>
      </c>
    </row>
    <row r="25" spans="1:11">
      <c r="A25" s="297" t="str">
        <f t="shared" si="0"/>
        <v>"Penson Group"</v>
      </c>
      <c r="B25" s="488">
        <v>7111</v>
      </c>
      <c r="C25" s="443">
        <v>51304.47</v>
      </c>
      <c r="D25" s="444"/>
      <c r="E25" s="75" t="str">
        <f>VLOOKUP(B25,Справочник!$A$2:$C$415,3,FALSE)</f>
        <v>Расходы по реализации</v>
      </c>
      <c r="G25" s="297" t="str">
        <f t="shared" si="1"/>
        <v>"Penson Group"</v>
      </c>
      <c r="H25" s="488">
        <v>7100</v>
      </c>
      <c r="I25" s="443">
        <v>457719570.19999999</v>
      </c>
      <c r="J25" s="444"/>
      <c r="K25" s="75"/>
    </row>
    <row r="26" spans="1:11">
      <c r="A26" s="297" t="str">
        <f t="shared" si="0"/>
        <v>"Penson Group"</v>
      </c>
      <c r="B26" s="488">
        <v>7200</v>
      </c>
      <c r="C26" s="443">
        <v>97856817.790000007</v>
      </c>
      <c r="D26" s="444"/>
      <c r="E26" s="75">
        <f>VLOOKUP(B26,Справочник!$A$2:$C$415,3,FALSE)</f>
        <v>0</v>
      </c>
      <c r="G26" s="297" t="str">
        <f t="shared" si="1"/>
        <v>"Penson Group"</v>
      </c>
      <c r="H26" s="488">
        <v>7110</v>
      </c>
      <c r="I26" s="443">
        <v>457651232.72000003</v>
      </c>
      <c r="J26" s="444"/>
      <c r="K26" s="75" t="str">
        <f>VLOOKUP(H26,Справочник!$A$2:$C$415,3,FALSE)</f>
        <v>Расходы по реализации</v>
      </c>
    </row>
    <row r="27" spans="1:11">
      <c r="A27" s="297" t="str">
        <f t="shared" si="0"/>
        <v>"Penson Group"</v>
      </c>
      <c r="B27" s="488">
        <v>7210</v>
      </c>
      <c r="C27" s="443">
        <v>97806817.790000007</v>
      </c>
      <c r="D27" s="444"/>
      <c r="E27" s="75" t="str">
        <f>VLOOKUP(B27,Справочник!$A$2:$C$415,3,FALSE)</f>
        <v>Административные расходы</v>
      </c>
      <c r="G27" s="297" t="str">
        <f t="shared" si="1"/>
        <v>"Penson Group"</v>
      </c>
      <c r="H27" s="488">
        <v>7111</v>
      </c>
      <c r="I27" s="443">
        <v>68337.48</v>
      </c>
      <c r="J27" s="444"/>
      <c r="K27" s="75" t="str">
        <f>VLOOKUP(H27,Справочник!$A$2:$C$415,3,FALSE)</f>
        <v>Расходы по реализации</v>
      </c>
    </row>
    <row r="28" spans="1:11">
      <c r="A28" s="297" t="str">
        <f t="shared" si="0"/>
        <v>"Penson Group"</v>
      </c>
      <c r="B28" s="488">
        <v>7211</v>
      </c>
      <c r="C28" s="443">
        <v>50000</v>
      </c>
      <c r="D28" s="444"/>
      <c r="E28" s="75" t="str">
        <f>VLOOKUP(B28,Справочник!$A$2:$C$415,3,FALSE)</f>
        <v>Административные расходы</v>
      </c>
      <c r="G28" s="297" t="str">
        <f t="shared" si="1"/>
        <v>"Penson Group"</v>
      </c>
      <c r="H28" s="488">
        <v>7200</v>
      </c>
      <c r="I28" s="443">
        <v>134609290.22999999</v>
      </c>
      <c r="J28" s="444"/>
      <c r="K28" s="75">
        <f>VLOOKUP(H28,Справочник!$A$2:$C$415,3,FALSE)</f>
        <v>0</v>
      </c>
    </row>
    <row r="29" spans="1:11">
      <c r="A29" s="297" t="str">
        <f t="shared" si="0"/>
        <v>"Penson Group"</v>
      </c>
      <c r="B29" s="488">
        <v>7300</v>
      </c>
      <c r="C29" s="443">
        <v>1221215.7</v>
      </c>
      <c r="D29" s="444"/>
      <c r="E29" s="75">
        <f>VLOOKUP(B29,Справочник!$A$2:$C$415,3,FALSE)</f>
        <v>0</v>
      </c>
      <c r="G29" s="297" t="str">
        <f t="shared" si="1"/>
        <v>"Penson Group"</v>
      </c>
      <c r="H29" s="488">
        <v>7210</v>
      </c>
      <c r="I29" s="443">
        <v>134609290.22999999</v>
      </c>
      <c r="J29" s="444"/>
      <c r="K29" s="75" t="str">
        <f>VLOOKUP(H29,Справочник!$A$2:$C$415,3,FALSE)</f>
        <v>Административные расходы</v>
      </c>
    </row>
    <row r="30" spans="1:11">
      <c r="A30" s="297" t="str">
        <f t="shared" si="0"/>
        <v>"Penson Group"</v>
      </c>
      <c r="B30" s="488">
        <v>7310</v>
      </c>
      <c r="C30" s="443">
        <v>1221215.7</v>
      </c>
      <c r="D30" s="444"/>
      <c r="E30" s="75" t="str">
        <f>VLOOKUP(B30,Справочник!$A$2:$C$415,3,FALSE)</f>
        <v>Расходы по финансированию</v>
      </c>
      <c r="G30" s="297" t="str">
        <f t="shared" si="1"/>
        <v>"Penson Group"</v>
      </c>
      <c r="H30" s="488">
        <v>7300</v>
      </c>
      <c r="I30" s="443">
        <v>2801451.86</v>
      </c>
      <c r="J30" s="444"/>
      <c r="K30" s="75">
        <f>VLOOKUP(H30,Справочник!$A$2:$C$415,3,FALSE)</f>
        <v>0</v>
      </c>
    </row>
    <row r="31" spans="1:11">
      <c r="A31" s="297" t="str">
        <f t="shared" si="0"/>
        <v>"Penson Group"</v>
      </c>
      <c r="B31" s="488">
        <v>7400</v>
      </c>
      <c r="C31" s="443">
        <v>5164627.55</v>
      </c>
      <c r="D31" s="444"/>
      <c r="E31" s="75">
        <f>VLOOKUP(B31,Справочник!$A$2:$C$415,3,FALSE)</f>
        <v>0</v>
      </c>
      <c r="G31" s="297" t="str">
        <f t="shared" si="1"/>
        <v>"Penson Group"</v>
      </c>
      <c r="H31" s="488">
        <v>7310</v>
      </c>
      <c r="I31" s="443">
        <v>2801451.86</v>
      </c>
      <c r="J31" s="444"/>
      <c r="K31" s="75" t="str">
        <f>VLOOKUP(H31,Справочник!$A$2:$C$415,3,FALSE)</f>
        <v>Расходы по финансированию</v>
      </c>
    </row>
    <row r="32" spans="1:11">
      <c r="A32" s="297" t="str">
        <f t="shared" si="0"/>
        <v>"Penson Group"</v>
      </c>
      <c r="B32" s="488">
        <v>7410</v>
      </c>
      <c r="C32" s="443">
        <v>3704067.81</v>
      </c>
      <c r="D32" s="444"/>
      <c r="E32" s="75" t="str">
        <f>VLOOKUP(B32,Справочник!$A$2:$C$415,3,FALSE)</f>
        <v>Расходы по выбытию активов</v>
      </c>
      <c r="G32" s="297" t="str">
        <f t="shared" si="1"/>
        <v>"Penson Group"</v>
      </c>
      <c r="H32" s="488">
        <v>7400</v>
      </c>
      <c r="I32" s="443">
        <v>2535303.4300000002</v>
      </c>
      <c r="J32" s="444"/>
      <c r="K32" s="75">
        <f>VLOOKUP(H32,Справочник!$A$2:$C$415,3,FALSE)</f>
        <v>0</v>
      </c>
    </row>
    <row r="33" spans="1:11">
      <c r="A33" s="297" t="str">
        <f t="shared" si="0"/>
        <v>"Penson Group"</v>
      </c>
      <c r="B33" s="488">
        <v>7430</v>
      </c>
      <c r="C33" s="443">
        <v>1226051.3999999999</v>
      </c>
      <c r="D33" s="444"/>
      <c r="E33" s="75" t="str">
        <f>VLOOKUP(B33,Справочник!$A$2:$C$415,3,FALSE)</f>
        <v>Расходы по курсовой разнице</v>
      </c>
      <c r="G33" s="297" t="str">
        <f t="shared" si="1"/>
        <v>"Penson Group"</v>
      </c>
      <c r="H33" s="488">
        <v>7410</v>
      </c>
      <c r="I33" s="443">
        <v>2210000</v>
      </c>
      <c r="J33" s="444"/>
      <c r="K33" s="75" t="str">
        <f>VLOOKUP(H33,Справочник!$A$2:$C$415,3,FALSE)</f>
        <v>Расходы по выбытию активов</v>
      </c>
    </row>
    <row r="34" spans="1:11">
      <c r="A34" s="297" t="str">
        <f t="shared" si="0"/>
        <v>"Penson Group"</v>
      </c>
      <c r="B34" s="488">
        <v>7470</v>
      </c>
      <c r="C34" s="443">
        <v>234508.34</v>
      </c>
      <c r="D34" s="444"/>
      <c r="E34" s="75" t="str">
        <f>VLOOKUP(B34,Справочник!$A$2:$C$415,3,FALSE)</f>
        <v>Прочие расходы</v>
      </c>
      <c r="G34" s="297" t="str">
        <f t="shared" si="1"/>
        <v>"Penson Group"</v>
      </c>
      <c r="H34" s="488">
        <v>7430</v>
      </c>
      <c r="I34" s="443">
        <v>200276.92</v>
      </c>
      <c r="J34" s="444"/>
      <c r="K34" s="75" t="str">
        <f>VLOOKUP(H34,Справочник!$A$2:$C$415,3,FALSE)</f>
        <v>Расходы по курсовой разнице</v>
      </c>
    </row>
    <row r="35" spans="1:11">
      <c r="A35" s="297" t="str">
        <f t="shared" si="0"/>
        <v>"Penson Group"</v>
      </c>
      <c r="B35" s="489" t="s">
        <v>608</v>
      </c>
      <c r="C35" s="490">
        <v>635419009.66999996</v>
      </c>
      <c r="D35" s="490">
        <v>635419009.66999996</v>
      </c>
      <c r="E35" s="75" t="e">
        <f>VLOOKUP(B35,Справочник!$A$2:$C$415,3,FALSE)</f>
        <v>#N/A</v>
      </c>
      <c r="G35" s="297" t="str">
        <f t="shared" si="1"/>
        <v>"Penson Group"</v>
      </c>
      <c r="H35" s="488">
        <v>7470</v>
      </c>
      <c r="I35" s="443">
        <v>125026.51</v>
      </c>
      <c r="J35" s="444"/>
      <c r="K35" s="75" t="str">
        <f>VLOOKUP(H35,Справочник!$A$2:$C$415,3,FALSE)</f>
        <v>Прочие расходы</v>
      </c>
    </row>
    <row r="36" spans="1:11" ht="24">
      <c r="A36" s="297" t="str">
        <f t="shared" si="0"/>
        <v>"Penson Group"</v>
      </c>
      <c r="B36" s="489" t="s">
        <v>698</v>
      </c>
      <c r="C36" s="491"/>
      <c r="D36" s="491"/>
      <c r="E36" s="75" t="e">
        <f>VLOOKUP(B36,Справочник!$A$2:$C$415,3,FALSE)</f>
        <v>#N/A</v>
      </c>
      <c r="G36" s="297" t="str">
        <f t="shared" si="1"/>
        <v>"Penson Group"</v>
      </c>
      <c r="H36" s="489" t="s">
        <v>608</v>
      </c>
      <c r="I36" s="490">
        <v>844958713.32000005</v>
      </c>
      <c r="J36" s="490">
        <v>844958713.32000005</v>
      </c>
      <c r="K36" s="75" t="e">
        <f>VLOOKUP(H36,Справочник!$A$2:$C$415,3,FALSE)</f>
        <v>#N/A</v>
      </c>
    </row>
    <row r="37" spans="1:11">
      <c r="A37" s="297" t="str">
        <f t="shared" si="0"/>
        <v>"Penson Group"</v>
      </c>
      <c r="B37" s="377"/>
      <c r="C37" s="378"/>
      <c r="D37" s="379"/>
      <c r="E37" s="75">
        <f>VLOOKUP(B37,Справочник!$A$2:$C$415,3,FALSE)</f>
        <v>0</v>
      </c>
      <c r="G37" s="297" t="str">
        <f t="shared" si="1"/>
        <v>"Penson Group"</v>
      </c>
      <c r="H37" s="377"/>
      <c r="I37" s="378"/>
      <c r="J37" s="379"/>
      <c r="K37" s="75">
        <f>VLOOKUP(H37,Справочник!$A$2:$C$415,3,FALSE)</f>
        <v>0</v>
      </c>
    </row>
    <row r="38" spans="1:11">
      <c r="A38" s="297"/>
      <c r="B38" s="377"/>
      <c r="C38" s="378"/>
      <c r="D38" s="379"/>
      <c r="E38" s="75">
        <f>VLOOKUP(B38,Справочник!$A$2:$C$415,3,FALSE)</f>
        <v>0</v>
      </c>
      <c r="G38" s="297" t="str">
        <f t="shared" si="1"/>
        <v>"Penson Group"</v>
      </c>
      <c r="H38" s="377"/>
      <c r="I38" s="378"/>
      <c r="J38" s="379"/>
      <c r="K38" s="75">
        <f>VLOOKUP(H38,Справочник!$A$2:$C$415,3,FALSE)</f>
        <v>0</v>
      </c>
    </row>
    <row r="39" spans="1:11">
      <c r="A39" s="297">
        <f t="shared" si="0"/>
        <v>0</v>
      </c>
      <c r="B39" s="377"/>
      <c r="C39" s="378"/>
      <c r="D39" s="379"/>
      <c r="E39" s="75">
        <f>VLOOKUP(B39,Справочник!$A$2:$C$415,3,FALSE)</f>
        <v>0</v>
      </c>
      <c r="G39" s="297" t="str">
        <f t="shared" si="1"/>
        <v>"Penson Group"</v>
      </c>
      <c r="H39" s="377"/>
      <c r="I39" s="378"/>
      <c r="J39" s="379"/>
      <c r="K39" s="75">
        <f>VLOOKUP(H39,Справочник!$A$2:$C$415,3,FALSE)</f>
        <v>0</v>
      </c>
    </row>
    <row r="40" spans="1:11">
      <c r="A40" s="297"/>
      <c r="B40" s="377"/>
      <c r="C40" s="378"/>
      <c r="D40" s="379"/>
      <c r="E40" s="75">
        <f>VLOOKUP(B40,Справочник!$A$2:$C$415,3,FALSE)</f>
        <v>0</v>
      </c>
      <c r="G40" s="297" t="str">
        <f t="shared" si="1"/>
        <v>"Penson Group"</v>
      </c>
      <c r="H40" s="377"/>
      <c r="I40" s="378"/>
      <c r="J40" s="379"/>
      <c r="K40" s="75">
        <f>VLOOKUP(H40,Справочник!$A$2:$C$415,3,FALSE)</f>
        <v>0</v>
      </c>
    </row>
    <row r="41" spans="1:11">
      <c r="A41" s="297"/>
      <c r="B41" s="377"/>
      <c r="C41" s="378"/>
      <c r="D41" s="379"/>
      <c r="E41" s="75">
        <f>VLOOKUP(B41,Справочник!$A$2:$C$415,3,FALSE)</f>
        <v>0</v>
      </c>
      <c r="G41" s="297" t="str">
        <f t="shared" si="1"/>
        <v>"Penson Group"</v>
      </c>
      <c r="H41" s="377"/>
      <c r="I41" s="378"/>
      <c r="J41" s="379"/>
      <c r="K41" s="75">
        <f>VLOOKUP(H41,Справочник!$A$2:$C$415,3,FALSE)</f>
        <v>0</v>
      </c>
    </row>
    <row r="42" spans="1:11">
      <c r="A42" s="297"/>
      <c r="B42" s="377"/>
      <c r="C42" s="378"/>
      <c r="D42" s="379"/>
      <c r="E42" s="75">
        <f>VLOOKUP(B42,Справочник!$A$2:$C$415,3,FALSE)</f>
        <v>0</v>
      </c>
      <c r="G42" s="297" t="str">
        <f t="shared" si="1"/>
        <v>"Penson Group"</v>
      </c>
      <c r="H42" s="377"/>
      <c r="I42" s="378"/>
      <c r="J42" s="379"/>
      <c r="K42" s="75">
        <f>VLOOKUP(H42,Справочник!$A$2:$C$415,3,FALSE)</f>
        <v>0</v>
      </c>
    </row>
    <row r="43" spans="1:11">
      <c r="A43" s="297">
        <f t="shared" si="0"/>
        <v>0</v>
      </c>
      <c r="B43" s="377"/>
      <c r="C43" s="378"/>
      <c r="D43" s="379"/>
      <c r="E43" s="75">
        <f>VLOOKUP(B43,Справочник!$A$2:$C$415,3,FALSE)</f>
        <v>0</v>
      </c>
      <c r="G43" s="297" t="str">
        <f t="shared" si="1"/>
        <v>"Penson Group"</v>
      </c>
      <c r="H43" s="377"/>
      <c r="I43" s="378"/>
      <c r="J43" s="379"/>
      <c r="K43" s="75">
        <f>VLOOKUP(H43,Справочник!$A$2:$C$415,3,FALSE)</f>
        <v>0</v>
      </c>
    </row>
    <row r="44" spans="1:11">
      <c r="A44" s="297"/>
      <c r="B44" s="377"/>
      <c r="C44" s="378"/>
      <c r="D44" s="379"/>
      <c r="E44" s="75">
        <f>VLOOKUP(B44,Справочник!$A$2:$C$415,3,FALSE)</f>
        <v>0</v>
      </c>
      <c r="G44" s="297" t="str">
        <f t="shared" si="1"/>
        <v>"Penson Group"</v>
      </c>
      <c r="H44" s="377"/>
      <c r="I44" s="378"/>
      <c r="J44" s="379"/>
      <c r="K44" s="75">
        <f>VLOOKUP(H44,Справочник!$A$2:$C$415,3,FALSE)</f>
        <v>0</v>
      </c>
    </row>
    <row r="45" spans="1:11">
      <c r="A45" s="297"/>
      <c r="B45" s="377"/>
      <c r="C45" s="378"/>
      <c r="D45" s="379"/>
      <c r="E45" s="75">
        <f>VLOOKUP(B45,Справочник!$A$2:$C$415,3,FALSE)</f>
        <v>0</v>
      </c>
      <c r="G45" s="297" t="str">
        <f t="shared" si="1"/>
        <v>"Penson Group"</v>
      </c>
      <c r="H45" s="377"/>
      <c r="I45" s="378"/>
      <c r="J45" s="379"/>
      <c r="K45" s="75">
        <f>VLOOKUP(H45,Справочник!$A$2:$C$415,3,FALSE)</f>
        <v>0</v>
      </c>
    </row>
    <row r="46" spans="1:11">
      <c r="A46" s="297"/>
      <c r="B46" s="377"/>
      <c r="C46" s="378"/>
      <c r="D46" s="379"/>
      <c r="E46" s="75">
        <f>VLOOKUP(B46,Справочник!$A$2:$C$415,3,FALSE)</f>
        <v>0</v>
      </c>
      <c r="G46" s="297" t="str">
        <f t="shared" si="1"/>
        <v>"Penson Group"</v>
      </c>
      <c r="H46" s="377"/>
      <c r="I46" s="378"/>
      <c r="J46" s="379"/>
      <c r="K46" s="75">
        <f>VLOOKUP(H46,Справочник!$A$2:$C$415,3,FALSE)</f>
        <v>0</v>
      </c>
    </row>
    <row r="47" spans="1:11">
      <c r="A47" s="297"/>
      <c r="B47" s="377"/>
      <c r="C47" s="380"/>
      <c r="D47" s="379"/>
      <c r="E47" s="75">
        <f>VLOOKUP(B47,Справочник!$A$2:$C$415,3,FALSE)</f>
        <v>0</v>
      </c>
      <c r="G47" s="297" t="str">
        <f t="shared" si="1"/>
        <v>"Penson Group"</v>
      </c>
      <c r="H47" s="377"/>
      <c r="I47" s="378"/>
      <c r="J47" s="379"/>
      <c r="K47" s="75">
        <f>VLOOKUP(H47,Справочник!$A$2:$C$415,3,FALSE)</f>
        <v>0</v>
      </c>
    </row>
    <row r="48" spans="1:11">
      <c r="A48" s="297"/>
      <c r="B48" s="377"/>
      <c r="C48" s="378"/>
      <c r="D48" s="379"/>
      <c r="E48" s="75">
        <f>VLOOKUP(B48,Справочник!$A$2:$C$415,3,FALSE)</f>
        <v>0</v>
      </c>
      <c r="G48" s="297" t="str">
        <f t="shared" si="1"/>
        <v>"Penson Group"</v>
      </c>
      <c r="H48" s="377"/>
      <c r="I48" s="378"/>
      <c r="J48" s="379"/>
      <c r="K48" s="75">
        <f>VLOOKUP(H48,Справочник!$A$2:$C$415,3,FALSE)</f>
        <v>0</v>
      </c>
    </row>
    <row r="49" spans="1:11">
      <c r="A49" s="297">
        <f t="shared" si="0"/>
        <v>0</v>
      </c>
      <c r="B49" s="377"/>
      <c r="C49" s="378"/>
      <c r="D49" s="379"/>
      <c r="E49" s="75">
        <f>VLOOKUP(B49,Справочник!$A$2:$C$415,3,FALSE)</f>
        <v>0</v>
      </c>
      <c r="G49" s="297" t="str">
        <f t="shared" si="1"/>
        <v>"Penson Group"</v>
      </c>
      <c r="H49" s="377"/>
      <c r="I49" s="378"/>
      <c r="J49" s="379"/>
      <c r="K49" s="75">
        <f>VLOOKUP(H49,Справочник!$A$2:$C$415,3,FALSE)</f>
        <v>0</v>
      </c>
    </row>
    <row r="50" spans="1:11">
      <c r="A50" s="297"/>
      <c r="B50" s="377"/>
      <c r="C50" s="378"/>
      <c r="D50" s="379"/>
      <c r="E50" s="75">
        <f>VLOOKUP(B50,Справочник!$A$2:$C$415,3,FALSE)</f>
        <v>0</v>
      </c>
      <c r="G50" s="297" t="str">
        <f t="shared" si="1"/>
        <v>"Penson Group"</v>
      </c>
      <c r="H50" s="298"/>
      <c r="I50" s="299"/>
      <c r="J50" s="300"/>
      <c r="K50" s="75">
        <f>VLOOKUP(H50,Справочник!$A$2:$C$415,3,FALSE)</f>
        <v>0</v>
      </c>
    </row>
    <row r="51" spans="1:11">
      <c r="A51" s="297">
        <f t="shared" si="0"/>
        <v>0</v>
      </c>
      <c r="B51" s="298"/>
      <c r="C51" s="299"/>
      <c r="D51" s="300"/>
      <c r="E51" s="75">
        <f>VLOOKUP(B51,Справочник!$A$2:$C$415,3,FALSE)</f>
        <v>0</v>
      </c>
      <c r="G51" s="297" t="str">
        <f t="shared" si="1"/>
        <v>"Penson Group"</v>
      </c>
      <c r="H51" s="298"/>
      <c r="I51" s="299"/>
      <c r="J51" s="300"/>
      <c r="K51" s="75">
        <f>VLOOKUP(H51,Справочник!$A$2:$C$415,3,FALSE)</f>
        <v>0</v>
      </c>
    </row>
    <row r="52" spans="1:11">
      <c r="A52" s="297">
        <f>A51</f>
        <v>0</v>
      </c>
      <c r="B52" s="298"/>
      <c r="C52" s="299"/>
      <c r="D52" s="300"/>
      <c r="E52" s="75">
        <f>VLOOKUP(B52,Справочник!$A$2:$C$415,3,FALSE)</f>
        <v>0</v>
      </c>
      <c r="G52" s="297"/>
      <c r="H52" s="302"/>
      <c r="I52" s="303"/>
      <c r="J52" s="345"/>
      <c r="K52" s="75"/>
    </row>
    <row r="53" spans="1:11" ht="15.75" thickBot="1">
      <c r="A53" s="334"/>
      <c r="B53" s="302"/>
      <c r="C53" s="303"/>
      <c r="D53" s="345"/>
      <c r="E53" s="75"/>
      <c r="G53" s="297"/>
      <c r="H53" s="295"/>
      <c r="I53" s="304"/>
      <c r="J53" s="296"/>
      <c r="K53" s="75"/>
    </row>
    <row r="54" spans="1:11" ht="15.75" thickBot="1">
      <c r="A54" s="294"/>
      <c r="B54" s="295"/>
      <c r="C54" s="304"/>
      <c r="D54" s="296"/>
      <c r="G54" s="301"/>
      <c r="H54" s="306"/>
      <c r="I54" s="307"/>
      <c r="J54" s="308"/>
      <c r="K54" s="75"/>
    </row>
    <row r="55" spans="1:11" ht="15.75" thickBot="1">
      <c r="A55" s="305" t="s">
        <v>696</v>
      </c>
      <c r="B55" s="306"/>
      <c r="C55" s="307"/>
      <c r="D55" s="308"/>
      <c r="G55" s="294"/>
      <c r="H55" s="310"/>
      <c r="I55" s="311"/>
      <c r="J55" s="330"/>
      <c r="K55" s="75"/>
    </row>
    <row r="56" spans="1:11" ht="15.75" thickBot="1">
      <c r="A56" s="309"/>
      <c r="B56" s="310"/>
      <c r="C56" s="311"/>
      <c r="D56" s="391"/>
    </row>
  </sheetData>
  <mergeCells count="2">
    <mergeCell ref="G3:I3"/>
    <mergeCell ref="G4:I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6"/>
  <sheetViews>
    <sheetView topLeftCell="B1" workbookViewId="0">
      <selection activeCell="C17" sqref="C17:C18"/>
    </sheetView>
  </sheetViews>
  <sheetFormatPr defaultRowHeight="15"/>
  <cols>
    <col min="1" max="1" width="38.28515625" style="467" bestFit="1" customWidth="1"/>
    <col min="2" max="2" width="9.140625" style="467"/>
    <col min="3" max="4" width="14.85546875" style="467" bestFit="1" customWidth="1"/>
    <col min="5" max="5" width="43.7109375" style="467" bestFit="1" customWidth="1"/>
    <col min="6" max="6" width="9.140625" style="467"/>
    <col min="7" max="7" width="38.28515625" style="467" bestFit="1" customWidth="1"/>
    <col min="8" max="8" width="8.7109375" style="467" customWidth="1"/>
    <col min="9" max="10" width="13.42578125" style="467" bestFit="1" customWidth="1"/>
    <col min="11" max="16384" width="9.140625" style="467"/>
  </cols>
  <sheetData>
    <row r="1" spans="1:11">
      <c r="A1" s="396"/>
      <c r="B1" s="66"/>
      <c r="C1" s="66"/>
      <c r="D1" s="66"/>
      <c r="G1" s="286" t="s">
        <v>605</v>
      </c>
      <c r="H1" s="287"/>
      <c r="I1" s="287"/>
      <c r="J1" s="287"/>
    </row>
    <row r="2" spans="1:11" ht="15.75">
      <c r="A2" s="487" t="s">
        <v>739</v>
      </c>
      <c r="B2" s="287"/>
      <c r="C2" s="287"/>
      <c r="D2" s="66"/>
      <c r="G2" s="487" t="s">
        <v>740</v>
      </c>
      <c r="H2" s="287"/>
      <c r="I2" s="287"/>
      <c r="J2" s="287"/>
    </row>
    <row r="3" spans="1:11">
      <c r="A3" s="66" t="s">
        <v>730</v>
      </c>
      <c r="B3" s="66" t="s">
        <v>731</v>
      </c>
      <c r="C3" s="66"/>
      <c r="D3" s="66"/>
      <c r="G3" s="682" t="s">
        <v>678</v>
      </c>
      <c r="H3" s="682"/>
      <c r="I3" s="682"/>
      <c r="J3" s="287"/>
    </row>
    <row r="4" spans="1:11">
      <c r="A4" s="66" t="s">
        <v>732</v>
      </c>
      <c r="B4" s="66" t="s">
        <v>733</v>
      </c>
      <c r="C4" s="66"/>
      <c r="D4" s="66"/>
      <c r="G4" s="682" t="s">
        <v>359</v>
      </c>
      <c r="H4" s="682"/>
      <c r="I4" s="682"/>
      <c r="J4" s="287"/>
    </row>
    <row r="5" spans="1:11" ht="15.75" thickBot="1">
      <c r="A5" s="287"/>
      <c r="B5" s="287"/>
      <c r="C5" s="287"/>
      <c r="D5" s="287"/>
      <c r="G5" s="287"/>
      <c r="H5" s="287"/>
      <c r="I5" s="287"/>
      <c r="J5" s="287"/>
    </row>
    <row r="6" spans="1:11">
      <c r="A6" s="469" t="s">
        <v>360</v>
      </c>
      <c r="B6" s="289" t="s">
        <v>606</v>
      </c>
      <c r="C6" s="289" t="s">
        <v>650</v>
      </c>
      <c r="D6" s="290" t="s">
        <v>651</v>
      </c>
      <c r="G6" s="288" t="s">
        <v>695</v>
      </c>
      <c r="H6" s="289" t="s">
        <v>606</v>
      </c>
      <c r="I6" s="289" t="s">
        <v>650</v>
      </c>
      <c r="J6" s="290" t="s">
        <v>651</v>
      </c>
    </row>
    <row r="7" spans="1:11" ht="15.75" thickBot="1">
      <c r="A7" s="398">
        <v>5610</v>
      </c>
      <c r="B7" s="468" t="s">
        <v>727</v>
      </c>
      <c r="C7" s="468" t="s">
        <v>364</v>
      </c>
      <c r="D7" s="468" t="s">
        <v>365</v>
      </c>
      <c r="G7" s="291"/>
      <c r="H7" s="292"/>
      <c r="I7" s="292"/>
      <c r="J7" s="293"/>
    </row>
    <row r="8" spans="1:11" ht="36">
      <c r="A8" s="316" t="s">
        <v>751</v>
      </c>
      <c r="B8" s="394" t="s">
        <v>728</v>
      </c>
      <c r="C8" s="395"/>
      <c r="D8" s="395"/>
      <c r="G8" s="316" t="s">
        <v>751</v>
      </c>
      <c r="H8" s="394" t="s">
        <v>728</v>
      </c>
      <c r="I8" s="395"/>
      <c r="J8" s="395"/>
    </row>
    <row r="9" spans="1:11">
      <c r="A9" s="297" t="str">
        <f>A8</f>
        <v>"ВестГлобал"</v>
      </c>
      <c r="B9" s="488">
        <v>5500</v>
      </c>
      <c r="C9" s="451">
        <v>-3839559.04</v>
      </c>
      <c r="D9" s="444"/>
      <c r="E9" s="75">
        <f>VLOOKUP(B9,Справочник!$A$2:$C$415,3,FALSE)</f>
        <v>0</v>
      </c>
      <c r="G9" s="297" t="str">
        <f>G8</f>
        <v>"ВестГлобал"</v>
      </c>
      <c r="H9" s="607">
        <v>5510</v>
      </c>
      <c r="I9" s="610">
        <v>43704541.689999998</v>
      </c>
      <c r="J9" s="611" t="s">
        <v>366</v>
      </c>
      <c r="K9" s="75" t="str">
        <f>VLOOKUP(H9,Справочник!$A$2:$C$415,3,FALSE)</f>
        <v>Нераспределенная прибыль (непокрытый убыток)</v>
      </c>
    </row>
    <row r="10" spans="1:11">
      <c r="A10" s="297" t="str">
        <f>A9</f>
        <v>"ВестГлобал"</v>
      </c>
      <c r="B10" s="488">
        <v>5510</v>
      </c>
      <c r="C10" s="451">
        <v>-3839559.04</v>
      </c>
      <c r="D10" s="444"/>
      <c r="E10" s="75" t="str">
        <f>VLOOKUP(B10,Справочник!$A$2:$C$415,3,FALSE)</f>
        <v>Нераспределенная прибыль (непокрытый убыток)</v>
      </c>
      <c r="G10" s="297" t="str">
        <f>G9</f>
        <v>"ВестГлобал"</v>
      </c>
      <c r="H10" s="607">
        <v>6010</v>
      </c>
      <c r="I10" s="610" t="s">
        <v>366</v>
      </c>
      <c r="J10" s="611">
        <v>234204709.87</v>
      </c>
      <c r="K10" s="75" t="str">
        <f>VLOOKUP(H10,Справочник!$A$2:$C$415,3,FALSE)</f>
        <v>Выручка</v>
      </c>
    </row>
    <row r="11" spans="1:11">
      <c r="A11" s="297" t="str">
        <f t="shared" ref="A11:A51" si="0">A10</f>
        <v>"ВестГлобал"</v>
      </c>
      <c r="B11" s="488">
        <v>6000</v>
      </c>
      <c r="C11" s="444"/>
      <c r="D11" s="443">
        <v>181542528.41999999</v>
      </c>
      <c r="E11" s="75">
        <f>VLOOKUP(B11,Справочник!$A$2:$C$415,3,FALSE)</f>
        <v>0</v>
      </c>
      <c r="G11" s="297" t="str">
        <f t="shared" ref="G11:G51" si="1">G10</f>
        <v>"ВестГлобал"</v>
      </c>
      <c r="H11" s="607">
        <v>7110</v>
      </c>
      <c r="I11" s="610">
        <v>5528955.4000000004</v>
      </c>
      <c r="J11" s="611" t="s">
        <v>366</v>
      </c>
      <c r="K11" s="75" t="str">
        <f>VLOOKUP(H11,Справочник!$A$2:$C$415,3,FALSE)</f>
        <v>Расходы по реализации</v>
      </c>
    </row>
    <row r="12" spans="1:11">
      <c r="A12" s="297" t="str">
        <f t="shared" si="0"/>
        <v>"ВестГлобал"</v>
      </c>
      <c r="B12" s="488">
        <v>6010</v>
      </c>
      <c r="C12" s="444"/>
      <c r="D12" s="443">
        <v>181542528.41999999</v>
      </c>
      <c r="E12" s="75" t="str">
        <f>VLOOKUP(B12,Справочник!$A$2:$C$415,3,FALSE)</f>
        <v>Выручка</v>
      </c>
      <c r="G12" s="297" t="str">
        <f t="shared" si="1"/>
        <v>"ВестГлобал"</v>
      </c>
      <c r="H12" s="607">
        <v>7200</v>
      </c>
      <c r="I12" s="610">
        <v>184971212.78</v>
      </c>
      <c r="J12" s="611" t="s">
        <v>366</v>
      </c>
      <c r="K12" s="75">
        <f>VLOOKUP(H12,Справочник!$A$2:$C$415,3,FALSE)</f>
        <v>0</v>
      </c>
    </row>
    <row r="13" spans="1:11">
      <c r="A13" s="297" t="str">
        <f t="shared" si="0"/>
        <v>"ВестГлобал"</v>
      </c>
      <c r="B13" s="488">
        <v>6200</v>
      </c>
      <c r="C13" s="444"/>
      <c r="D13" s="443">
        <v>546014</v>
      </c>
      <c r="E13" s="75">
        <f>VLOOKUP(B13,Справочник!$A$2:$C$415,3,FALSE)</f>
        <v>0</v>
      </c>
      <c r="G13" s="297" t="str">
        <f t="shared" si="1"/>
        <v>"ВестГлобал"</v>
      </c>
      <c r="H13" s="607">
        <v>7211</v>
      </c>
      <c r="I13" s="610">
        <v>184966358.78</v>
      </c>
      <c r="J13" s="611" t="s">
        <v>366</v>
      </c>
      <c r="K13" s="75" t="str">
        <f>VLOOKUP(H13,Справочник!$A$2:$C$415,3,FALSE)</f>
        <v>Административные расходы</v>
      </c>
    </row>
    <row r="14" spans="1:11">
      <c r="A14" s="297" t="str">
        <f t="shared" si="0"/>
        <v>"ВестГлобал"</v>
      </c>
      <c r="B14" s="488">
        <v>6250</v>
      </c>
      <c r="C14" s="444"/>
      <c r="D14" s="443">
        <v>545746.5</v>
      </c>
      <c r="E14" s="75" t="str">
        <f>VLOOKUP(B14,Справочник!$A$2:$C$415,3,FALSE)</f>
        <v>Доходы от курсовой разницы</v>
      </c>
      <c r="G14" s="297" t="str">
        <f t="shared" si="1"/>
        <v>"ВестГлобал"</v>
      </c>
      <c r="H14" s="607">
        <v>7212</v>
      </c>
      <c r="I14" s="610">
        <v>4854</v>
      </c>
      <c r="J14" s="611" t="s">
        <v>366</v>
      </c>
      <c r="K14" s="75" t="str">
        <f>VLOOKUP(H14,Справочник!$A$2:$C$415,3,FALSE)</f>
        <v>Административные расходы</v>
      </c>
    </row>
    <row r="15" spans="1:11">
      <c r="A15" s="297" t="str">
        <f t="shared" si="0"/>
        <v>"ВестГлобал"</v>
      </c>
      <c r="B15" s="488">
        <v>6280</v>
      </c>
      <c r="C15" s="444"/>
      <c r="D15" s="456">
        <v>267.5</v>
      </c>
      <c r="E15" s="75" t="str">
        <f>VLOOKUP(B15,Справочник!$A$2:$C$415,3,FALSE)</f>
        <v>Прочие доходы</v>
      </c>
      <c r="G15" s="297" t="str">
        <f t="shared" si="1"/>
        <v>"ВестГлобал"</v>
      </c>
      <c r="H15" s="618" t="s">
        <v>367</v>
      </c>
      <c r="I15" s="612">
        <v>234204709.87</v>
      </c>
      <c r="J15" s="613">
        <v>234204709.87</v>
      </c>
      <c r="K15" s="75" t="e">
        <f>VLOOKUP(H15,Справочник!$A$2:$C$415,3,FALSE)</f>
        <v>#N/A</v>
      </c>
    </row>
    <row r="16" spans="1:11">
      <c r="A16" s="297" t="str">
        <f t="shared" si="0"/>
        <v>"ВестГлобал"</v>
      </c>
      <c r="B16" s="488">
        <v>7000</v>
      </c>
      <c r="C16" s="443">
        <v>1444642.86</v>
      </c>
      <c r="D16" s="444"/>
      <c r="E16" s="75">
        <f>VLOOKUP(B16,Справочник!$A$2:$C$415,3,FALSE)</f>
        <v>0</v>
      </c>
      <c r="G16" s="297" t="str">
        <f t="shared" si="1"/>
        <v>"ВестГлобал"</v>
      </c>
      <c r="H16" s="488"/>
      <c r="I16" s="444"/>
      <c r="J16" s="443"/>
      <c r="K16" s="75">
        <f>VLOOKUP(H16,Справочник!$A$2:$C$415,3,FALSE)</f>
        <v>0</v>
      </c>
    </row>
    <row r="17" spans="1:11">
      <c r="A17" s="297" t="str">
        <f t="shared" si="0"/>
        <v>"ВестГлобал"</v>
      </c>
      <c r="B17" s="488">
        <v>7010</v>
      </c>
      <c r="C17" s="443">
        <v>1444642.86</v>
      </c>
      <c r="D17" s="444"/>
      <c r="E17" s="75" t="str">
        <f>VLOOKUP(B17,Справочник!$A$2:$C$415,3,FALSE)</f>
        <v>Себестоимость реализованных товаров и услуг</v>
      </c>
      <c r="G17" s="297" t="str">
        <f t="shared" si="1"/>
        <v>"ВестГлобал"</v>
      </c>
      <c r="H17" s="488"/>
      <c r="I17" s="444"/>
      <c r="J17" s="443"/>
      <c r="K17" s="75">
        <f>VLOOKUP(H17,Справочник!$A$2:$C$415,3,FALSE)</f>
        <v>0</v>
      </c>
    </row>
    <row r="18" spans="1:11">
      <c r="A18" s="297" t="str">
        <f t="shared" si="0"/>
        <v>"ВестГлобал"</v>
      </c>
      <c r="B18" s="488">
        <v>7100</v>
      </c>
      <c r="C18" s="443">
        <v>101245599.11</v>
      </c>
      <c r="D18" s="444"/>
      <c r="E18" s="75">
        <f>VLOOKUP(B18,Справочник!$A$2:$C$415,3,FALSE)</f>
        <v>0</v>
      </c>
      <c r="G18" s="297" t="str">
        <f t="shared" si="1"/>
        <v>"ВестГлобал"</v>
      </c>
      <c r="H18" s="488"/>
      <c r="I18" s="444"/>
      <c r="J18" s="443"/>
      <c r="K18" s="75">
        <f>VLOOKUP(H18,Справочник!$A$2:$C$415,3,FALSE)</f>
        <v>0</v>
      </c>
    </row>
    <row r="19" spans="1:11">
      <c r="A19" s="297" t="str">
        <f t="shared" si="0"/>
        <v>"ВестГлобал"</v>
      </c>
      <c r="B19" s="488">
        <v>7110</v>
      </c>
      <c r="C19" s="443">
        <v>101245599.11</v>
      </c>
      <c r="D19" s="444"/>
      <c r="E19" s="75" t="str">
        <f>VLOOKUP(B19,Справочник!$A$2:$C$415,3,FALSE)</f>
        <v>Расходы по реализации</v>
      </c>
      <c r="G19" s="297" t="str">
        <f t="shared" si="1"/>
        <v>"ВестГлобал"</v>
      </c>
      <c r="H19" s="488"/>
      <c r="I19" s="444"/>
      <c r="J19" s="443"/>
      <c r="K19" s="75">
        <f>VLOOKUP(H19,Справочник!$A$2:$C$415,3,FALSE)</f>
        <v>0</v>
      </c>
    </row>
    <row r="20" spans="1:11">
      <c r="A20" s="297" t="str">
        <f t="shared" si="0"/>
        <v>"ВестГлобал"</v>
      </c>
      <c r="B20" s="488">
        <v>7200</v>
      </c>
      <c r="C20" s="443">
        <v>82832427.299999997</v>
      </c>
      <c r="D20" s="444"/>
      <c r="E20" s="75">
        <f>VLOOKUP(B20,Справочник!$A$2:$C$415,3,FALSE)</f>
        <v>0</v>
      </c>
      <c r="G20" s="297" t="str">
        <f t="shared" si="1"/>
        <v>"ВестГлобал"</v>
      </c>
      <c r="H20" s="488"/>
      <c r="I20" s="444"/>
      <c r="J20" s="443"/>
      <c r="K20" s="75">
        <f>VLOOKUP(H20,Справочник!$A$2:$C$415,3,FALSE)</f>
        <v>0</v>
      </c>
    </row>
    <row r="21" spans="1:11">
      <c r="A21" s="297" t="str">
        <f t="shared" si="0"/>
        <v>"ВестГлобал"</v>
      </c>
      <c r="B21" s="488">
        <v>7210</v>
      </c>
      <c r="C21" s="443">
        <v>82832427.299999997</v>
      </c>
      <c r="D21" s="444"/>
      <c r="E21" s="75" t="str">
        <f>VLOOKUP(B21,Справочник!$A$2:$C$415,3,FALSE)</f>
        <v>Административные расходы</v>
      </c>
      <c r="G21" s="297" t="str">
        <f t="shared" si="1"/>
        <v>"ВестГлобал"</v>
      </c>
      <c r="H21" s="488"/>
      <c r="I21" s="444"/>
      <c r="J21" s="443"/>
      <c r="K21" s="75">
        <f>VLOOKUP(H21,Справочник!$A$2:$C$415,3,FALSE)</f>
        <v>0</v>
      </c>
    </row>
    <row r="22" spans="1:11">
      <c r="A22" s="297" t="str">
        <f t="shared" si="0"/>
        <v>"ВестГлобал"</v>
      </c>
      <c r="B22" s="488">
        <v>7400</v>
      </c>
      <c r="C22" s="443">
        <v>405432.19</v>
      </c>
      <c r="D22" s="444"/>
      <c r="E22" s="75">
        <f>VLOOKUP(B22,Справочник!$A$2:$C$415,3,FALSE)</f>
        <v>0</v>
      </c>
      <c r="G22" s="297" t="str">
        <f t="shared" si="1"/>
        <v>"ВестГлобал"</v>
      </c>
      <c r="H22" s="488"/>
      <c r="I22" s="443"/>
      <c r="J22" s="444"/>
      <c r="K22" s="75">
        <f>VLOOKUP(H22,Справочник!$A$2:$C$415,3,FALSE)</f>
        <v>0</v>
      </c>
    </row>
    <row r="23" spans="1:11">
      <c r="A23" s="297" t="str">
        <f t="shared" si="0"/>
        <v>"ВестГлобал"</v>
      </c>
      <c r="B23" s="488">
        <v>7430</v>
      </c>
      <c r="C23" s="443">
        <v>372401.13</v>
      </c>
      <c r="D23" s="444"/>
      <c r="E23" s="75" t="str">
        <f>VLOOKUP(B23,Справочник!$A$2:$C$415,3,FALSE)</f>
        <v>Расходы по курсовой разнице</v>
      </c>
      <c r="G23" s="297" t="str">
        <f t="shared" si="1"/>
        <v>"ВестГлобал"</v>
      </c>
      <c r="H23" s="488"/>
      <c r="I23" s="443"/>
      <c r="J23" s="444"/>
      <c r="K23" s="75">
        <f>VLOOKUP(H23,Справочник!$A$2:$C$415,3,FALSE)</f>
        <v>0</v>
      </c>
    </row>
    <row r="24" spans="1:11">
      <c r="A24" s="297" t="str">
        <f t="shared" si="0"/>
        <v>"ВестГлобал"</v>
      </c>
      <c r="B24" s="488">
        <v>7470</v>
      </c>
      <c r="C24" s="443">
        <v>33031.06</v>
      </c>
      <c r="D24" s="444"/>
      <c r="E24" s="75" t="str">
        <f>VLOOKUP(B24,Справочник!$A$2:$C$415,3,FALSE)</f>
        <v>Прочие расходы</v>
      </c>
      <c r="G24" s="297" t="str">
        <f t="shared" si="1"/>
        <v>"ВестГлобал"</v>
      </c>
      <c r="H24" s="488"/>
      <c r="I24" s="443"/>
      <c r="J24" s="444"/>
      <c r="K24" s="75">
        <f>VLOOKUP(H24,Справочник!$A$2:$C$415,3,FALSE)</f>
        <v>0</v>
      </c>
    </row>
    <row r="25" spans="1:11">
      <c r="A25" s="297" t="str">
        <f t="shared" si="0"/>
        <v>"ВестГлобал"</v>
      </c>
      <c r="B25" s="494" t="s">
        <v>608</v>
      </c>
      <c r="C25" s="495">
        <v>182088542.41999999</v>
      </c>
      <c r="D25" s="495">
        <v>182088542.41999999</v>
      </c>
      <c r="E25" s="75" t="e">
        <f>VLOOKUP(B25,Справочник!$A$2:$C$415,3,FALSE)</f>
        <v>#N/A</v>
      </c>
      <c r="G25" s="297" t="str">
        <f t="shared" si="1"/>
        <v>"ВестГлобал"</v>
      </c>
      <c r="H25" s="488"/>
      <c r="I25" s="443"/>
      <c r="J25" s="444"/>
      <c r="K25" s="75"/>
    </row>
    <row r="26" spans="1:11">
      <c r="A26" s="297" t="str">
        <f t="shared" si="0"/>
        <v>"ВестГлобал"</v>
      </c>
      <c r="B26" s="488"/>
      <c r="C26" s="443"/>
      <c r="D26" s="444"/>
      <c r="E26" s="75">
        <f>VLOOKUP(B26,Справочник!$A$2:$C$415,3,FALSE)</f>
        <v>0</v>
      </c>
      <c r="G26" s="297" t="str">
        <f t="shared" si="1"/>
        <v>"ВестГлобал"</v>
      </c>
      <c r="H26" s="488"/>
      <c r="I26" s="443"/>
      <c r="J26" s="444"/>
      <c r="K26" s="75">
        <f>VLOOKUP(H26,Справочник!$A$2:$C$415,3,FALSE)</f>
        <v>0</v>
      </c>
    </row>
    <row r="27" spans="1:11">
      <c r="A27" s="297" t="str">
        <f t="shared" si="0"/>
        <v>"ВестГлобал"</v>
      </c>
      <c r="B27" s="488"/>
      <c r="C27" s="443"/>
      <c r="D27" s="444"/>
      <c r="E27" s="75">
        <f>VLOOKUP(B27,Справочник!$A$2:$C$415,3,FALSE)</f>
        <v>0</v>
      </c>
      <c r="G27" s="297" t="str">
        <f t="shared" si="1"/>
        <v>"ВестГлобал"</v>
      </c>
      <c r="H27" s="488"/>
      <c r="I27" s="443"/>
      <c r="J27" s="444"/>
      <c r="K27" s="75">
        <f>VLOOKUP(H27,Справочник!$A$2:$C$415,3,FALSE)</f>
        <v>0</v>
      </c>
    </row>
    <row r="28" spans="1:11">
      <c r="A28" s="297" t="str">
        <f t="shared" si="0"/>
        <v>"ВестГлобал"</v>
      </c>
      <c r="B28" s="488"/>
      <c r="C28" s="443"/>
      <c r="D28" s="444"/>
      <c r="E28" s="75">
        <f>VLOOKUP(B28,Справочник!$A$2:$C$415,3,FALSE)</f>
        <v>0</v>
      </c>
      <c r="G28" s="297" t="str">
        <f t="shared" si="1"/>
        <v>"ВестГлобал"</v>
      </c>
      <c r="H28" s="488"/>
      <c r="I28" s="443"/>
      <c r="J28" s="444"/>
      <c r="K28" s="75">
        <f>VLOOKUP(H28,Справочник!$A$2:$C$415,3,FALSE)</f>
        <v>0</v>
      </c>
    </row>
    <row r="29" spans="1:11">
      <c r="A29" s="297" t="str">
        <f t="shared" si="0"/>
        <v>"ВестГлобал"</v>
      </c>
      <c r="B29" s="488"/>
      <c r="C29" s="443"/>
      <c r="D29" s="444"/>
      <c r="E29" s="75">
        <f>VLOOKUP(B29,Справочник!$A$2:$C$415,3,FALSE)</f>
        <v>0</v>
      </c>
      <c r="G29" s="297" t="str">
        <f t="shared" si="1"/>
        <v>"ВестГлобал"</v>
      </c>
      <c r="H29" s="488"/>
      <c r="I29" s="443"/>
      <c r="J29" s="444"/>
      <c r="K29" s="75">
        <f>VLOOKUP(H29,Справочник!$A$2:$C$415,3,FALSE)</f>
        <v>0</v>
      </c>
    </row>
    <row r="30" spans="1:11">
      <c r="A30" s="297" t="str">
        <f t="shared" si="0"/>
        <v>"ВестГлобал"</v>
      </c>
      <c r="B30" s="488"/>
      <c r="C30" s="443"/>
      <c r="D30" s="444"/>
      <c r="E30" s="75"/>
      <c r="G30" s="297" t="str">
        <f t="shared" si="1"/>
        <v>"ВестГлобал"</v>
      </c>
      <c r="H30" s="488"/>
      <c r="I30" s="443"/>
      <c r="J30" s="444"/>
      <c r="K30" s="75">
        <f>VLOOKUP(H30,Справочник!$A$2:$C$415,3,FALSE)</f>
        <v>0</v>
      </c>
    </row>
    <row r="31" spans="1:11">
      <c r="A31" s="297" t="str">
        <f t="shared" si="0"/>
        <v>"ВестГлобал"</v>
      </c>
      <c r="B31" s="488"/>
      <c r="C31" s="443"/>
      <c r="D31" s="444"/>
      <c r="E31" s="75">
        <f>VLOOKUP(B31,Справочник!$A$2:$C$415,3,FALSE)</f>
        <v>0</v>
      </c>
      <c r="G31" s="297" t="str">
        <f t="shared" si="1"/>
        <v>"ВестГлобал"</v>
      </c>
      <c r="H31" s="488"/>
      <c r="I31" s="443"/>
      <c r="J31" s="444"/>
      <c r="K31" s="75">
        <f>VLOOKUP(H31,Справочник!$A$2:$C$415,3,FALSE)</f>
        <v>0</v>
      </c>
    </row>
    <row r="32" spans="1:11">
      <c r="A32" s="297" t="str">
        <f t="shared" si="0"/>
        <v>"ВестГлобал"</v>
      </c>
      <c r="B32" s="488"/>
      <c r="C32" s="443"/>
      <c r="D32" s="444"/>
      <c r="E32" s="75">
        <f>VLOOKUP(B32,Справочник!$A$2:$C$415,3,FALSE)</f>
        <v>0</v>
      </c>
      <c r="G32" s="297" t="str">
        <f t="shared" si="1"/>
        <v>"ВестГлобал"</v>
      </c>
      <c r="H32" s="488"/>
      <c r="I32" s="443"/>
      <c r="J32" s="444"/>
      <c r="K32" s="75">
        <f>VLOOKUP(H32,Справочник!$A$2:$C$415,3,FALSE)</f>
        <v>0</v>
      </c>
    </row>
    <row r="33" spans="1:11">
      <c r="A33" s="297" t="str">
        <f t="shared" si="0"/>
        <v>"ВестГлобал"</v>
      </c>
      <c r="B33" s="488"/>
      <c r="C33" s="443"/>
      <c r="D33" s="444"/>
      <c r="E33" s="75">
        <f>VLOOKUP(B33,Справочник!$A$2:$C$415,3,FALSE)</f>
        <v>0</v>
      </c>
      <c r="G33" s="297" t="str">
        <f t="shared" si="1"/>
        <v>"ВестГлобал"</v>
      </c>
      <c r="H33" s="488"/>
      <c r="I33" s="443"/>
      <c r="J33" s="444"/>
      <c r="K33" s="75">
        <f>VLOOKUP(H33,Справочник!$A$2:$C$415,3,FALSE)</f>
        <v>0</v>
      </c>
    </row>
    <row r="34" spans="1:11">
      <c r="A34" s="297" t="str">
        <f t="shared" si="0"/>
        <v>"ВестГлобал"</v>
      </c>
      <c r="B34" s="488"/>
      <c r="C34" s="443"/>
      <c r="D34" s="444"/>
      <c r="E34" s="75">
        <f>VLOOKUP(B34,Справочник!$A$2:$C$415,3,FALSE)</f>
        <v>0</v>
      </c>
      <c r="G34" s="297" t="str">
        <f t="shared" si="1"/>
        <v>"ВестГлобал"</v>
      </c>
      <c r="H34" s="488"/>
      <c r="I34" s="443"/>
      <c r="J34" s="444"/>
      <c r="K34" s="75">
        <f>VLOOKUP(H34,Справочник!$A$2:$C$415,3,FALSE)</f>
        <v>0</v>
      </c>
    </row>
    <row r="35" spans="1:11">
      <c r="A35" s="297" t="str">
        <f t="shared" si="0"/>
        <v>"ВестГлобал"</v>
      </c>
      <c r="B35" s="489"/>
      <c r="C35" s="490"/>
      <c r="D35" s="490"/>
      <c r="E35" s="75">
        <f>VLOOKUP(B35,Справочник!$A$2:$C$415,3,FALSE)</f>
        <v>0</v>
      </c>
      <c r="G35" s="297" t="str">
        <f t="shared" si="1"/>
        <v>"ВестГлобал"</v>
      </c>
      <c r="H35" s="488"/>
      <c r="I35" s="443"/>
      <c r="J35" s="444"/>
      <c r="K35" s="75">
        <f>VLOOKUP(H35,Справочник!$A$2:$C$415,3,FALSE)</f>
        <v>0</v>
      </c>
    </row>
    <row r="36" spans="1:11">
      <c r="A36" s="297" t="str">
        <f t="shared" si="0"/>
        <v>"ВестГлобал"</v>
      </c>
      <c r="B36" s="489"/>
      <c r="C36" s="491"/>
      <c r="D36" s="491"/>
      <c r="E36" s="75">
        <f>VLOOKUP(B36,Справочник!$A$2:$C$415,3,FALSE)</f>
        <v>0</v>
      </c>
      <c r="G36" s="297" t="str">
        <f t="shared" si="1"/>
        <v>"ВестГлобал"</v>
      </c>
      <c r="H36" s="489"/>
      <c r="I36" s="490"/>
      <c r="J36" s="490"/>
      <c r="K36" s="75">
        <f>VLOOKUP(H36,Справочник!$A$2:$C$415,3,FALSE)</f>
        <v>0</v>
      </c>
    </row>
    <row r="37" spans="1:11">
      <c r="A37" s="297" t="str">
        <f t="shared" si="0"/>
        <v>"ВестГлобал"</v>
      </c>
      <c r="B37" s="377"/>
      <c r="C37" s="378"/>
      <c r="D37" s="379"/>
      <c r="E37" s="75">
        <f>VLOOKUP(B37,Справочник!$A$2:$C$415,3,FALSE)</f>
        <v>0</v>
      </c>
      <c r="G37" s="297" t="str">
        <f t="shared" si="1"/>
        <v>"ВестГлобал"</v>
      </c>
      <c r="H37" s="377"/>
      <c r="I37" s="378"/>
      <c r="J37" s="379"/>
      <c r="K37" s="75">
        <f>VLOOKUP(H37,Справочник!$A$2:$C$415,3,FALSE)</f>
        <v>0</v>
      </c>
    </row>
    <row r="38" spans="1:11">
      <c r="A38" s="297"/>
      <c r="B38" s="377"/>
      <c r="C38" s="378"/>
      <c r="D38" s="379"/>
      <c r="E38" s="75">
        <f>VLOOKUP(B38,Справочник!$A$2:$C$415,3,FALSE)</f>
        <v>0</v>
      </c>
      <c r="G38" s="297" t="str">
        <f t="shared" si="1"/>
        <v>"ВестГлобал"</v>
      </c>
      <c r="H38" s="377"/>
      <c r="I38" s="378"/>
      <c r="J38" s="379"/>
      <c r="K38" s="75">
        <f>VLOOKUP(H38,Справочник!$A$2:$C$415,3,FALSE)</f>
        <v>0</v>
      </c>
    </row>
    <row r="39" spans="1:11">
      <c r="A39" s="297">
        <f t="shared" si="0"/>
        <v>0</v>
      </c>
      <c r="B39" s="377"/>
      <c r="C39" s="378"/>
      <c r="D39" s="379"/>
      <c r="E39" s="75">
        <f>VLOOKUP(B39,Справочник!$A$2:$C$415,3,FALSE)</f>
        <v>0</v>
      </c>
      <c r="G39" s="297" t="str">
        <f t="shared" si="1"/>
        <v>"ВестГлобал"</v>
      </c>
      <c r="H39" s="377"/>
      <c r="I39" s="378"/>
      <c r="J39" s="379"/>
      <c r="K39" s="75">
        <f>VLOOKUP(H39,Справочник!$A$2:$C$415,3,FALSE)</f>
        <v>0</v>
      </c>
    </row>
    <row r="40" spans="1:11">
      <c r="A40" s="297"/>
      <c r="B40" s="377"/>
      <c r="C40" s="378"/>
      <c r="D40" s="379"/>
      <c r="E40" s="75">
        <f>VLOOKUP(B40,Справочник!$A$2:$C$415,3,FALSE)</f>
        <v>0</v>
      </c>
      <c r="G40" s="297" t="str">
        <f t="shared" si="1"/>
        <v>"ВестГлобал"</v>
      </c>
      <c r="H40" s="377"/>
      <c r="I40" s="378"/>
      <c r="J40" s="379"/>
      <c r="K40" s="75">
        <f>VLOOKUP(H40,Справочник!$A$2:$C$415,3,FALSE)</f>
        <v>0</v>
      </c>
    </row>
    <row r="41" spans="1:11">
      <c r="A41" s="297"/>
      <c r="B41" s="377"/>
      <c r="C41" s="378"/>
      <c r="D41" s="379"/>
      <c r="E41" s="75">
        <f>VLOOKUP(B41,Справочник!$A$2:$C$415,3,FALSE)</f>
        <v>0</v>
      </c>
      <c r="G41" s="297" t="str">
        <f t="shared" si="1"/>
        <v>"ВестГлобал"</v>
      </c>
      <c r="H41" s="377"/>
      <c r="I41" s="378"/>
      <c r="J41" s="379"/>
      <c r="K41" s="75">
        <f>VLOOKUP(H41,Справочник!$A$2:$C$415,3,FALSE)</f>
        <v>0</v>
      </c>
    </row>
    <row r="42" spans="1:11">
      <c r="A42" s="297"/>
      <c r="B42" s="377"/>
      <c r="C42" s="378"/>
      <c r="D42" s="379"/>
      <c r="E42" s="75">
        <f>VLOOKUP(B42,Справочник!$A$2:$C$415,3,FALSE)</f>
        <v>0</v>
      </c>
      <c r="G42" s="297" t="str">
        <f t="shared" si="1"/>
        <v>"ВестГлобал"</v>
      </c>
      <c r="H42" s="377"/>
      <c r="I42" s="378"/>
      <c r="J42" s="379"/>
      <c r="K42" s="75">
        <f>VLOOKUP(H42,Справочник!$A$2:$C$415,3,FALSE)</f>
        <v>0</v>
      </c>
    </row>
    <row r="43" spans="1:11">
      <c r="A43" s="297">
        <f t="shared" si="0"/>
        <v>0</v>
      </c>
      <c r="B43" s="377"/>
      <c r="C43" s="378"/>
      <c r="D43" s="379"/>
      <c r="E43" s="75">
        <f>VLOOKUP(B43,Справочник!$A$2:$C$415,3,FALSE)</f>
        <v>0</v>
      </c>
      <c r="G43" s="297" t="str">
        <f t="shared" si="1"/>
        <v>"ВестГлобал"</v>
      </c>
      <c r="H43" s="377"/>
      <c r="I43" s="378"/>
      <c r="J43" s="379"/>
      <c r="K43" s="75">
        <f>VLOOKUP(H43,Справочник!$A$2:$C$415,3,FALSE)</f>
        <v>0</v>
      </c>
    </row>
    <row r="44" spans="1:11">
      <c r="A44" s="297"/>
      <c r="B44" s="377"/>
      <c r="C44" s="378"/>
      <c r="D44" s="379"/>
      <c r="E44" s="75">
        <f>VLOOKUP(B44,Справочник!$A$2:$C$415,3,FALSE)</f>
        <v>0</v>
      </c>
      <c r="G44" s="297" t="str">
        <f t="shared" si="1"/>
        <v>"ВестГлобал"</v>
      </c>
      <c r="H44" s="377"/>
      <c r="I44" s="378"/>
      <c r="J44" s="379"/>
      <c r="K44" s="75">
        <f>VLOOKUP(H44,Справочник!$A$2:$C$415,3,FALSE)</f>
        <v>0</v>
      </c>
    </row>
    <row r="45" spans="1:11">
      <c r="A45" s="297"/>
      <c r="B45" s="377"/>
      <c r="C45" s="378"/>
      <c r="D45" s="379"/>
      <c r="E45" s="75">
        <f>VLOOKUP(B45,Справочник!$A$2:$C$415,3,FALSE)</f>
        <v>0</v>
      </c>
      <c r="G45" s="297" t="str">
        <f t="shared" si="1"/>
        <v>"ВестГлобал"</v>
      </c>
      <c r="H45" s="377"/>
      <c r="I45" s="378"/>
      <c r="J45" s="379"/>
      <c r="K45" s="75">
        <f>VLOOKUP(H45,Справочник!$A$2:$C$415,3,FALSE)</f>
        <v>0</v>
      </c>
    </row>
    <row r="46" spans="1:11">
      <c r="A46" s="297"/>
      <c r="B46" s="377"/>
      <c r="C46" s="378"/>
      <c r="D46" s="379"/>
      <c r="E46" s="75">
        <f>VLOOKUP(B46,Справочник!$A$2:$C$415,3,FALSE)</f>
        <v>0</v>
      </c>
      <c r="G46" s="297" t="str">
        <f t="shared" si="1"/>
        <v>"ВестГлобал"</v>
      </c>
      <c r="H46" s="377"/>
      <c r="I46" s="378"/>
      <c r="J46" s="379"/>
      <c r="K46" s="75">
        <f>VLOOKUP(H46,Справочник!$A$2:$C$415,3,FALSE)</f>
        <v>0</v>
      </c>
    </row>
    <row r="47" spans="1:11">
      <c r="A47" s="297"/>
      <c r="B47" s="377"/>
      <c r="C47" s="380"/>
      <c r="D47" s="379"/>
      <c r="E47" s="75">
        <f>VLOOKUP(B47,Справочник!$A$2:$C$415,3,FALSE)</f>
        <v>0</v>
      </c>
      <c r="G47" s="297" t="str">
        <f t="shared" si="1"/>
        <v>"ВестГлобал"</v>
      </c>
      <c r="H47" s="377"/>
      <c r="I47" s="378"/>
      <c r="J47" s="379"/>
      <c r="K47" s="75">
        <f>VLOOKUP(H47,Справочник!$A$2:$C$415,3,FALSE)</f>
        <v>0</v>
      </c>
    </row>
    <row r="48" spans="1:11">
      <c r="A48" s="297"/>
      <c r="B48" s="377"/>
      <c r="C48" s="378"/>
      <c r="D48" s="379"/>
      <c r="E48" s="75">
        <f>VLOOKUP(B48,Справочник!$A$2:$C$415,3,FALSE)</f>
        <v>0</v>
      </c>
      <c r="G48" s="297" t="str">
        <f t="shared" si="1"/>
        <v>"ВестГлобал"</v>
      </c>
      <c r="H48" s="377"/>
      <c r="I48" s="378"/>
      <c r="J48" s="379"/>
      <c r="K48" s="75">
        <f>VLOOKUP(H48,Справочник!$A$2:$C$415,3,FALSE)</f>
        <v>0</v>
      </c>
    </row>
    <row r="49" spans="1:11">
      <c r="A49" s="297">
        <f t="shared" si="0"/>
        <v>0</v>
      </c>
      <c r="B49" s="377"/>
      <c r="C49" s="378"/>
      <c r="D49" s="379"/>
      <c r="E49" s="75">
        <f>VLOOKUP(B49,Справочник!$A$2:$C$415,3,FALSE)</f>
        <v>0</v>
      </c>
      <c r="G49" s="297" t="str">
        <f t="shared" si="1"/>
        <v>"ВестГлобал"</v>
      </c>
      <c r="H49" s="377"/>
      <c r="I49" s="378"/>
      <c r="J49" s="379"/>
      <c r="K49" s="75">
        <f>VLOOKUP(H49,Справочник!$A$2:$C$415,3,FALSE)</f>
        <v>0</v>
      </c>
    </row>
    <row r="50" spans="1:11">
      <c r="A50" s="297"/>
      <c r="B50" s="377"/>
      <c r="C50" s="378"/>
      <c r="D50" s="379"/>
      <c r="E50" s="75">
        <f>VLOOKUP(B50,Справочник!$A$2:$C$415,3,FALSE)</f>
        <v>0</v>
      </c>
      <c r="G50" s="297" t="str">
        <f t="shared" si="1"/>
        <v>"ВестГлобал"</v>
      </c>
      <c r="H50" s="298"/>
      <c r="I50" s="299"/>
      <c r="J50" s="300"/>
      <c r="K50" s="75">
        <f>VLOOKUP(H50,Справочник!$A$2:$C$415,3,FALSE)</f>
        <v>0</v>
      </c>
    </row>
    <row r="51" spans="1:11">
      <c r="A51" s="297">
        <f t="shared" si="0"/>
        <v>0</v>
      </c>
      <c r="B51" s="298"/>
      <c r="C51" s="299"/>
      <c r="D51" s="300"/>
      <c r="E51" s="75">
        <f>VLOOKUP(B51,Справочник!$A$2:$C$415,3,FALSE)</f>
        <v>0</v>
      </c>
      <c r="G51" s="297" t="str">
        <f t="shared" si="1"/>
        <v>"ВестГлобал"</v>
      </c>
      <c r="H51" s="298"/>
      <c r="I51" s="299"/>
      <c r="J51" s="300"/>
      <c r="K51" s="75">
        <f>VLOOKUP(H51,Справочник!$A$2:$C$415,3,FALSE)</f>
        <v>0</v>
      </c>
    </row>
    <row r="52" spans="1:11">
      <c r="A52" s="297">
        <f>A51</f>
        <v>0</v>
      </c>
      <c r="B52" s="298"/>
      <c r="C52" s="299"/>
      <c r="D52" s="300"/>
      <c r="E52" s="75">
        <f>VLOOKUP(B52,Справочник!$A$2:$C$415,3,FALSE)</f>
        <v>0</v>
      </c>
      <c r="G52" s="297"/>
      <c r="H52" s="302"/>
      <c r="I52" s="303"/>
      <c r="J52" s="345"/>
      <c r="K52" s="75"/>
    </row>
    <row r="53" spans="1:11" ht="15.75" thickBot="1">
      <c r="A53" s="334"/>
      <c r="B53" s="302"/>
      <c r="C53" s="303"/>
      <c r="D53" s="345"/>
      <c r="E53" s="75"/>
      <c r="G53" s="297"/>
      <c r="H53" s="295"/>
      <c r="I53" s="304"/>
      <c r="J53" s="296"/>
      <c r="K53" s="75"/>
    </row>
    <row r="54" spans="1:11" ht="15.75" thickBot="1">
      <c r="A54" s="294"/>
      <c r="B54" s="295"/>
      <c r="C54" s="304"/>
      <c r="D54" s="296"/>
      <c r="G54" s="301"/>
      <c r="H54" s="306"/>
      <c r="I54" s="307"/>
      <c r="J54" s="308"/>
      <c r="K54" s="75"/>
    </row>
    <row r="55" spans="1:11" ht="15.75" thickBot="1">
      <c r="A55" s="305" t="s">
        <v>696</v>
      </c>
      <c r="B55" s="306"/>
      <c r="C55" s="307"/>
      <c r="D55" s="308"/>
      <c r="G55" s="294"/>
      <c r="H55" s="310"/>
      <c r="I55" s="311"/>
      <c r="J55" s="330"/>
      <c r="K55" s="75"/>
    </row>
    <row r="56" spans="1:11" ht="15.75" thickBot="1">
      <c r="A56" s="309"/>
      <c r="B56" s="310"/>
      <c r="C56" s="311"/>
      <c r="D56" s="391"/>
    </row>
  </sheetData>
  <mergeCells count="2">
    <mergeCell ref="G3:I3"/>
    <mergeCell ref="G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B15" sqref="B15"/>
    </sheetView>
  </sheetViews>
  <sheetFormatPr defaultRowHeight="15"/>
  <cols>
    <col min="1" max="1" width="38.5703125" style="326" customWidth="1"/>
    <col min="2" max="2" width="12" style="137" bestFit="1" customWidth="1"/>
  </cols>
  <sheetData>
    <row r="1" spans="1:5" s="261" customFormat="1">
      <c r="A1" s="137" t="s">
        <v>729</v>
      </c>
    </row>
    <row r="2" spans="1:5">
      <c r="A2" s="137" t="s">
        <v>738</v>
      </c>
    </row>
    <row r="3" spans="1:5">
      <c r="A3" s="137" t="s">
        <v>779</v>
      </c>
    </row>
    <row r="4" spans="1:5">
      <c r="A4" s="137" t="s">
        <v>699</v>
      </c>
      <c r="B4" s="137" t="s">
        <v>764</v>
      </c>
      <c r="C4" s="137"/>
      <c r="D4" s="137"/>
      <c r="E4" s="137"/>
    </row>
    <row r="5" spans="1:5">
      <c r="A5" s="137" t="s">
        <v>380</v>
      </c>
      <c r="C5" s="137"/>
      <c r="D5" s="137"/>
      <c r="E5" s="137"/>
    </row>
    <row r="6" spans="1:5">
      <c r="A6" s="137" t="s">
        <v>700</v>
      </c>
      <c r="B6" s="137" t="s">
        <v>780</v>
      </c>
      <c r="C6" s="137"/>
      <c r="D6" s="137"/>
      <c r="E6" s="137"/>
    </row>
    <row r="7" spans="1:5">
      <c r="A7" s="137" t="s">
        <v>701</v>
      </c>
      <c r="B7" s="137" t="s">
        <v>781</v>
      </c>
      <c r="C7" s="137"/>
      <c r="D7" s="137"/>
      <c r="E7" s="137"/>
    </row>
    <row r="8" spans="1:5">
      <c r="A8" s="137" t="s">
        <v>702</v>
      </c>
      <c r="B8" s="137" t="s">
        <v>782</v>
      </c>
      <c r="C8" s="137"/>
      <c r="D8" s="137"/>
      <c r="E8" s="137"/>
    </row>
    <row r="9" spans="1:5">
      <c r="A9" s="137" t="s">
        <v>703</v>
      </c>
      <c r="B9" s="137" t="s">
        <v>704</v>
      </c>
      <c r="C9" s="137"/>
      <c r="D9" s="137"/>
      <c r="E9" s="137"/>
    </row>
    <row r="10" spans="1:5">
      <c r="A10" s="137" t="s">
        <v>705</v>
      </c>
      <c r="C10" s="137"/>
      <c r="D10" s="137"/>
      <c r="E10" s="137"/>
    </row>
    <row r="11" spans="1:5" ht="15" customHeight="1">
      <c r="A11" s="137" t="s">
        <v>385</v>
      </c>
      <c r="C11" s="137"/>
      <c r="D11" s="137"/>
      <c r="E11" s="137"/>
    </row>
    <row r="12" spans="1:5">
      <c r="A12" s="137" t="s">
        <v>707</v>
      </c>
      <c r="B12" s="137" t="s">
        <v>792</v>
      </c>
    </row>
    <row r="13" spans="1:5">
      <c r="A13" s="137" t="s">
        <v>706</v>
      </c>
      <c r="B13" s="137" t="s">
        <v>793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sqref="A1:XFD1048576"/>
    </sheetView>
  </sheetViews>
  <sheetFormatPr defaultRowHeight="15"/>
  <cols>
    <col min="1" max="1" width="38.28515625" style="467" bestFit="1" customWidth="1"/>
    <col min="2" max="2" width="9.140625" style="467"/>
    <col min="3" max="4" width="14.85546875" style="467" bestFit="1" customWidth="1"/>
    <col min="5" max="5" width="43.7109375" style="467" bestFit="1" customWidth="1"/>
    <col min="6" max="6" width="9.140625" style="467"/>
    <col min="7" max="7" width="38.28515625" style="467" bestFit="1" customWidth="1"/>
    <col min="8" max="8" width="8.7109375" style="467" customWidth="1"/>
    <col min="9" max="10" width="13.42578125" style="467" bestFit="1" customWidth="1"/>
    <col min="11" max="16384" width="9.140625" style="467"/>
  </cols>
  <sheetData>
    <row r="1" spans="1:11">
      <c r="A1" s="396"/>
      <c r="B1" s="66"/>
      <c r="C1" s="66"/>
      <c r="D1" s="66"/>
      <c r="G1" s="286" t="s">
        <v>605</v>
      </c>
      <c r="H1" s="287"/>
      <c r="I1" s="287"/>
      <c r="J1" s="287"/>
    </row>
    <row r="2" spans="1:11" ht="15.75">
      <c r="A2" s="487" t="s">
        <v>739</v>
      </c>
      <c r="B2" s="287"/>
      <c r="C2" s="287"/>
      <c r="D2" s="66"/>
      <c r="G2" s="487" t="s">
        <v>740</v>
      </c>
      <c r="H2" s="287"/>
      <c r="I2" s="287"/>
      <c r="J2" s="287"/>
    </row>
    <row r="3" spans="1:11">
      <c r="A3" s="66" t="s">
        <v>730</v>
      </c>
      <c r="B3" s="66" t="s">
        <v>731</v>
      </c>
      <c r="C3" s="66"/>
      <c r="D3" s="66"/>
      <c r="G3" s="682" t="s">
        <v>678</v>
      </c>
      <c r="H3" s="682"/>
      <c r="I3" s="682"/>
      <c r="J3" s="287"/>
    </row>
    <row r="4" spans="1:11">
      <c r="A4" s="66" t="s">
        <v>732</v>
      </c>
      <c r="B4" s="66" t="s">
        <v>733</v>
      </c>
      <c r="C4" s="66"/>
      <c r="D4" s="66"/>
      <c r="G4" s="682" t="s">
        <v>359</v>
      </c>
      <c r="H4" s="682"/>
      <c r="I4" s="682"/>
      <c r="J4" s="287"/>
    </row>
    <row r="5" spans="1:11" ht="15.75" thickBot="1">
      <c r="A5" s="287"/>
      <c r="B5" s="287"/>
      <c r="C5" s="287"/>
      <c r="D5" s="287"/>
      <c r="G5" s="287"/>
      <c r="H5" s="287"/>
      <c r="I5" s="287"/>
      <c r="J5" s="287"/>
    </row>
    <row r="6" spans="1:11">
      <c r="A6" s="469" t="s">
        <v>360</v>
      </c>
      <c r="B6" s="289" t="s">
        <v>606</v>
      </c>
      <c r="C6" s="289" t="s">
        <v>650</v>
      </c>
      <c r="D6" s="290" t="s">
        <v>651</v>
      </c>
      <c r="G6" s="288" t="s">
        <v>695</v>
      </c>
      <c r="H6" s="289" t="s">
        <v>606</v>
      </c>
      <c r="I6" s="289" t="s">
        <v>650</v>
      </c>
      <c r="J6" s="290" t="s">
        <v>651</v>
      </c>
    </row>
    <row r="7" spans="1:11" ht="15.75" thickBot="1">
      <c r="A7" s="398">
        <v>5610</v>
      </c>
      <c r="B7" s="468" t="s">
        <v>727</v>
      </c>
      <c r="C7" s="468" t="s">
        <v>364</v>
      </c>
      <c r="D7" s="468" t="s">
        <v>365</v>
      </c>
      <c r="G7" s="291"/>
      <c r="H7" s="292"/>
      <c r="I7" s="292"/>
      <c r="J7" s="293"/>
    </row>
    <row r="8" spans="1:11" ht="36">
      <c r="A8" s="316" t="s">
        <v>752</v>
      </c>
      <c r="B8" s="394" t="s">
        <v>728</v>
      </c>
      <c r="C8" s="395"/>
      <c r="D8" s="395"/>
      <c r="G8" s="316" t="s">
        <v>752</v>
      </c>
      <c r="H8" s="394" t="s">
        <v>728</v>
      </c>
      <c r="I8" s="395"/>
      <c r="J8" s="395"/>
    </row>
    <row r="9" spans="1:11">
      <c r="A9" s="297" t="str">
        <f>A8</f>
        <v xml:space="preserve"> "АлАс"</v>
      </c>
      <c r="B9" s="488">
        <v>5500</v>
      </c>
      <c r="C9" s="451">
        <v>-27416280.760000002</v>
      </c>
      <c r="D9" s="444"/>
      <c r="E9" s="75">
        <f>VLOOKUP(B9,Справочник!$A$2:$C$415,3,FALSE)</f>
        <v>0</v>
      </c>
      <c r="G9" s="297" t="str">
        <f>G8</f>
        <v xml:space="preserve"> "АлАс"</v>
      </c>
      <c r="H9" s="498">
        <v>5510</v>
      </c>
      <c r="I9" s="499">
        <v>-44829013.659999996</v>
      </c>
      <c r="J9" s="500" t="s">
        <v>366</v>
      </c>
      <c r="K9" s="75" t="str">
        <f>VLOOKUP(H9,Справочник!$A$2:$C$415,3,FALSE)</f>
        <v>Нераспределенная прибыль (непокрытый убыток)</v>
      </c>
    </row>
    <row r="10" spans="1:11">
      <c r="A10" s="297" t="str">
        <f>A9</f>
        <v xml:space="preserve"> "АлАс"</v>
      </c>
      <c r="B10" s="488">
        <v>5510</v>
      </c>
      <c r="C10" s="451">
        <v>-27416280.760000002</v>
      </c>
      <c r="D10" s="444"/>
      <c r="E10" s="75" t="str">
        <f>VLOOKUP(B10,Справочник!$A$2:$C$415,3,FALSE)</f>
        <v>Нераспределенная прибыль (непокрытый убыток)</v>
      </c>
      <c r="G10" s="297" t="str">
        <f>G9</f>
        <v xml:space="preserve"> "АлАс"</v>
      </c>
      <c r="H10" s="498">
        <v>6280</v>
      </c>
      <c r="I10" s="501" t="s">
        <v>366</v>
      </c>
      <c r="J10" s="504">
        <v>0.75</v>
      </c>
      <c r="K10" s="75" t="str">
        <f>VLOOKUP(H10,Справочник!$A$2:$C$415,3,FALSE)</f>
        <v>Прочие доходы</v>
      </c>
    </row>
    <row r="11" spans="1:11">
      <c r="A11" s="297" t="str">
        <f t="shared" ref="A11:A51" si="0">A10</f>
        <v xml:space="preserve"> "АлАс"</v>
      </c>
      <c r="B11" s="488">
        <v>7000</v>
      </c>
      <c r="C11" s="443">
        <v>1350000</v>
      </c>
      <c r="D11" s="444"/>
      <c r="E11" s="75">
        <f>VLOOKUP(B11,Справочник!$A$2:$C$415,3,FALSE)</f>
        <v>0</v>
      </c>
      <c r="G11" s="297" t="str">
        <f t="shared" ref="G11:G51" si="1">G10</f>
        <v xml:space="preserve"> "АлАс"</v>
      </c>
      <c r="H11" s="498">
        <v>7210</v>
      </c>
      <c r="I11" s="499">
        <v>44778694.409999996</v>
      </c>
      <c r="J11" s="500" t="s">
        <v>366</v>
      </c>
      <c r="K11" s="75" t="str">
        <f>VLOOKUP(H11,Справочник!$A$2:$C$415,3,FALSE)</f>
        <v>Административные расходы</v>
      </c>
    </row>
    <row r="12" spans="1:11">
      <c r="A12" s="297" t="str">
        <f t="shared" si="0"/>
        <v xml:space="preserve"> "АлАс"</v>
      </c>
      <c r="B12" s="488">
        <v>7010</v>
      </c>
      <c r="C12" s="443">
        <v>1350000</v>
      </c>
      <c r="D12" s="444"/>
      <c r="E12" s="75" t="str">
        <f>VLOOKUP(B12,Справочник!$A$2:$C$415,3,FALSE)</f>
        <v>Себестоимость реализованных товаров и услуг</v>
      </c>
      <c r="G12" s="297" t="str">
        <f t="shared" si="1"/>
        <v xml:space="preserve"> "АлАс"</v>
      </c>
      <c r="H12" s="498">
        <v>7440</v>
      </c>
      <c r="I12" s="499">
        <v>50320</v>
      </c>
      <c r="J12" s="500" t="s">
        <v>366</v>
      </c>
      <c r="K12" s="75" t="str">
        <f>VLOOKUP(H12,Справочник!$A$2:$C$415,3,FALSE)</f>
        <v>Прочие расходы</v>
      </c>
    </row>
    <row r="13" spans="1:11">
      <c r="A13" s="297" t="str">
        <f t="shared" si="0"/>
        <v xml:space="preserve"> "АлАс"</v>
      </c>
      <c r="B13" s="488">
        <v>7200</v>
      </c>
      <c r="C13" s="443">
        <v>15706905.76</v>
      </c>
      <c r="D13" s="444"/>
      <c r="E13" s="75">
        <f>VLOOKUP(B13,Справочник!$A$2:$C$415,3,FALSE)</f>
        <v>0</v>
      </c>
      <c r="G13" s="297" t="str">
        <f t="shared" si="1"/>
        <v xml:space="preserve"> "АлАс"</v>
      </c>
      <c r="H13" s="505" t="s">
        <v>367</v>
      </c>
      <c r="I13" s="506">
        <v>0.75</v>
      </c>
      <c r="J13" s="507">
        <v>0.75</v>
      </c>
      <c r="K13" s="75" t="e">
        <f>VLOOKUP(H13,Справочник!$A$2:$C$415,3,FALSE)</f>
        <v>#N/A</v>
      </c>
    </row>
    <row r="14" spans="1:11">
      <c r="A14" s="297" t="str">
        <f t="shared" si="0"/>
        <v xml:space="preserve"> "АлАс"</v>
      </c>
      <c r="B14" s="488">
        <v>7210</v>
      </c>
      <c r="C14" s="443">
        <v>15706905.76</v>
      </c>
      <c r="D14" s="444"/>
      <c r="E14" s="75" t="str">
        <f>VLOOKUP(B14,Справочник!$A$2:$C$415,3,FALSE)</f>
        <v>Административные расходы</v>
      </c>
      <c r="G14" s="297" t="str">
        <f t="shared" si="1"/>
        <v xml:space="preserve"> "АлАс"</v>
      </c>
      <c r="H14" s="488"/>
      <c r="I14" s="444"/>
      <c r="J14" s="443"/>
      <c r="K14" s="75">
        <f>VLOOKUP(H14,Справочник!$A$2:$C$415,3,FALSE)</f>
        <v>0</v>
      </c>
    </row>
    <row r="15" spans="1:11">
      <c r="A15" s="297" t="str">
        <f t="shared" si="0"/>
        <v xml:space="preserve"> "АлАс"</v>
      </c>
      <c r="B15" s="488">
        <v>7300</v>
      </c>
      <c r="C15" s="443">
        <v>10359375</v>
      </c>
      <c r="D15" s="444"/>
      <c r="E15" s="75">
        <f>VLOOKUP(B15,Справочник!$A$2:$C$415,3,FALSE)</f>
        <v>0</v>
      </c>
      <c r="G15" s="297" t="str">
        <f t="shared" si="1"/>
        <v xml:space="preserve"> "АлАс"</v>
      </c>
      <c r="H15" s="488"/>
      <c r="I15" s="444"/>
      <c r="J15" s="456"/>
      <c r="K15" s="75">
        <f>VLOOKUP(H15,Справочник!$A$2:$C$415,3,FALSE)</f>
        <v>0</v>
      </c>
    </row>
    <row r="16" spans="1:11">
      <c r="A16" s="297" t="str">
        <f t="shared" si="0"/>
        <v xml:space="preserve"> "АлАс"</v>
      </c>
      <c r="B16" s="488">
        <v>7310</v>
      </c>
      <c r="C16" s="443">
        <v>10359375</v>
      </c>
      <c r="D16" s="444"/>
      <c r="E16" s="75" t="str">
        <f>VLOOKUP(B16,Справочник!$A$2:$C$415,3,FALSE)</f>
        <v>Расходы по финансированию</v>
      </c>
      <c r="G16" s="297" t="str">
        <f t="shared" si="1"/>
        <v xml:space="preserve"> "АлАс"</v>
      </c>
      <c r="H16" s="488"/>
      <c r="I16" s="444"/>
      <c r="J16" s="443"/>
      <c r="K16" s="75">
        <f>VLOOKUP(H16,Справочник!$A$2:$C$415,3,FALSE)</f>
        <v>0</v>
      </c>
    </row>
    <row r="17" spans="1:11">
      <c r="A17" s="297" t="str">
        <f t="shared" si="0"/>
        <v xml:space="preserve"> "АлАс"</v>
      </c>
      <c r="B17" s="494" t="s">
        <v>608</v>
      </c>
      <c r="C17" s="495">
        <v>27416280.760000002</v>
      </c>
      <c r="D17" s="496"/>
      <c r="E17" s="75" t="e">
        <f>VLOOKUP(B17,Справочник!$A$2:$C$415,3,FALSE)</f>
        <v>#N/A</v>
      </c>
      <c r="G17" s="297" t="str">
        <f t="shared" si="1"/>
        <v xml:space="preserve"> "АлАс"</v>
      </c>
      <c r="H17" s="488"/>
      <c r="I17" s="444"/>
      <c r="J17" s="443"/>
      <c r="K17" s="75">
        <f>VLOOKUP(H17,Справочник!$A$2:$C$415,3,FALSE)</f>
        <v>0</v>
      </c>
    </row>
    <row r="18" spans="1:11" ht="24">
      <c r="A18" s="297" t="str">
        <f t="shared" si="0"/>
        <v xml:space="preserve"> "АлАс"</v>
      </c>
      <c r="B18" s="494" t="s">
        <v>698</v>
      </c>
      <c r="C18" s="496"/>
      <c r="D18" s="497"/>
      <c r="E18" s="75" t="e">
        <f>VLOOKUP(B18,Справочник!$A$2:$C$415,3,FALSE)</f>
        <v>#N/A</v>
      </c>
      <c r="G18" s="297" t="str">
        <f t="shared" si="1"/>
        <v xml:space="preserve"> "АлАс"</v>
      </c>
      <c r="H18" s="488"/>
      <c r="I18" s="444"/>
      <c r="J18" s="443"/>
      <c r="K18" s="75">
        <f>VLOOKUP(H18,Справочник!$A$2:$C$415,3,FALSE)</f>
        <v>0</v>
      </c>
    </row>
    <row r="19" spans="1:11">
      <c r="A19" s="297" t="str">
        <f t="shared" si="0"/>
        <v xml:space="preserve"> "АлАс"</v>
      </c>
      <c r="B19" s="488"/>
      <c r="C19" s="443"/>
      <c r="D19" s="444"/>
      <c r="E19" s="75">
        <f>VLOOKUP(B19,Справочник!$A$2:$C$415,3,FALSE)</f>
        <v>0</v>
      </c>
      <c r="G19" s="297" t="str">
        <f t="shared" si="1"/>
        <v xml:space="preserve"> "АлАс"</v>
      </c>
      <c r="H19" s="488"/>
      <c r="I19" s="444"/>
      <c r="J19" s="443"/>
      <c r="K19" s="75">
        <f>VLOOKUP(H19,Справочник!$A$2:$C$415,3,FALSE)</f>
        <v>0</v>
      </c>
    </row>
    <row r="20" spans="1:11">
      <c r="A20" s="297" t="str">
        <f t="shared" si="0"/>
        <v xml:space="preserve"> "АлАс"</v>
      </c>
      <c r="B20" s="488"/>
      <c r="C20" s="443"/>
      <c r="D20" s="444"/>
      <c r="E20" s="75">
        <f>VLOOKUP(B20,Справочник!$A$2:$C$415,3,FALSE)</f>
        <v>0</v>
      </c>
      <c r="G20" s="297" t="str">
        <f t="shared" si="1"/>
        <v xml:space="preserve"> "АлАс"</v>
      </c>
      <c r="H20" s="488"/>
      <c r="I20" s="444"/>
      <c r="J20" s="443"/>
      <c r="K20" s="75">
        <f>VLOOKUP(H20,Справочник!$A$2:$C$415,3,FALSE)</f>
        <v>0</v>
      </c>
    </row>
    <row r="21" spans="1:11">
      <c r="A21" s="297" t="str">
        <f t="shared" si="0"/>
        <v xml:space="preserve"> "АлАс"</v>
      </c>
      <c r="B21" s="488"/>
      <c r="C21" s="443"/>
      <c r="D21" s="444"/>
      <c r="E21" s="75">
        <f>VLOOKUP(B21,Справочник!$A$2:$C$415,3,FALSE)</f>
        <v>0</v>
      </c>
      <c r="G21" s="297" t="str">
        <f t="shared" si="1"/>
        <v xml:space="preserve"> "АлАс"</v>
      </c>
      <c r="H21" s="488"/>
      <c r="I21" s="444"/>
      <c r="J21" s="443"/>
      <c r="K21" s="75">
        <f>VLOOKUP(H21,Справочник!$A$2:$C$415,3,FALSE)</f>
        <v>0</v>
      </c>
    </row>
    <row r="22" spans="1:11">
      <c r="A22" s="297" t="str">
        <f t="shared" si="0"/>
        <v xml:space="preserve"> "АлАс"</v>
      </c>
      <c r="B22" s="488"/>
      <c r="C22" s="443"/>
      <c r="D22" s="444"/>
      <c r="E22" s="75">
        <f>VLOOKUP(B22,Справочник!$A$2:$C$415,3,FALSE)</f>
        <v>0</v>
      </c>
      <c r="G22" s="297" t="str">
        <f t="shared" si="1"/>
        <v xml:space="preserve"> "АлАс"</v>
      </c>
      <c r="H22" s="488"/>
      <c r="I22" s="443"/>
      <c r="J22" s="444"/>
      <c r="K22" s="75">
        <f>VLOOKUP(H22,Справочник!$A$2:$C$415,3,FALSE)</f>
        <v>0</v>
      </c>
    </row>
    <row r="23" spans="1:11">
      <c r="A23" s="297" t="str">
        <f t="shared" si="0"/>
        <v xml:space="preserve"> "АлАс"</v>
      </c>
      <c r="B23" s="488"/>
      <c r="C23" s="443"/>
      <c r="D23" s="444"/>
      <c r="E23" s="75"/>
      <c r="G23" s="297" t="str">
        <f t="shared" si="1"/>
        <v xml:space="preserve"> "АлАс"</v>
      </c>
      <c r="H23" s="488"/>
      <c r="I23" s="443"/>
      <c r="J23" s="444"/>
      <c r="K23" s="75">
        <f>VLOOKUP(H23,Справочник!$A$2:$C$415,3,FALSE)</f>
        <v>0</v>
      </c>
    </row>
    <row r="24" spans="1:11">
      <c r="A24" s="297" t="str">
        <f t="shared" si="0"/>
        <v xml:space="preserve"> "АлАс"</v>
      </c>
      <c r="B24" s="488"/>
      <c r="C24" s="443"/>
      <c r="D24" s="444"/>
      <c r="E24" s="75">
        <f>VLOOKUP(B24,Справочник!$A$2:$C$415,3,FALSE)</f>
        <v>0</v>
      </c>
      <c r="G24" s="297" t="str">
        <f t="shared" si="1"/>
        <v xml:space="preserve"> "АлАс"</v>
      </c>
      <c r="H24" s="488"/>
      <c r="I24" s="443"/>
      <c r="J24" s="444"/>
      <c r="K24" s="75">
        <f>VLOOKUP(H24,Справочник!$A$2:$C$415,3,FALSE)</f>
        <v>0</v>
      </c>
    </row>
    <row r="25" spans="1:11">
      <c r="A25" s="297" t="str">
        <f t="shared" si="0"/>
        <v xml:space="preserve"> "АлАс"</v>
      </c>
      <c r="B25" s="494"/>
      <c r="C25" s="495"/>
      <c r="D25" s="495"/>
      <c r="E25" s="75">
        <f>VLOOKUP(B25,Справочник!$A$2:$C$415,3,FALSE)</f>
        <v>0</v>
      </c>
      <c r="G25" s="297" t="str">
        <f t="shared" si="1"/>
        <v xml:space="preserve"> "АлАс"</v>
      </c>
      <c r="H25" s="488"/>
      <c r="I25" s="443"/>
      <c r="J25" s="444"/>
      <c r="K25" s="75"/>
    </row>
    <row r="26" spans="1:11">
      <c r="A26" s="297" t="str">
        <f t="shared" si="0"/>
        <v xml:space="preserve"> "АлАс"</v>
      </c>
      <c r="B26" s="488"/>
      <c r="C26" s="443"/>
      <c r="D26" s="444"/>
      <c r="E26" s="75">
        <f>VLOOKUP(B26,Справочник!$A$2:$C$415,3,FALSE)</f>
        <v>0</v>
      </c>
      <c r="G26" s="297" t="str">
        <f t="shared" si="1"/>
        <v xml:space="preserve"> "АлАс"</v>
      </c>
      <c r="H26" s="488"/>
      <c r="I26" s="443"/>
      <c r="J26" s="444"/>
      <c r="K26" s="75">
        <f>VLOOKUP(H26,Справочник!$A$2:$C$415,3,FALSE)</f>
        <v>0</v>
      </c>
    </row>
    <row r="27" spans="1:11">
      <c r="A27" s="297" t="str">
        <f t="shared" si="0"/>
        <v xml:space="preserve"> "АлАс"</v>
      </c>
      <c r="B27" s="488"/>
      <c r="C27" s="443"/>
      <c r="D27" s="444"/>
      <c r="E27" s="75">
        <f>VLOOKUP(B27,Справочник!$A$2:$C$415,3,FALSE)</f>
        <v>0</v>
      </c>
      <c r="G27" s="297" t="str">
        <f t="shared" si="1"/>
        <v xml:space="preserve"> "АлАс"</v>
      </c>
      <c r="H27" s="488"/>
      <c r="I27" s="443"/>
      <c r="J27" s="444"/>
      <c r="K27" s="75">
        <f>VLOOKUP(H27,Справочник!$A$2:$C$415,3,FALSE)</f>
        <v>0</v>
      </c>
    </row>
    <row r="28" spans="1:11">
      <c r="A28" s="297" t="str">
        <f t="shared" si="0"/>
        <v xml:space="preserve"> "АлАс"</v>
      </c>
      <c r="B28" s="488"/>
      <c r="C28" s="443"/>
      <c r="D28" s="444"/>
      <c r="E28" s="75">
        <f>VLOOKUP(B28,Справочник!$A$2:$C$415,3,FALSE)</f>
        <v>0</v>
      </c>
      <c r="G28" s="297" t="str">
        <f t="shared" si="1"/>
        <v xml:space="preserve"> "АлАс"</v>
      </c>
      <c r="H28" s="488"/>
      <c r="I28" s="443"/>
      <c r="J28" s="444"/>
      <c r="K28" s="75">
        <f>VLOOKUP(H28,Справочник!$A$2:$C$415,3,FALSE)</f>
        <v>0</v>
      </c>
    </row>
    <row r="29" spans="1:11">
      <c r="A29" s="297" t="str">
        <f t="shared" si="0"/>
        <v xml:space="preserve"> "АлАс"</v>
      </c>
      <c r="B29" s="488"/>
      <c r="C29" s="443"/>
      <c r="D29" s="444"/>
      <c r="E29" s="75">
        <f>VLOOKUP(B29,Справочник!$A$2:$C$415,3,FALSE)</f>
        <v>0</v>
      </c>
      <c r="G29" s="297" t="str">
        <f t="shared" si="1"/>
        <v xml:space="preserve"> "АлАс"</v>
      </c>
      <c r="H29" s="488"/>
      <c r="I29" s="443"/>
      <c r="J29" s="444"/>
      <c r="K29" s="75">
        <f>VLOOKUP(H29,Справочник!$A$2:$C$415,3,FALSE)</f>
        <v>0</v>
      </c>
    </row>
    <row r="30" spans="1:11">
      <c r="A30" s="297" t="str">
        <f t="shared" si="0"/>
        <v xml:space="preserve"> "АлАс"</v>
      </c>
      <c r="B30" s="488"/>
      <c r="C30" s="443"/>
      <c r="D30" s="444"/>
      <c r="E30" s="75"/>
      <c r="G30" s="297" t="str">
        <f t="shared" si="1"/>
        <v xml:space="preserve"> "АлАс"</v>
      </c>
      <c r="H30" s="488"/>
      <c r="I30" s="443"/>
      <c r="J30" s="444"/>
      <c r="K30" s="75">
        <f>VLOOKUP(H30,Справочник!$A$2:$C$415,3,FALSE)</f>
        <v>0</v>
      </c>
    </row>
    <row r="31" spans="1:11">
      <c r="A31" s="297" t="str">
        <f t="shared" si="0"/>
        <v xml:space="preserve"> "АлАс"</v>
      </c>
      <c r="B31" s="488"/>
      <c r="C31" s="443"/>
      <c r="D31" s="444"/>
      <c r="E31" s="75">
        <f>VLOOKUP(B31,Справочник!$A$2:$C$415,3,FALSE)</f>
        <v>0</v>
      </c>
      <c r="G31" s="297" t="str">
        <f t="shared" si="1"/>
        <v xml:space="preserve"> "АлАс"</v>
      </c>
      <c r="H31" s="488"/>
      <c r="I31" s="443"/>
      <c r="J31" s="444"/>
      <c r="K31" s="75">
        <f>VLOOKUP(H31,Справочник!$A$2:$C$415,3,FALSE)</f>
        <v>0</v>
      </c>
    </row>
    <row r="32" spans="1:11">
      <c r="A32" s="297" t="str">
        <f t="shared" si="0"/>
        <v xml:space="preserve"> "АлАс"</v>
      </c>
      <c r="B32" s="488"/>
      <c r="C32" s="443"/>
      <c r="D32" s="444"/>
      <c r="E32" s="75">
        <f>VLOOKUP(B32,Справочник!$A$2:$C$415,3,FALSE)</f>
        <v>0</v>
      </c>
      <c r="G32" s="297" t="str">
        <f t="shared" si="1"/>
        <v xml:space="preserve"> "АлАс"</v>
      </c>
      <c r="H32" s="488"/>
      <c r="I32" s="443"/>
      <c r="J32" s="444"/>
      <c r="K32" s="75">
        <f>VLOOKUP(H32,Справочник!$A$2:$C$415,3,FALSE)</f>
        <v>0</v>
      </c>
    </row>
    <row r="33" spans="1:11">
      <c r="A33" s="297" t="str">
        <f t="shared" si="0"/>
        <v xml:space="preserve"> "АлАс"</v>
      </c>
      <c r="B33" s="488"/>
      <c r="C33" s="443"/>
      <c r="D33" s="444"/>
      <c r="E33" s="75">
        <f>VLOOKUP(B33,Справочник!$A$2:$C$415,3,FALSE)</f>
        <v>0</v>
      </c>
      <c r="G33" s="297" t="str">
        <f t="shared" si="1"/>
        <v xml:space="preserve"> "АлАс"</v>
      </c>
      <c r="H33" s="488"/>
      <c r="I33" s="443"/>
      <c r="J33" s="444"/>
      <c r="K33" s="75">
        <f>VLOOKUP(H33,Справочник!$A$2:$C$415,3,FALSE)</f>
        <v>0</v>
      </c>
    </row>
    <row r="34" spans="1:11">
      <c r="A34" s="297" t="str">
        <f t="shared" si="0"/>
        <v xml:space="preserve"> "АлАс"</v>
      </c>
      <c r="B34" s="488"/>
      <c r="C34" s="443"/>
      <c r="D34" s="444"/>
      <c r="E34" s="75">
        <f>VLOOKUP(B34,Справочник!$A$2:$C$415,3,FALSE)</f>
        <v>0</v>
      </c>
      <c r="G34" s="297" t="str">
        <f t="shared" si="1"/>
        <v xml:space="preserve"> "АлАс"</v>
      </c>
      <c r="H34" s="488"/>
      <c r="I34" s="443"/>
      <c r="J34" s="444"/>
      <c r="K34" s="75">
        <f>VLOOKUP(H34,Справочник!$A$2:$C$415,3,FALSE)</f>
        <v>0</v>
      </c>
    </row>
    <row r="35" spans="1:11">
      <c r="A35" s="297" t="str">
        <f t="shared" si="0"/>
        <v xml:space="preserve"> "АлАс"</v>
      </c>
      <c r="B35" s="489"/>
      <c r="C35" s="490"/>
      <c r="D35" s="490"/>
      <c r="E35" s="75">
        <f>VLOOKUP(B35,Справочник!$A$2:$C$415,3,FALSE)</f>
        <v>0</v>
      </c>
      <c r="G35" s="297" t="str">
        <f t="shared" si="1"/>
        <v xml:space="preserve"> "АлАс"</v>
      </c>
      <c r="H35" s="488"/>
      <c r="I35" s="443"/>
      <c r="J35" s="444"/>
      <c r="K35" s="75">
        <f>VLOOKUP(H35,Справочник!$A$2:$C$415,3,FALSE)</f>
        <v>0</v>
      </c>
    </row>
    <row r="36" spans="1:11">
      <c r="A36" s="297" t="str">
        <f t="shared" si="0"/>
        <v xml:space="preserve"> "АлАс"</v>
      </c>
      <c r="B36" s="489"/>
      <c r="C36" s="491"/>
      <c r="D36" s="491"/>
      <c r="E36" s="75">
        <f>VLOOKUP(B36,Справочник!$A$2:$C$415,3,FALSE)</f>
        <v>0</v>
      </c>
      <c r="G36" s="297" t="str">
        <f t="shared" si="1"/>
        <v xml:space="preserve"> "АлАс"</v>
      </c>
      <c r="H36" s="489"/>
      <c r="I36" s="490"/>
      <c r="J36" s="490"/>
      <c r="K36" s="75">
        <f>VLOOKUP(H36,Справочник!$A$2:$C$415,3,FALSE)</f>
        <v>0</v>
      </c>
    </row>
    <row r="37" spans="1:11">
      <c r="A37" s="297" t="str">
        <f t="shared" si="0"/>
        <v xml:space="preserve"> "АлАс"</v>
      </c>
      <c r="B37" s="377"/>
      <c r="C37" s="378"/>
      <c r="D37" s="379"/>
      <c r="E37" s="75">
        <f>VLOOKUP(B37,Справочник!$A$2:$C$415,3,FALSE)</f>
        <v>0</v>
      </c>
      <c r="G37" s="297" t="str">
        <f t="shared" si="1"/>
        <v xml:space="preserve"> "АлАс"</v>
      </c>
      <c r="H37" s="377"/>
      <c r="I37" s="378"/>
      <c r="J37" s="379"/>
      <c r="K37" s="75">
        <f>VLOOKUP(H37,Справочник!$A$2:$C$415,3,FALSE)</f>
        <v>0</v>
      </c>
    </row>
    <row r="38" spans="1:11">
      <c r="A38" s="297"/>
      <c r="B38" s="377"/>
      <c r="C38" s="378"/>
      <c r="D38" s="379"/>
      <c r="E38" s="75">
        <f>VLOOKUP(B38,Справочник!$A$2:$C$415,3,FALSE)</f>
        <v>0</v>
      </c>
      <c r="G38" s="297" t="str">
        <f t="shared" si="1"/>
        <v xml:space="preserve"> "АлАс"</v>
      </c>
      <c r="H38" s="377"/>
      <c r="I38" s="378"/>
      <c r="J38" s="379"/>
      <c r="K38" s="75">
        <f>VLOOKUP(H38,Справочник!$A$2:$C$415,3,FALSE)</f>
        <v>0</v>
      </c>
    </row>
    <row r="39" spans="1:11">
      <c r="A39" s="297">
        <f t="shared" si="0"/>
        <v>0</v>
      </c>
      <c r="B39" s="377"/>
      <c r="C39" s="378"/>
      <c r="D39" s="379"/>
      <c r="E39" s="75">
        <f>VLOOKUP(B39,Справочник!$A$2:$C$415,3,FALSE)</f>
        <v>0</v>
      </c>
      <c r="G39" s="297" t="str">
        <f t="shared" si="1"/>
        <v xml:space="preserve"> "АлАс"</v>
      </c>
      <c r="H39" s="377"/>
      <c r="I39" s="378"/>
      <c r="J39" s="379"/>
      <c r="K39" s="75">
        <f>VLOOKUP(H39,Справочник!$A$2:$C$415,3,FALSE)</f>
        <v>0</v>
      </c>
    </row>
    <row r="40" spans="1:11">
      <c r="A40" s="297"/>
      <c r="B40" s="377"/>
      <c r="C40" s="378"/>
      <c r="D40" s="379"/>
      <c r="E40" s="75">
        <f>VLOOKUP(B40,Справочник!$A$2:$C$415,3,FALSE)</f>
        <v>0</v>
      </c>
      <c r="G40" s="297" t="str">
        <f t="shared" si="1"/>
        <v xml:space="preserve"> "АлАс"</v>
      </c>
      <c r="H40" s="377"/>
      <c r="I40" s="378"/>
      <c r="J40" s="379"/>
      <c r="K40" s="75">
        <f>VLOOKUP(H40,Справочник!$A$2:$C$415,3,FALSE)</f>
        <v>0</v>
      </c>
    </row>
    <row r="41" spans="1:11">
      <c r="A41" s="297"/>
      <c r="B41" s="377"/>
      <c r="C41" s="378"/>
      <c r="D41" s="379"/>
      <c r="E41" s="75">
        <f>VLOOKUP(B41,Справочник!$A$2:$C$415,3,FALSE)</f>
        <v>0</v>
      </c>
      <c r="G41" s="297" t="str">
        <f t="shared" si="1"/>
        <v xml:space="preserve"> "АлАс"</v>
      </c>
      <c r="H41" s="377"/>
      <c r="I41" s="378"/>
      <c r="J41" s="379"/>
      <c r="K41" s="75">
        <f>VLOOKUP(H41,Справочник!$A$2:$C$415,3,FALSE)</f>
        <v>0</v>
      </c>
    </row>
    <row r="42" spans="1:11">
      <c r="A42" s="297"/>
      <c r="B42" s="377"/>
      <c r="C42" s="378"/>
      <c r="D42" s="379"/>
      <c r="E42" s="75">
        <f>VLOOKUP(B42,Справочник!$A$2:$C$415,3,FALSE)</f>
        <v>0</v>
      </c>
      <c r="G42" s="297" t="str">
        <f t="shared" si="1"/>
        <v xml:space="preserve"> "АлАс"</v>
      </c>
      <c r="H42" s="377"/>
      <c r="I42" s="378"/>
      <c r="J42" s="379"/>
      <c r="K42" s="75">
        <f>VLOOKUP(H42,Справочник!$A$2:$C$415,3,FALSE)</f>
        <v>0</v>
      </c>
    </row>
    <row r="43" spans="1:11">
      <c r="A43" s="297">
        <f t="shared" si="0"/>
        <v>0</v>
      </c>
      <c r="B43" s="377"/>
      <c r="C43" s="378"/>
      <c r="D43" s="379"/>
      <c r="E43" s="75">
        <f>VLOOKUP(B43,Справочник!$A$2:$C$415,3,FALSE)</f>
        <v>0</v>
      </c>
      <c r="G43" s="297" t="str">
        <f t="shared" si="1"/>
        <v xml:space="preserve"> "АлАс"</v>
      </c>
      <c r="H43" s="377"/>
      <c r="I43" s="378"/>
      <c r="J43" s="379"/>
      <c r="K43" s="75">
        <f>VLOOKUP(H43,Справочник!$A$2:$C$415,3,FALSE)</f>
        <v>0</v>
      </c>
    </row>
    <row r="44" spans="1:11">
      <c r="A44" s="297"/>
      <c r="B44" s="377"/>
      <c r="C44" s="378"/>
      <c r="D44" s="379"/>
      <c r="E44" s="75">
        <f>VLOOKUP(B44,Справочник!$A$2:$C$415,3,FALSE)</f>
        <v>0</v>
      </c>
      <c r="G44" s="297" t="str">
        <f t="shared" si="1"/>
        <v xml:space="preserve"> "АлАс"</v>
      </c>
      <c r="H44" s="377"/>
      <c r="I44" s="378"/>
      <c r="J44" s="379"/>
      <c r="K44" s="75">
        <f>VLOOKUP(H44,Справочник!$A$2:$C$415,3,FALSE)</f>
        <v>0</v>
      </c>
    </row>
    <row r="45" spans="1:11">
      <c r="A45" s="297"/>
      <c r="B45" s="377"/>
      <c r="C45" s="378"/>
      <c r="D45" s="379"/>
      <c r="E45" s="75">
        <f>VLOOKUP(B45,Справочник!$A$2:$C$415,3,FALSE)</f>
        <v>0</v>
      </c>
      <c r="G45" s="297" t="str">
        <f t="shared" si="1"/>
        <v xml:space="preserve"> "АлАс"</v>
      </c>
      <c r="H45" s="377"/>
      <c r="I45" s="378"/>
      <c r="J45" s="379"/>
      <c r="K45" s="75">
        <f>VLOOKUP(H45,Справочник!$A$2:$C$415,3,FALSE)</f>
        <v>0</v>
      </c>
    </row>
    <row r="46" spans="1:11">
      <c r="A46" s="297"/>
      <c r="B46" s="377"/>
      <c r="C46" s="378"/>
      <c r="D46" s="379"/>
      <c r="E46" s="75">
        <f>VLOOKUP(B46,Справочник!$A$2:$C$415,3,FALSE)</f>
        <v>0</v>
      </c>
      <c r="G46" s="297" t="str">
        <f t="shared" si="1"/>
        <v xml:space="preserve"> "АлАс"</v>
      </c>
      <c r="H46" s="377"/>
      <c r="I46" s="378"/>
      <c r="J46" s="379"/>
      <c r="K46" s="75">
        <f>VLOOKUP(H46,Справочник!$A$2:$C$415,3,FALSE)</f>
        <v>0</v>
      </c>
    </row>
    <row r="47" spans="1:11">
      <c r="A47" s="297"/>
      <c r="B47" s="377"/>
      <c r="C47" s="380"/>
      <c r="D47" s="379"/>
      <c r="E47" s="75">
        <f>VLOOKUP(B47,Справочник!$A$2:$C$415,3,FALSE)</f>
        <v>0</v>
      </c>
      <c r="G47" s="297" t="str">
        <f t="shared" si="1"/>
        <v xml:space="preserve"> "АлАс"</v>
      </c>
      <c r="H47" s="377"/>
      <c r="I47" s="378"/>
      <c r="J47" s="379"/>
      <c r="K47" s="75">
        <f>VLOOKUP(H47,Справочник!$A$2:$C$415,3,FALSE)</f>
        <v>0</v>
      </c>
    </row>
    <row r="48" spans="1:11">
      <c r="A48" s="297"/>
      <c r="B48" s="377"/>
      <c r="C48" s="378"/>
      <c r="D48" s="379"/>
      <c r="E48" s="75">
        <f>VLOOKUP(B48,Справочник!$A$2:$C$415,3,FALSE)</f>
        <v>0</v>
      </c>
      <c r="G48" s="297" t="str">
        <f t="shared" si="1"/>
        <v xml:space="preserve"> "АлАс"</v>
      </c>
      <c r="H48" s="377"/>
      <c r="I48" s="378"/>
      <c r="J48" s="379"/>
      <c r="K48" s="75">
        <f>VLOOKUP(H48,Справочник!$A$2:$C$415,3,FALSE)</f>
        <v>0</v>
      </c>
    </row>
    <row r="49" spans="1:11">
      <c r="A49" s="297">
        <f t="shared" si="0"/>
        <v>0</v>
      </c>
      <c r="B49" s="377"/>
      <c r="C49" s="378"/>
      <c r="D49" s="379"/>
      <c r="E49" s="75">
        <f>VLOOKUP(B49,Справочник!$A$2:$C$415,3,FALSE)</f>
        <v>0</v>
      </c>
      <c r="G49" s="297" t="str">
        <f t="shared" si="1"/>
        <v xml:space="preserve"> "АлАс"</v>
      </c>
      <c r="H49" s="377"/>
      <c r="I49" s="378"/>
      <c r="J49" s="379"/>
      <c r="K49" s="75">
        <f>VLOOKUP(H49,Справочник!$A$2:$C$415,3,FALSE)</f>
        <v>0</v>
      </c>
    </row>
    <row r="50" spans="1:11">
      <c r="A50" s="297"/>
      <c r="B50" s="377"/>
      <c r="C50" s="378"/>
      <c r="D50" s="379"/>
      <c r="E50" s="75">
        <f>VLOOKUP(B50,Справочник!$A$2:$C$415,3,FALSE)</f>
        <v>0</v>
      </c>
      <c r="G50" s="297" t="str">
        <f t="shared" si="1"/>
        <v xml:space="preserve"> "АлАс"</v>
      </c>
      <c r="H50" s="298"/>
      <c r="I50" s="299"/>
      <c r="J50" s="300"/>
      <c r="K50" s="75">
        <f>VLOOKUP(H50,Справочник!$A$2:$C$415,3,FALSE)</f>
        <v>0</v>
      </c>
    </row>
    <row r="51" spans="1:11">
      <c r="A51" s="297">
        <f t="shared" si="0"/>
        <v>0</v>
      </c>
      <c r="B51" s="298"/>
      <c r="C51" s="299"/>
      <c r="D51" s="300"/>
      <c r="E51" s="75">
        <f>VLOOKUP(B51,Справочник!$A$2:$C$415,3,FALSE)</f>
        <v>0</v>
      </c>
      <c r="G51" s="297" t="str">
        <f t="shared" si="1"/>
        <v xml:space="preserve"> "АлАс"</v>
      </c>
      <c r="H51" s="298"/>
      <c r="I51" s="299"/>
      <c r="J51" s="300"/>
      <c r="K51" s="75">
        <f>VLOOKUP(H51,Справочник!$A$2:$C$415,3,FALSE)</f>
        <v>0</v>
      </c>
    </row>
    <row r="52" spans="1:11">
      <c r="A52" s="297">
        <f>A51</f>
        <v>0</v>
      </c>
      <c r="B52" s="298"/>
      <c r="C52" s="299"/>
      <c r="D52" s="300"/>
      <c r="E52" s="75">
        <f>VLOOKUP(B52,Справочник!$A$2:$C$415,3,FALSE)</f>
        <v>0</v>
      </c>
      <c r="G52" s="297"/>
      <c r="H52" s="302"/>
      <c r="I52" s="303"/>
      <c r="J52" s="345"/>
      <c r="K52" s="75"/>
    </row>
    <row r="53" spans="1:11" ht="15.75" thickBot="1">
      <c r="A53" s="334"/>
      <c r="B53" s="302"/>
      <c r="C53" s="303"/>
      <c r="D53" s="345"/>
      <c r="E53" s="75"/>
      <c r="G53" s="297"/>
      <c r="H53" s="295"/>
      <c r="I53" s="304"/>
      <c r="J53" s="296"/>
      <c r="K53" s="75"/>
    </row>
    <row r="54" spans="1:11" ht="15.75" thickBot="1">
      <c r="A54" s="294"/>
      <c r="B54" s="295"/>
      <c r="C54" s="304"/>
      <c r="D54" s="296"/>
      <c r="G54" s="301"/>
      <c r="H54" s="306"/>
      <c r="I54" s="307"/>
      <c r="J54" s="308"/>
      <c r="K54" s="75"/>
    </row>
    <row r="55" spans="1:11" ht="15.75" thickBot="1">
      <c r="A55" s="305" t="s">
        <v>696</v>
      </c>
      <c r="B55" s="306"/>
      <c r="C55" s="307"/>
      <c r="D55" s="308"/>
      <c r="G55" s="294"/>
      <c r="H55" s="310"/>
      <c r="I55" s="311"/>
      <c r="J55" s="330"/>
      <c r="K55" s="75"/>
    </row>
    <row r="56" spans="1:11" ht="15.75" thickBot="1">
      <c r="A56" s="309"/>
      <c r="B56" s="310"/>
      <c r="C56" s="311"/>
      <c r="D56" s="391"/>
    </row>
  </sheetData>
  <mergeCells count="2">
    <mergeCell ref="G3:I3"/>
    <mergeCell ref="G4: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C21" sqref="C21"/>
    </sheetView>
  </sheetViews>
  <sheetFormatPr defaultRowHeight="15"/>
  <cols>
    <col min="1" max="1" width="38.28515625" style="467" bestFit="1" customWidth="1"/>
    <col min="2" max="2" width="9.140625" style="467"/>
    <col min="3" max="4" width="14.85546875" style="467" bestFit="1" customWidth="1"/>
    <col min="5" max="5" width="43.7109375" style="467" bestFit="1" customWidth="1"/>
    <col min="6" max="6" width="9.140625" style="467"/>
    <col min="7" max="7" width="38.28515625" style="467" bestFit="1" customWidth="1"/>
    <col min="8" max="8" width="8.7109375" style="467" customWidth="1"/>
    <col min="9" max="9" width="15.5703125" style="467" customWidth="1"/>
    <col min="10" max="10" width="16.7109375" style="467" customWidth="1"/>
    <col min="11" max="16384" width="9.140625" style="467"/>
  </cols>
  <sheetData>
    <row r="1" spans="1:11">
      <c r="A1" s="396"/>
      <c r="B1" s="66"/>
      <c r="C1" s="66"/>
      <c r="D1" s="66"/>
      <c r="G1" s="286" t="s">
        <v>605</v>
      </c>
      <c r="H1" s="287"/>
      <c r="I1" s="287"/>
      <c r="J1" s="287"/>
    </row>
    <row r="2" spans="1:11" ht="15.75">
      <c r="A2" s="487" t="s">
        <v>739</v>
      </c>
      <c r="B2" s="287"/>
      <c r="C2" s="287"/>
      <c r="D2" s="66"/>
      <c r="G2" s="487" t="s">
        <v>740</v>
      </c>
      <c r="H2" s="287"/>
      <c r="I2" s="287"/>
      <c r="J2" s="287"/>
    </row>
    <row r="3" spans="1:11">
      <c r="A3" s="66" t="s">
        <v>730</v>
      </c>
      <c r="B3" s="66" t="s">
        <v>731</v>
      </c>
      <c r="C3" s="66"/>
      <c r="D3" s="66"/>
      <c r="G3" s="682" t="s">
        <v>678</v>
      </c>
      <c r="H3" s="682"/>
      <c r="I3" s="682"/>
      <c r="J3" s="287"/>
    </row>
    <row r="4" spans="1:11">
      <c r="A4" s="66" t="s">
        <v>732</v>
      </c>
      <c r="B4" s="66" t="s">
        <v>733</v>
      </c>
      <c r="C4" s="66"/>
      <c r="D4" s="66"/>
      <c r="G4" s="682" t="s">
        <v>359</v>
      </c>
      <c r="H4" s="682"/>
      <c r="I4" s="682"/>
      <c r="J4" s="287"/>
    </row>
    <row r="5" spans="1:11" ht="15.75" thickBot="1">
      <c r="A5" s="287"/>
      <c r="B5" s="287"/>
      <c r="C5" s="287"/>
      <c r="D5" s="287"/>
      <c r="G5" s="287"/>
      <c r="H5" s="287"/>
      <c r="I5" s="287"/>
      <c r="J5" s="287"/>
    </row>
    <row r="6" spans="1:11">
      <c r="A6" s="469" t="s">
        <v>360</v>
      </c>
      <c r="B6" s="289" t="s">
        <v>606</v>
      </c>
      <c r="C6" s="289" t="s">
        <v>650</v>
      </c>
      <c r="D6" s="290" t="s">
        <v>651</v>
      </c>
      <c r="G6" s="288" t="s">
        <v>695</v>
      </c>
      <c r="H6" s="289" t="s">
        <v>606</v>
      </c>
      <c r="I6" s="289" t="s">
        <v>650</v>
      </c>
      <c r="J6" s="290" t="s">
        <v>651</v>
      </c>
    </row>
    <row r="7" spans="1:11" ht="15.75" thickBot="1">
      <c r="A7" s="398">
        <v>5610</v>
      </c>
      <c r="B7" s="468" t="s">
        <v>727</v>
      </c>
      <c r="C7" s="468" t="s">
        <v>364</v>
      </c>
      <c r="D7" s="468" t="s">
        <v>365</v>
      </c>
      <c r="G7" s="291"/>
      <c r="H7" s="292"/>
      <c r="I7" s="292"/>
      <c r="J7" s="293"/>
    </row>
    <row r="8" spans="1:11" ht="36">
      <c r="A8" s="316" t="s">
        <v>754</v>
      </c>
      <c r="B8" s="394" t="s">
        <v>728</v>
      </c>
      <c r="C8" s="395"/>
      <c r="D8" s="395"/>
      <c r="G8" s="316" t="s">
        <v>754</v>
      </c>
      <c r="H8" s="394" t="s">
        <v>728</v>
      </c>
      <c r="I8" s="395"/>
      <c r="J8" s="395"/>
    </row>
    <row r="9" spans="1:11">
      <c r="A9" s="297" t="str">
        <f>A8</f>
        <v xml:space="preserve"> "РЕСТ Ко"</v>
      </c>
      <c r="B9" s="525">
        <v>5500</v>
      </c>
      <c r="C9" s="526">
        <v>-218588360.09</v>
      </c>
      <c r="D9" s="527"/>
      <c r="E9" s="75">
        <f>VLOOKUP(B9,Справочник!$A$2:$C$415,3,FALSE)</f>
        <v>0</v>
      </c>
      <c r="G9" s="297" t="str">
        <f>G8</f>
        <v xml:space="preserve"> "РЕСТ Ко"</v>
      </c>
      <c r="H9" s="525">
        <v>5500</v>
      </c>
      <c r="I9" s="526">
        <v>-356502952.55000001</v>
      </c>
      <c r="J9" s="527"/>
      <c r="K9" s="75">
        <f>VLOOKUP(H9,Справочник!$A$2:$C$415,3,FALSE)</f>
        <v>0</v>
      </c>
    </row>
    <row r="10" spans="1:11">
      <c r="A10" s="297" t="str">
        <f>A9</f>
        <v xml:space="preserve"> "РЕСТ Ко"</v>
      </c>
      <c r="B10" s="525">
        <v>5510</v>
      </c>
      <c r="C10" s="526">
        <v>-218588360.09</v>
      </c>
      <c r="D10" s="527"/>
      <c r="E10" s="75" t="str">
        <f>VLOOKUP(B10,Справочник!$A$2:$C$415,3,FALSE)</f>
        <v>Нераспределенная прибыль (непокрытый убыток)</v>
      </c>
      <c r="G10" s="297" t="str">
        <f>G9</f>
        <v xml:space="preserve"> "РЕСТ Ко"</v>
      </c>
      <c r="H10" s="525">
        <v>5510</v>
      </c>
      <c r="I10" s="526">
        <v>-356502952.55000001</v>
      </c>
      <c r="J10" s="527"/>
      <c r="K10" s="75" t="str">
        <f>VLOOKUP(H10,Справочник!$A$2:$C$415,3,FALSE)</f>
        <v>Нераспределенная прибыль (непокрытый убыток)</v>
      </c>
    </row>
    <row r="11" spans="1:11">
      <c r="A11" s="297" t="str">
        <f t="shared" ref="A11:A51" si="0">A10</f>
        <v xml:space="preserve"> "РЕСТ Ко"</v>
      </c>
      <c r="B11" s="525">
        <v>6000</v>
      </c>
      <c r="C11" s="527"/>
      <c r="D11" s="528">
        <v>1119286596.8499999</v>
      </c>
      <c r="E11" s="75">
        <f>VLOOKUP(B11,Справочник!$A$2:$C$415,3,FALSE)</f>
        <v>0</v>
      </c>
      <c r="G11" s="297" t="str">
        <f t="shared" ref="G11:G51" si="1">G10</f>
        <v xml:space="preserve"> "РЕСТ Ко"</v>
      </c>
      <c r="H11" s="525">
        <v>6000</v>
      </c>
      <c r="I11" s="527"/>
      <c r="J11" s="528">
        <v>1910183946.8</v>
      </c>
      <c r="K11" s="75">
        <f>VLOOKUP(H11,Справочник!$A$2:$C$415,3,FALSE)</f>
        <v>0</v>
      </c>
    </row>
    <row r="12" spans="1:11">
      <c r="A12" s="297" t="str">
        <f t="shared" si="0"/>
        <v xml:space="preserve"> "РЕСТ Ко"</v>
      </c>
      <c r="B12" s="525">
        <v>6010</v>
      </c>
      <c r="C12" s="527"/>
      <c r="D12" s="528">
        <v>1119286596.8499999</v>
      </c>
      <c r="E12" s="75" t="str">
        <f>VLOOKUP(B12,Справочник!$A$2:$C$415,3,FALSE)</f>
        <v>Выручка</v>
      </c>
      <c r="G12" s="297" t="str">
        <f t="shared" si="1"/>
        <v xml:space="preserve"> "РЕСТ Ко"</v>
      </c>
      <c r="H12" s="525">
        <v>6010</v>
      </c>
      <c r="I12" s="527"/>
      <c r="J12" s="528">
        <v>1910183946.8</v>
      </c>
      <c r="K12" s="75" t="str">
        <f>VLOOKUP(H12,Справочник!$A$2:$C$415,3,FALSE)</f>
        <v>Выручка</v>
      </c>
    </row>
    <row r="13" spans="1:11">
      <c r="A13" s="297" t="str">
        <f t="shared" si="0"/>
        <v xml:space="preserve"> "РЕСТ Ко"</v>
      </c>
      <c r="B13" s="525">
        <v>6100</v>
      </c>
      <c r="C13" s="527"/>
      <c r="D13" s="528">
        <v>105600.03</v>
      </c>
      <c r="E13" s="75">
        <f>VLOOKUP(B13,Справочник!$A$2:$C$415,3,FALSE)</f>
        <v>0</v>
      </c>
      <c r="G13" s="297" t="str">
        <f t="shared" si="1"/>
        <v xml:space="preserve"> "РЕСТ Ко"</v>
      </c>
      <c r="H13" s="525">
        <v>6100</v>
      </c>
      <c r="I13" s="527"/>
      <c r="J13" s="528">
        <v>8482.58</v>
      </c>
      <c r="K13" s="75">
        <f>VLOOKUP(H13,Справочник!$A$2:$C$415,3,FALSE)</f>
        <v>0</v>
      </c>
    </row>
    <row r="14" spans="1:11">
      <c r="A14" s="297" t="str">
        <f t="shared" si="0"/>
        <v xml:space="preserve"> "РЕСТ Ко"</v>
      </c>
      <c r="B14" s="525">
        <v>6110</v>
      </c>
      <c r="C14" s="527"/>
      <c r="D14" s="528">
        <v>105600.03</v>
      </c>
      <c r="E14" s="75" t="str">
        <f>VLOOKUP(B14,Справочник!$A$2:$C$415,3,FALSE)</f>
        <v>Доходы по финансированию</v>
      </c>
      <c r="G14" s="297" t="str">
        <f t="shared" si="1"/>
        <v xml:space="preserve"> "РЕСТ Ко"</v>
      </c>
      <c r="H14" s="525">
        <v>6110</v>
      </c>
      <c r="I14" s="527"/>
      <c r="J14" s="528">
        <v>8482.58</v>
      </c>
      <c r="K14" s="75" t="str">
        <f>VLOOKUP(H14,Справочник!$A$2:$C$415,3,FALSE)</f>
        <v>Доходы по финансированию</v>
      </c>
    </row>
    <row r="15" spans="1:11">
      <c r="A15" s="297" t="str">
        <f t="shared" si="0"/>
        <v xml:space="preserve"> "РЕСТ Ко"</v>
      </c>
      <c r="B15" s="525">
        <v>6200</v>
      </c>
      <c r="C15" s="527"/>
      <c r="D15" s="528">
        <v>2589819.77</v>
      </c>
      <c r="E15" s="75">
        <f>VLOOKUP(B15,Справочник!$A$2:$C$415,3,FALSE)</f>
        <v>0</v>
      </c>
      <c r="G15" s="297" t="str">
        <f t="shared" si="1"/>
        <v xml:space="preserve"> "РЕСТ Ко"</v>
      </c>
      <c r="H15" s="525">
        <v>6200</v>
      </c>
      <c r="I15" s="527"/>
      <c r="J15" s="528">
        <v>20614853.199999999</v>
      </c>
      <c r="K15" s="75">
        <f>VLOOKUP(H15,Справочник!$A$2:$C$415,3,FALSE)</f>
        <v>0</v>
      </c>
    </row>
    <row r="16" spans="1:11">
      <c r="A16" s="297" t="str">
        <f t="shared" si="0"/>
        <v xml:space="preserve"> "РЕСТ Ко"</v>
      </c>
      <c r="B16" s="525">
        <v>6210</v>
      </c>
      <c r="C16" s="527"/>
      <c r="D16" s="528">
        <v>2300814.77</v>
      </c>
      <c r="E16" s="75" t="str">
        <f>VLOOKUP(B16,Справочник!$A$2:$C$415,3,FALSE)</f>
        <v>Доходы от выбытия активов</v>
      </c>
      <c r="G16" s="297" t="str">
        <f t="shared" si="1"/>
        <v xml:space="preserve"> "РЕСТ Ко"</v>
      </c>
      <c r="H16" s="525">
        <v>6210</v>
      </c>
      <c r="I16" s="527"/>
      <c r="J16" s="528">
        <v>20231038.48</v>
      </c>
      <c r="K16" s="75" t="str">
        <f>VLOOKUP(H16,Справочник!$A$2:$C$415,3,FALSE)</f>
        <v>Доходы от выбытия активов</v>
      </c>
    </row>
    <row r="17" spans="1:11">
      <c r="A17" s="297" t="str">
        <f t="shared" si="0"/>
        <v xml:space="preserve"> "РЕСТ Ко"</v>
      </c>
      <c r="B17" s="525">
        <v>6280</v>
      </c>
      <c r="C17" s="527"/>
      <c r="D17" s="528">
        <v>289005</v>
      </c>
      <c r="E17" s="75" t="str">
        <f>VLOOKUP(B17,Справочник!$A$2:$C$415,3,FALSE)</f>
        <v>Прочие доходы</v>
      </c>
      <c r="G17" s="297" t="str">
        <f t="shared" si="1"/>
        <v xml:space="preserve"> "РЕСТ Ко"</v>
      </c>
      <c r="H17" s="525">
        <v>6250</v>
      </c>
      <c r="I17" s="527"/>
      <c r="J17" s="528">
        <v>66885.47</v>
      </c>
      <c r="K17" s="75" t="str">
        <f>VLOOKUP(H17,Справочник!$A$2:$C$415,3,FALSE)</f>
        <v>Доходы от курсовой разницы</v>
      </c>
    </row>
    <row r="18" spans="1:11">
      <c r="A18" s="297" t="str">
        <f t="shared" si="0"/>
        <v xml:space="preserve"> "РЕСТ Ко"</v>
      </c>
      <c r="B18" s="525">
        <v>7000</v>
      </c>
      <c r="C18" s="528">
        <v>856812193.16999996</v>
      </c>
      <c r="D18" s="527"/>
      <c r="E18" s="75">
        <f>VLOOKUP(B18,Справочник!$A$2:$C$415,3,FALSE)</f>
        <v>0</v>
      </c>
      <c r="G18" s="297" t="str">
        <f t="shared" si="1"/>
        <v xml:space="preserve"> "РЕСТ Ко"</v>
      </c>
      <c r="H18" s="525">
        <v>6280</v>
      </c>
      <c r="I18" s="527"/>
      <c r="J18" s="528">
        <v>316929.25</v>
      </c>
      <c r="K18" s="75" t="str">
        <f>VLOOKUP(H18,Справочник!$A$2:$C$415,3,FALSE)</f>
        <v>Прочие доходы</v>
      </c>
    </row>
    <row r="19" spans="1:11">
      <c r="A19" s="297" t="str">
        <f t="shared" si="0"/>
        <v xml:space="preserve"> "РЕСТ Ко"</v>
      </c>
      <c r="B19" s="525">
        <v>7010</v>
      </c>
      <c r="C19" s="528">
        <v>856812193.16999996</v>
      </c>
      <c r="D19" s="527"/>
      <c r="E19" s="75" t="str">
        <f>VLOOKUP(B19,Справочник!$A$2:$C$415,3,FALSE)</f>
        <v>Себестоимость реализованных товаров и услуг</v>
      </c>
      <c r="G19" s="297" t="str">
        <f t="shared" si="1"/>
        <v xml:space="preserve"> "РЕСТ Ко"</v>
      </c>
      <c r="H19" s="525">
        <v>7000</v>
      </c>
      <c r="I19" s="528">
        <v>1314472739.3800001</v>
      </c>
      <c r="J19" s="527"/>
      <c r="K19" s="75">
        <f>VLOOKUP(H19,Справочник!$A$2:$C$415,3,FALSE)</f>
        <v>0</v>
      </c>
    </row>
    <row r="20" spans="1:11">
      <c r="A20" s="297" t="str">
        <f t="shared" si="0"/>
        <v xml:space="preserve"> "РЕСТ Ко"</v>
      </c>
      <c r="B20" s="525">
        <v>7100</v>
      </c>
      <c r="C20" s="528">
        <v>163540527.16</v>
      </c>
      <c r="D20" s="527"/>
      <c r="E20" s="75">
        <f>VLOOKUP(B20,Справочник!$A$2:$C$415,3,FALSE)</f>
        <v>0</v>
      </c>
      <c r="G20" s="297" t="str">
        <f t="shared" si="1"/>
        <v xml:space="preserve"> "РЕСТ Ко"</v>
      </c>
      <c r="H20" s="525">
        <v>7010</v>
      </c>
      <c r="I20" s="528">
        <v>1314472739.3800001</v>
      </c>
      <c r="J20" s="527"/>
      <c r="K20" s="75" t="str">
        <f>VLOOKUP(H20,Справочник!$A$2:$C$415,3,FALSE)</f>
        <v>Себестоимость реализованных товаров и услуг</v>
      </c>
    </row>
    <row r="21" spans="1:11">
      <c r="A21" s="297" t="str">
        <f t="shared" si="0"/>
        <v xml:space="preserve"> "РЕСТ Ко"</v>
      </c>
      <c r="B21" s="525">
        <v>7110</v>
      </c>
      <c r="C21" s="528">
        <v>163540527.16</v>
      </c>
      <c r="D21" s="527"/>
      <c r="E21" s="75" t="str">
        <f>VLOOKUP(B21,Справочник!$A$2:$C$415,3,FALSE)</f>
        <v>Расходы по реализации</v>
      </c>
      <c r="G21" s="297" t="str">
        <f t="shared" si="1"/>
        <v xml:space="preserve"> "РЕСТ Ко"</v>
      </c>
      <c r="H21" s="525">
        <v>7100</v>
      </c>
      <c r="I21" s="528">
        <v>196522468.91</v>
      </c>
      <c r="J21" s="527"/>
      <c r="K21" s="75">
        <f>VLOOKUP(H21,Справочник!$A$2:$C$415,3,FALSE)</f>
        <v>0</v>
      </c>
    </row>
    <row r="22" spans="1:11">
      <c r="A22" s="297" t="str">
        <f t="shared" si="0"/>
        <v xml:space="preserve"> "РЕСТ Ко"</v>
      </c>
      <c r="B22" s="525">
        <v>7200</v>
      </c>
      <c r="C22" s="528">
        <v>314280138.35000002</v>
      </c>
      <c r="D22" s="527"/>
      <c r="E22" s="75">
        <f>VLOOKUP(B22,Справочник!$A$2:$C$415,3,FALSE)</f>
        <v>0</v>
      </c>
      <c r="G22" s="297" t="str">
        <f t="shared" si="1"/>
        <v xml:space="preserve"> "РЕСТ Ко"</v>
      </c>
      <c r="H22" s="525">
        <v>7110</v>
      </c>
      <c r="I22" s="528">
        <v>196522468.91</v>
      </c>
      <c r="J22" s="527"/>
      <c r="K22" s="75" t="str">
        <f>VLOOKUP(H22,Справочник!$A$2:$C$415,3,FALSE)</f>
        <v>Расходы по реализации</v>
      </c>
    </row>
    <row r="23" spans="1:11">
      <c r="A23" s="297" t="str">
        <f t="shared" si="0"/>
        <v xml:space="preserve"> "РЕСТ Ко"</v>
      </c>
      <c r="B23" s="525">
        <v>7210</v>
      </c>
      <c r="C23" s="528">
        <v>314280138.35000002</v>
      </c>
      <c r="D23" s="527"/>
      <c r="E23" s="75" t="str">
        <f>VLOOKUP(B23,Справочник!$A$2:$C$415,3,FALSE)</f>
        <v>Административные расходы</v>
      </c>
      <c r="G23" s="297" t="str">
        <f t="shared" si="1"/>
        <v xml:space="preserve"> "РЕСТ Ко"</v>
      </c>
      <c r="H23" s="525">
        <v>7200</v>
      </c>
      <c r="I23" s="528">
        <v>750856687.74000001</v>
      </c>
      <c r="J23" s="527"/>
      <c r="K23" s="75">
        <f>VLOOKUP(H23,Справочник!$A$2:$C$415,3,FALSE)</f>
        <v>0</v>
      </c>
    </row>
    <row r="24" spans="1:11">
      <c r="A24" s="297" t="str">
        <f t="shared" si="0"/>
        <v xml:space="preserve"> "РЕСТ Ко"</v>
      </c>
      <c r="B24" s="525">
        <v>7400</v>
      </c>
      <c r="C24" s="528">
        <v>2779548.05</v>
      </c>
      <c r="D24" s="527"/>
      <c r="E24" s="75">
        <f>VLOOKUP(B24,Справочник!$A$2:$C$415,3,FALSE)</f>
        <v>0</v>
      </c>
      <c r="G24" s="297" t="str">
        <f t="shared" si="1"/>
        <v xml:space="preserve"> "РЕСТ Ко"</v>
      </c>
      <c r="H24" s="525">
        <v>7210</v>
      </c>
      <c r="I24" s="528">
        <v>750856687.74000001</v>
      </c>
      <c r="J24" s="527"/>
      <c r="K24" s="75" t="str">
        <f>VLOOKUP(H24,Справочник!$A$2:$C$415,3,FALSE)</f>
        <v>Административные расходы</v>
      </c>
    </row>
    <row r="25" spans="1:11">
      <c r="A25" s="297" t="str">
        <f t="shared" si="0"/>
        <v xml:space="preserve"> "РЕСТ Ко"</v>
      </c>
      <c r="B25" s="525">
        <v>7410</v>
      </c>
      <c r="C25" s="528">
        <v>2777356.85</v>
      </c>
      <c r="D25" s="527"/>
      <c r="E25" s="75" t="str">
        <f>VLOOKUP(B25,Справочник!$A$2:$C$415,3,FALSE)</f>
        <v>Расходы по выбытию активов</v>
      </c>
      <c r="G25" s="297" t="str">
        <f t="shared" si="1"/>
        <v xml:space="preserve"> "РЕСТ Ко"</v>
      </c>
      <c r="H25" s="525">
        <v>7400</v>
      </c>
      <c r="I25" s="528">
        <v>22083664.100000001</v>
      </c>
      <c r="J25" s="527"/>
      <c r="K25" s="75"/>
    </row>
    <row r="26" spans="1:11">
      <c r="A26" s="297" t="str">
        <f t="shared" si="0"/>
        <v xml:space="preserve"> "РЕСТ Ко"</v>
      </c>
      <c r="B26" s="525">
        <v>7430</v>
      </c>
      <c r="C26" s="528">
        <v>2191.1999999999998</v>
      </c>
      <c r="D26" s="527"/>
      <c r="E26" s="75" t="str">
        <f>VLOOKUP(B26,Справочник!$A$2:$C$415,3,FALSE)</f>
        <v>Расходы по курсовой разнице</v>
      </c>
      <c r="G26" s="297" t="str">
        <f t="shared" si="1"/>
        <v xml:space="preserve"> "РЕСТ Ко"</v>
      </c>
      <c r="H26" s="525">
        <v>7410</v>
      </c>
      <c r="I26" s="528">
        <v>21110222.039999999</v>
      </c>
      <c r="J26" s="527"/>
      <c r="K26" s="75" t="str">
        <f>VLOOKUP(H26,Справочник!$A$2:$C$415,3,FALSE)</f>
        <v>Расходы по выбытию активов</v>
      </c>
    </row>
    <row r="27" spans="1:11">
      <c r="A27" s="297" t="str">
        <f t="shared" si="0"/>
        <v xml:space="preserve"> "РЕСТ Ко"</v>
      </c>
      <c r="B27" s="525">
        <v>7700</v>
      </c>
      <c r="C27" s="528">
        <v>3157970.01</v>
      </c>
      <c r="D27" s="527"/>
      <c r="E27" s="75">
        <f>VLOOKUP(B27,Справочник!$A$2:$C$415,3,FALSE)</f>
        <v>0</v>
      </c>
      <c r="G27" s="297" t="str">
        <f t="shared" si="1"/>
        <v xml:space="preserve"> "РЕСТ Ко"</v>
      </c>
      <c r="H27" s="525">
        <v>7430</v>
      </c>
      <c r="I27" s="528">
        <v>14975.47</v>
      </c>
      <c r="J27" s="527"/>
      <c r="K27" s="75" t="str">
        <f>VLOOKUP(H27,Справочник!$A$2:$C$415,3,FALSE)</f>
        <v>Расходы по курсовой разнице</v>
      </c>
    </row>
    <row r="28" spans="1:11">
      <c r="A28" s="297" t="str">
        <f t="shared" si="0"/>
        <v xml:space="preserve"> "РЕСТ Ко"</v>
      </c>
      <c r="B28" s="525">
        <v>7710</v>
      </c>
      <c r="C28" s="528">
        <v>3157970.01</v>
      </c>
      <c r="D28" s="527"/>
      <c r="E28" s="75" t="str">
        <f>VLOOKUP(B28,Справочник!$A$2:$C$415,3,FALSE)</f>
        <v>Расходы по подоходному налогу</v>
      </c>
      <c r="G28" s="297" t="str">
        <f t="shared" si="1"/>
        <v xml:space="preserve"> "РЕСТ Ко"</v>
      </c>
      <c r="H28" s="525">
        <v>7440</v>
      </c>
      <c r="I28" s="528">
        <v>958466.59</v>
      </c>
      <c r="J28" s="527"/>
      <c r="K28" s="75" t="str">
        <f>VLOOKUP(H28,Справочник!$A$2:$C$415,3,FALSE)</f>
        <v>Прочие расходы</v>
      </c>
    </row>
    <row r="29" spans="1:11">
      <c r="A29" s="297" t="str">
        <f t="shared" si="0"/>
        <v xml:space="preserve"> "РЕСТ Ко"</v>
      </c>
      <c r="B29" s="529" t="s">
        <v>608</v>
      </c>
      <c r="C29" s="530">
        <v>1121982016.6500001</v>
      </c>
      <c r="D29" s="530">
        <v>1121982016.6500001</v>
      </c>
      <c r="E29" s="75" t="e">
        <f>VLOOKUP(B29,Справочник!$A$2:$C$415,3,FALSE)</f>
        <v>#N/A</v>
      </c>
      <c r="G29" s="297" t="str">
        <f t="shared" si="1"/>
        <v xml:space="preserve"> "РЕСТ Ко"</v>
      </c>
      <c r="H29" s="525">
        <v>7700</v>
      </c>
      <c r="I29" s="528">
        <v>3374675</v>
      </c>
      <c r="J29" s="527"/>
      <c r="K29" s="75">
        <f>VLOOKUP(H29,Справочник!$A$2:$C$415,3,FALSE)</f>
        <v>0</v>
      </c>
    </row>
    <row r="30" spans="1:11">
      <c r="A30" s="297" t="str">
        <f t="shared" si="0"/>
        <v xml:space="preserve"> "РЕСТ Ко"</v>
      </c>
      <c r="B30" s="488"/>
      <c r="C30" s="443"/>
      <c r="D30" s="444"/>
      <c r="E30" s="75"/>
      <c r="G30" s="297" t="str">
        <f t="shared" si="1"/>
        <v xml:space="preserve"> "РЕСТ Ко"</v>
      </c>
      <c r="H30" s="525">
        <v>7710</v>
      </c>
      <c r="I30" s="528">
        <v>3374675</v>
      </c>
      <c r="J30" s="527"/>
      <c r="K30" s="75" t="str">
        <f>VLOOKUP(H30,Справочник!$A$2:$C$415,3,FALSE)</f>
        <v>Расходы по подоходному налогу</v>
      </c>
    </row>
    <row r="31" spans="1:11">
      <c r="A31" s="297" t="str">
        <f t="shared" si="0"/>
        <v xml:space="preserve"> "РЕСТ Ко"</v>
      </c>
      <c r="B31" s="488"/>
      <c r="C31" s="443"/>
      <c r="D31" s="444"/>
      <c r="E31" s="75">
        <f>VLOOKUP(B31,Справочник!$A$2:$C$415,3,FALSE)</f>
        <v>0</v>
      </c>
      <c r="G31" s="297" t="str">
        <f t="shared" si="1"/>
        <v xml:space="preserve"> "РЕСТ Ко"</v>
      </c>
      <c r="H31" s="529" t="s">
        <v>608</v>
      </c>
      <c r="I31" s="530">
        <v>1930807282.5799999</v>
      </c>
      <c r="J31" s="530">
        <v>1930807282.5799999</v>
      </c>
      <c r="K31" s="75" t="e">
        <f>VLOOKUP(H31,Справочник!$A$2:$C$415,3,FALSE)</f>
        <v>#N/A</v>
      </c>
    </row>
    <row r="32" spans="1:11">
      <c r="A32" s="297" t="str">
        <f t="shared" si="0"/>
        <v xml:space="preserve"> "РЕСТ Ко"</v>
      </c>
      <c r="B32" s="488"/>
      <c r="C32" s="443"/>
      <c r="D32" s="444"/>
      <c r="E32" s="75">
        <f>VLOOKUP(B32,Справочник!$A$2:$C$415,3,FALSE)</f>
        <v>0</v>
      </c>
      <c r="G32" s="297" t="str">
        <f t="shared" si="1"/>
        <v xml:space="preserve"> "РЕСТ Ко"</v>
      </c>
      <c r="H32" s="488"/>
      <c r="I32" s="443"/>
      <c r="J32" s="444"/>
      <c r="K32" s="75">
        <f>VLOOKUP(H32,Справочник!$A$2:$C$415,3,FALSE)</f>
        <v>0</v>
      </c>
    </row>
    <row r="33" spans="1:11">
      <c r="A33" s="297" t="str">
        <f t="shared" si="0"/>
        <v xml:space="preserve"> "РЕСТ Ко"</v>
      </c>
      <c r="B33" s="488"/>
      <c r="C33" s="443"/>
      <c r="D33" s="444"/>
      <c r="E33" s="75">
        <f>VLOOKUP(B33,Справочник!$A$2:$C$415,3,FALSE)</f>
        <v>0</v>
      </c>
      <c r="G33" s="297" t="str">
        <f t="shared" si="1"/>
        <v xml:space="preserve"> "РЕСТ Ко"</v>
      </c>
      <c r="H33" s="488"/>
      <c r="I33" s="443"/>
      <c r="J33" s="444"/>
      <c r="K33" s="75">
        <f>VLOOKUP(H33,Справочник!$A$2:$C$415,3,FALSE)</f>
        <v>0</v>
      </c>
    </row>
    <row r="34" spans="1:11">
      <c r="A34" s="297" t="str">
        <f t="shared" si="0"/>
        <v xml:space="preserve"> "РЕСТ Ко"</v>
      </c>
      <c r="B34" s="488"/>
      <c r="C34" s="443"/>
      <c r="D34" s="444"/>
      <c r="E34" s="75">
        <f>VLOOKUP(B34,Справочник!$A$2:$C$415,3,FALSE)</f>
        <v>0</v>
      </c>
      <c r="G34" s="297" t="str">
        <f t="shared" si="1"/>
        <v xml:space="preserve"> "РЕСТ Ко"</v>
      </c>
      <c r="H34" s="488"/>
      <c r="I34" s="443"/>
      <c r="J34" s="444"/>
      <c r="K34" s="75">
        <f>VLOOKUP(H34,Справочник!$A$2:$C$415,3,FALSE)</f>
        <v>0</v>
      </c>
    </row>
    <row r="35" spans="1:11">
      <c r="A35" s="297" t="str">
        <f t="shared" si="0"/>
        <v xml:space="preserve"> "РЕСТ Ко"</v>
      </c>
      <c r="B35" s="489"/>
      <c r="C35" s="490"/>
      <c r="D35" s="490"/>
      <c r="E35" s="75">
        <f>VLOOKUP(B35,Справочник!$A$2:$C$415,3,FALSE)</f>
        <v>0</v>
      </c>
      <c r="G35" s="297" t="str">
        <f t="shared" si="1"/>
        <v xml:space="preserve"> "РЕСТ Ко"</v>
      </c>
      <c r="H35" s="488"/>
      <c r="I35" s="443"/>
      <c r="J35" s="444"/>
      <c r="K35" s="75">
        <f>VLOOKUP(H35,Справочник!$A$2:$C$415,3,FALSE)</f>
        <v>0</v>
      </c>
    </row>
    <row r="36" spans="1:11">
      <c r="A36" s="297" t="str">
        <f t="shared" si="0"/>
        <v xml:space="preserve"> "РЕСТ Ко"</v>
      </c>
      <c r="B36" s="489"/>
      <c r="C36" s="491"/>
      <c r="D36" s="491"/>
      <c r="E36" s="75">
        <f>VLOOKUP(B36,Справочник!$A$2:$C$415,3,FALSE)</f>
        <v>0</v>
      </c>
      <c r="G36" s="297" t="str">
        <f t="shared" si="1"/>
        <v xml:space="preserve"> "РЕСТ Ко"</v>
      </c>
      <c r="H36" s="489"/>
      <c r="I36" s="490"/>
      <c r="J36" s="490"/>
      <c r="K36" s="75">
        <f>VLOOKUP(H36,Справочник!$A$2:$C$415,3,FALSE)</f>
        <v>0</v>
      </c>
    </row>
    <row r="37" spans="1:11">
      <c r="A37" s="297" t="str">
        <f t="shared" si="0"/>
        <v xml:space="preserve"> "РЕСТ Ко"</v>
      </c>
      <c r="B37" s="377"/>
      <c r="C37" s="378"/>
      <c r="D37" s="379"/>
      <c r="E37" s="75">
        <f>VLOOKUP(B37,Справочник!$A$2:$C$415,3,FALSE)</f>
        <v>0</v>
      </c>
      <c r="G37" s="297" t="str">
        <f t="shared" si="1"/>
        <v xml:space="preserve"> "РЕСТ Ко"</v>
      </c>
      <c r="H37" s="377"/>
      <c r="I37" s="378"/>
      <c r="J37" s="379"/>
      <c r="K37" s="75">
        <f>VLOOKUP(H37,Справочник!$A$2:$C$415,3,FALSE)</f>
        <v>0</v>
      </c>
    </row>
    <row r="38" spans="1:11">
      <c r="A38" s="297"/>
      <c r="B38" s="377"/>
      <c r="C38" s="378"/>
      <c r="D38" s="379"/>
      <c r="E38" s="75">
        <f>VLOOKUP(B38,Справочник!$A$2:$C$415,3,FALSE)</f>
        <v>0</v>
      </c>
      <c r="G38" s="297" t="str">
        <f t="shared" si="1"/>
        <v xml:space="preserve"> "РЕСТ Ко"</v>
      </c>
      <c r="H38" s="377"/>
      <c r="I38" s="378"/>
      <c r="J38" s="379"/>
      <c r="K38" s="75">
        <f>VLOOKUP(H38,Справочник!$A$2:$C$415,3,FALSE)</f>
        <v>0</v>
      </c>
    </row>
    <row r="39" spans="1:11">
      <c r="A39" s="297">
        <f t="shared" si="0"/>
        <v>0</v>
      </c>
      <c r="B39" s="377"/>
      <c r="C39" s="378"/>
      <c r="D39" s="379"/>
      <c r="E39" s="75">
        <f>VLOOKUP(B39,Справочник!$A$2:$C$415,3,FALSE)</f>
        <v>0</v>
      </c>
      <c r="G39" s="297" t="str">
        <f t="shared" si="1"/>
        <v xml:space="preserve"> "РЕСТ Ко"</v>
      </c>
      <c r="H39" s="377"/>
      <c r="I39" s="378"/>
      <c r="J39" s="379"/>
      <c r="K39" s="75">
        <f>VLOOKUP(H39,Справочник!$A$2:$C$415,3,FALSE)</f>
        <v>0</v>
      </c>
    </row>
    <row r="40" spans="1:11">
      <c r="A40" s="297"/>
      <c r="B40" s="377"/>
      <c r="C40" s="378"/>
      <c r="D40" s="379"/>
      <c r="E40" s="75">
        <f>VLOOKUP(B40,Справочник!$A$2:$C$415,3,FALSE)</f>
        <v>0</v>
      </c>
      <c r="G40" s="297" t="str">
        <f t="shared" si="1"/>
        <v xml:space="preserve"> "РЕСТ Ко"</v>
      </c>
      <c r="H40" s="377"/>
      <c r="I40" s="378"/>
      <c r="J40" s="379"/>
      <c r="K40" s="75">
        <f>VLOOKUP(H40,Справочник!$A$2:$C$415,3,FALSE)</f>
        <v>0</v>
      </c>
    </row>
    <row r="41" spans="1:11">
      <c r="A41" s="297"/>
      <c r="B41" s="377"/>
      <c r="C41" s="378"/>
      <c r="D41" s="379"/>
      <c r="E41" s="75">
        <f>VLOOKUP(B41,Справочник!$A$2:$C$415,3,FALSE)</f>
        <v>0</v>
      </c>
      <c r="G41" s="297" t="str">
        <f t="shared" si="1"/>
        <v xml:space="preserve"> "РЕСТ Ко"</v>
      </c>
      <c r="H41" s="377"/>
      <c r="I41" s="378"/>
      <c r="J41" s="379"/>
      <c r="K41" s="75">
        <f>VLOOKUP(H41,Справочник!$A$2:$C$415,3,FALSE)</f>
        <v>0</v>
      </c>
    </row>
    <row r="42" spans="1:11">
      <c r="A42" s="297"/>
      <c r="B42" s="377"/>
      <c r="C42" s="378"/>
      <c r="D42" s="379"/>
      <c r="E42" s="75">
        <f>VLOOKUP(B42,Справочник!$A$2:$C$415,3,FALSE)</f>
        <v>0</v>
      </c>
      <c r="G42" s="297" t="str">
        <f t="shared" si="1"/>
        <v xml:space="preserve"> "РЕСТ Ко"</v>
      </c>
      <c r="H42" s="377"/>
      <c r="I42" s="378"/>
      <c r="J42" s="379"/>
      <c r="K42" s="75">
        <f>VLOOKUP(H42,Справочник!$A$2:$C$415,3,FALSE)</f>
        <v>0</v>
      </c>
    </row>
    <row r="43" spans="1:11">
      <c r="A43" s="297">
        <f t="shared" si="0"/>
        <v>0</v>
      </c>
      <c r="B43" s="377"/>
      <c r="C43" s="378"/>
      <c r="D43" s="379"/>
      <c r="E43" s="75">
        <f>VLOOKUP(B43,Справочник!$A$2:$C$415,3,FALSE)</f>
        <v>0</v>
      </c>
      <c r="G43" s="297" t="str">
        <f t="shared" si="1"/>
        <v xml:space="preserve"> "РЕСТ Ко"</v>
      </c>
      <c r="H43" s="377"/>
      <c r="I43" s="378"/>
      <c r="J43" s="379"/>
      <c r="K43" s="75">
        <f>VLOOKUP(H43,Справочник!$A$2:$C$415,3,FALSE)</f>
        <v>0</v>
      </c>
    </row>
    <row r="44" spans="1:11">
      <c r="A44" s="297"/>
      <c r="B44" s="377"/>
      <c r="C44" s="378"/>
      <c r="D44" s="379"/>
      <c r="E44" s="75">
        <f>VLOOKUP(B44,Справочник!$A$2:$C$415,3,FALSE)</f>
        <v>0</v>
      </c>
      <c r="G44" s="297" t="str">
        <f t="shared" si="1"/>
        <v xml:space="preserve"> "РЕСТ Ко"</v>
      </c>
      <c r="H44" s="377"/>
      <c r="I44" s="378"/>
      <c r="J44" s="379"/>
      <c r="K44" s="75">
        <f>VLOOKUP(H44,Справочник!$A$2:$C$415,3,FALSE)</f>
        <v>0</v>
      </c>
    </row>
    <row r="45" spans="1:11">
      <c r="A45" s="297"/>
      <c r="B45" s="377"/>
      <c r="C45" s="378"/>
      <c r="D45" s="379"/>
      <c r="E45" s="75">
        <f>VLOOKUP(B45,Справочник!$A$2:$C$415,3,FALSE)</f>
        <v>0</v>
      </c>
      <c r="G45" s="297" t="str">
        <f t="shared" si="1"/>
        <v xml:space="preserve"> "РЕСТ Ко"</v>
      </c>
      <c r="H45" s="377"/>
      <c r="I45" s="378"/>
      <c r="J45" s="379"/>
      <c r="K45" s="75">
        <f>VLOOKUP(H45,Справочник!$A$2:$C$415,3,FALSE)</f>
        <v>0</v>
      </c>
    </row>
    <row r="46" spans="1:11">
      <c r="A46" s="297"/>
      <c r="B46" s="377"/>
      <c r="C46" s="378"/>
      <c r="D46" s="379"/>
      <c r="E46" s="75">
        <f>VLOOKUP(B46,Справочник!$A$2:$C$415,3,FALSE)</f>
        <v>0</v>
      </c>
      <c r="G46" s="297" t="str">
        <f t="shared" si="1"/>
        <v xml:space="preserve"> "РЕСТ Ко"</v>
      </c>
      <c r="H46" s="377"/>
      <c r="I46" s="378"/>
      <c r="J46" s="379"/>
      <c r="K46" s="75">
        <f>VLOOKUP(H46,Справочник!$A$2:$C$415,3,FALSE)</f>
        <v>0</v>
      </c>
    </row>
    <row r="47" spans="1:11">
      <c r="A47" s="297"/>
      <c r="B47" s="377"/>
      <c r="C47" s="380"/>
      <c r="D47" s="379"/>
      <c r="E47" s="75">
        <f>VLOOKUP(B47,Справочник!$A$2:$C$415,3,FALSE)</f>
        <v>0</v>
      </c>
      <c r="G47" s="297" t="str">
        <f t="shared" si="1"/>
        <v xml:space="preserve"> "РЕСТ Ко"</v>
      </c>
      <c r="H47" s="377"/>
      <c r="I47" s="378"/>
      <c r="J47" s="379"/>
      <c r="K47" s="75">
        <f>VLOOKUP(H47,Справочник!$A$2:$C$415,3,FALSE)</f>
        <v>0</v>
      </c>
    </row>
    <row r="48" spans="1:11">
      <c r="A48" s="297"/>
      <c r="B48" s="377"/>
      <c r="C48" s="378"/>
      <c r="D48" s="379"/>
      <c r="E48" s="75">
        <f>VLOOKUP(B48,Справочник!$A$2:$C$415,3,FALSE)</f>
        <v>0</v>
      </c>
      <c r="G48" s="297" t="str">
        <f t="shared" si="1"/>
        <v xml:space="preserve"> "РЕСТ Ко"</v>
      </c>
      <c r="H48" s="377"/>
      <c r="I48" s="378"/>
      <c r="J48" s="379"/>
      <c r="K48" s="75">
        <f>VLOOKUP(H48,Справочник!$A$2:$C$415,3,FALSE)</f>
        <v>0</v>
      </c>
    </row>
    <row r="49" spans="1:11">
      <c r="A49" s="297">
        <f t="shared" si="0"/>
        <v>0</v>
      </c>
      <c r="B49" s="377"/>
      <c r="C49" s="378"/>
      <c r="D49" s="379"/>
      <c r="E49" s="75">
        <f>VLOOKUP(B49,Справочник!$A$2:$C$415,3,FALSE)</f>
        <v>0</v>
      </c>
      <c r="G49" s="297" t="str">
        <f t="shared" si="1"/>
        <v xml:space="preserve"> "РЕСТ Ко"</v>
      </c>
      <c r="H49" s="377"/>
      <c r="I49" s="378"/>
      <c r="J49" s="379"/>
      <c r="K49" s="75">
        <f>VLOOKUP(H49,Справочник!$A$2:$C$415,3,FALSE)</f>
        <v>0</v>
      </c>
    </row>
    <row r="50" spans="1:11">
      <c r="A50" s="297"/>
      <c r="B50" s="377"/>
      <c r="C50" s="378"/>
      <c r="D50" s="379"/>
      <c r="E50" s="75">
        <f>VLOOKUP(B50,Справочник!$A$2:$C$415,3,FALSE)</f>
        <v>0</v>
      </c>
      <c r="G50" s="297" t="str">
        <f t="shared" si="1"/>
        <v xml:space="preserve"> "РЕСТ Ко"</v>
      </c>
      <c r="H50" s="298"/>
      <c r="I50" s="299"/>
      <c r="J50" s="300"/>
      <c r="K50" s="75">
        <f>VLOOKUP(H50,Справочник!$A$2:$C$415,3,FALSE)</f>
        <v>0</v>
      </c>
    </row>
    <row r="51" spans="1:11">
      <c r="A51" s="297">
        <f t="shared" si="0"/>
        <v>0</v>
      </c>
      <c r="B51" s="298"/>
      <c r="C51" s="299"/>
      <c r="D51" s="300"/>
      <c r="E51" s="75">
        <f>VLOOKUP(B51,Справочник!$A$2:$C$415,3,FALSE)</f>
        <v>0</v>
      </c>
      <c r="G51" s="297" t="str">
        <f t="shared" si="1"/>
        <v xml:space="preserve"> "РЕСТ Ко"</v>
      </c>
      <c r="H51" s="298"/>
      <c r="I51" s="299"/>
      <c r="J51" s="300"/>
      <c r="K51" s="75">
        <f>VLOOKUP(H51,Справочник!$A$2:$C$415,3,FALSE)</f>
        <v>0</v>
      </c>
    </row>
    <row r="52" spans="1:11">
      <c r="A52" s="297">
        <f>A51</f>
        <v>0</v>
      </c>
      <c r="B52" s="298"/>
      <c r="C52" s="299"/>
      <c r="D52" s="300"/>
      <c r="E52" s="75">
        <f>VLOOKUP(B52,Справочник!$A$2:$C$415,3,FALSE)</f>
        <v>0</v>
      </c>
      <c r="G52" s="297"/>
      <c r="H52" s="302"/>
      <c r="I52" s="303"/>
      <c r="J52" s="345"/>
      <c r="K52" s="75"/>
    </row>
    <row r="53" spans="1:11" ht="15.75" thickBot="1">
      <c r="A53" s="334"/>
      <c r="B53" s="302"/>
      <c r="C53" s="303"/>
      <c r="D53" s="345"/>
      <c r="E53" s="75"/>
      <c r="G53" s="297"/>
      <c r="H53" s="295"/>
      <c r="I53" s="304"/>
      <c r="J53" s="296"/>
      <c r="K53" s="75"/>
    </row>
    <row r="54" spans="1:11" ht="15.75" thickBot="1">
      <c r="A54" s="294"/>
      <c r="B54" s="295"/>
      <c r="C54" s="304"/>
      <c r="D54" s="296"/>
      <c r="G54" s="301"/>
      <c r="H54" s="306"/>
      <c r="I54" s="307"/>
      <c r="J54" s="308"/>
      <c r="K54" s="75"/>
    </row>
    <row r="55" spans="1:11" ht="15.75" thickBot="1">
      <c r="A55" s="305" t="s">
        <v>696</v>
      </c>
      <c r="B55" s="306"/>
      <c r="C55" s="307"/>
      <c r="D55" s="308"/>
      <c r="G55" s="294"/>
      <c r="H55" s="310"/>
      <c r="I55" s="311"/>
      <c r="J55" s="330"/>
      <c r="K55" s="75"/>
    </row>
    <row r="56" spans="1:11" ht="15.75" thickBot="1">
      <c r="A56" s="309"/>
      <c r="B56" s="310"/>
      <c r="C56" s="311"/>
      <c r="D56" s="391"/>
    </row>
  </sheetData>
  <mergeCells count="2">
    <mergeCell ref="G3:I3"/>
    <mergeCell ref="G4:I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6"/>
  <sheetViews>
    <sheetView topLeftCell="A4" workbookViewId="0">
      <selection activeCell="C18" sqref="C18"/>
    </sheetView>
  </sheetViews>
  <sheetFormatPr defaultRowHeight="15"/>
  <cols>
    <col min="1" max="1" width="38.28515625" style="470" bestFit="1" customWidth="1"/>
    <col min="2" max="2" width="9.140625" style="470"/>
    <col min="3" max="4" width="14.85546875" style="470" bestFit="1" customWidth="1"/>
    <col min="5" max="5" width="43.7109375" style="470" bestFit="1" customWidth="1"/>
    <col min="6" max="6" width="9.140625" style="470"/>
    <col min="7" max="7" width="38.28515625" style="470" bestFit="1" customWidth="1"/>
    <col min="8" max="8" width="8.7109375" style="470" customWidth="1"/>
    <col min="9" max="9" width="15.5703125" style="470" customWidth="1"/>
    <col min="10" max="10" width="16.7109375" style="470" customWidth="1"/>
    <col min="11" max="16384" width="9.140625" style="470"/>
  </cols>
  <sheetData>
    <row r="1" spans="1:11">
      <c r="A1" s="396"/>
      <c r="B1" s="66"/>
      <c r="C1" s="66"/>
      <c r="D1" s="66"/>
      <c r="G1" s="286" t="s">
        <v>605</v>
      </c>
      <c r="H1" s="287"/>
      <c r="I1" s="287"/>
      <c r="J1" s="287"/>
    </row>
    <row r="2" spans="1:11" ht="15.75">
      <c r="A2" s="487" t="s">
        <v>739</v>
      </c>
      <c r="B2" s="287"/>
      <c r="C2" s="287"/>
      <c r="D2" s="66"/>
      <c r="G2" s="487" t="s">
        <v>740</v>
      </c>
      <c r="H2" s="287"/>
      <c r="I2" s="287"/>
      <c r="J2" s="287"/>
    </row>
    <row r="3" spans="1:11">
      <c r="A3" s="66" t="s">
        <v>730</v>
      </c>
      <c r="B3" s="66" t="s">
        <v>731</v>
      </c>
      <c r="C3" s="66"/>
      <c r="D3" s="66"/>
      <c r="G3" s="682" t="s">
        <v>678</v>
      </c>
      <c r="H3" s="682"/>
      <c r="I3" s="682"/>
      <c r="J3" s="287"/>
    </row>
    <row r="4" spans="1:11">
      <c r="A4" s="66" t="s">
        <v>732</v>
      </c>
      <c r="B4" s="66" t="s">
        <v>733</v>
      </c>
      <c r="C4" s="66"/>
      <c r="D4" s="66"/>
      <c r="G4" s="682" t="s">
        <v>359</v>
      </c>
      <c r="H4" s="682"/>
      <c r="I4" s="682"/>
      <c r="J4" s="287"/>
    </row>
    <row r="5" spans="1:11" ht="15.75" thickBot="1">
      <c r="A5" s="287"/>
      <c r="B5" s="287"/>
      <c r="C5" s="287"/>
      <c r="D5" s="287"/>
      <c r="G5" s="287"/>
      <c r="H5" s="287"/>
      <c r="I5" s="287"/>
      <c r="J5" s="287"/>
    </row>
    <row r="6" spans="1:11">
      <c r="A6" s="472" t="s">
        <v>360</v>
      </c>
      <c r="B6" s="289" t="s">
        <v>606</v>
      </c>
      <c r="C6" s="289" t="s">
        <v>650</v>
      </c>
      <c r="D6" s="290" t="s">
        <v>651</v>
      </c>
      <c r="G6" s="288" t="s">
        <v>695</v>
      </c>
      <c r="H6" s="289" t="s">
        <v>606</v>
      </c>
      <c r="I6" s="289" t="s">
        <v>650</v>
      </c>
      <c r="J6" s="290" t="s">
        <v>651</v>
      </c>
    </row>
    <row r="7" spans="1:11" ht="15.75" thickBot="1">
      <c r="A7" s="398">
        <v>5610</v>
      </c>
      <c r="B7" s="471" t="s">
        <v>727</v>
      </c>
      <c r="C7" s="471" t="s">
        <v>364</v>
      </c>
      <c r="D7" s="471" t="s">
        <v>365</v>
      </c>
      <c r="G7" s="291"/>
      <c r="H7" s="292"/>
      <c r="I7" s="292"/>
      <c r="J7" s="293"/>
    </row>
    <row r="8" spans="1:11" ht="36">
      <c r="A8" s="316" t="s">
        <v>755</v>
      </c>
      <c r="B8" s="394" t="s">
        <v>728</v>
      </c>
      <c r="C8" s="395"/>
      <c r="D8" s="395"/>
      <c r="G8" s="316" t="s">
        <v>755</v>
      </c>
      <c r="H8" s="394" t="s">
        <v>728</v>
      </c>
      <c r="I8" s="395"/>
      <c r="J8" s="395"/>
    </row>
    <row r="9" spans="1:11">
      <c r="A9" s="297" t="str">
        <f>A8</f>
        <v xml:space="preserve"> "Тема Ко"</v>
      </c>
      <c r="B9" s="596">
        <v>5500</v>
      </c>
      <c r="C9" s="597">
        <v>-191875010.47999999</v>
      </c>
      <c r="D9" s="598"/>
      <c r="E9" s="75">
        <f>VLOOKUP(B9,Справочник!$A$2:$C$415,3,FALSE)</f>
        <v>0</v>
      </c>
      <c r="G9" s="297" t="str">
        <f>G8</f>
        <v xml:space="preserve"> "Тема Ко"</v>
      </c>
      <c r="H9" s="596">
        <v>5500</v>
      </c>
      <c r="I9" s="599">
        <v>1958422094.02</v>
      </c>
      <c r="J9" s="598"/>
      <c r="K9" s="75">
        <f>VLOOKUP(H9,Справочник!$A$2:$C$415,3,FALSE)</f>
        <v>0</v>
      </c>
    </row>
    <row r="10" spans="1:11">
      <c r="A10" s="297" t="str">
        <f>A9</f>
        <v xml:space="preserve"> "Тема Ко"</v>
      </c>
      <c r="B10" s="596">
        <v>5510</v>
      </c>
      <c r="C10" s="597">
        <v>-191875010.47999999</v>
      </c>
      <c r="D10" s="598"/>
      <c r="E10" s="75" t="str">
        <f>VLOOKUP(B10,Справочник!$A$2:$C$415,3,FALSE)</f>
        <v>Нераспределенная прибыль (непокрытый убыток)</v>
      </c>
      <c r="G10" s="297" t="str">
        <f>G9</f>
        <v xml:space="preserve"> "Тема Ко"</v>
      </c>
      <c r="H10" s="596">
        <v>5510</v>
      </c>
      <c r="I10" s="599">
        <v>1958422094.02</v>
      </c>
      <c r="J10" s="598"/>
      <c r="K10" s="75" t="str">
        <f>VLOOKUP(H10,Справочник!$A$2:$C$415,3,FALSE)</f>
        <v>Нераспределенная прибыль (непокрытый убыток)</v>
      </c>
    </row>
    <row r="11" spans="1:11">
      <c r="A11" s="297" t="str">
        <f t="shared" ref="A11:A51" si="0">A10</f>
        <v xml:space="preserve"> "Тема Ко"</v>
      </c>
      <c r="B11" s="596">
        <v>6000</v>
      </c>
      <c r="C11" s="598"/>
      <c r="D11" s="599">
        <v>337542368.44</v>
      </c>
      <c r="E11" s="75">
        <f>VLOOKUP(B11,Справочник!$A$2:$C$415,3,FALSE)</f>
        <v>0</v>
      </c>
      <c r="G11" s="297" t="str">
        <f t="shared" ref="G11:G51" si="1">G10</f>
        <v xml:space="preserve"> "Тема Ко"</v>
      </c>
      <c r="H11" s="596">
        <v>6000</v>
      </c>
      <c r="I11" s="598"/>
      <c r="J11" s="599">
        <v>1087465156.97</v>
      </c>
      <c r="K11" s="75">
        <f>VLOOKUP(H11,Справочник!$A$2:$C$415,3,FALSE)</f>
        <v>0</v>
      </c>
    </row>
    <row r="12" spans="1:11">
      <c r="A12" s="297" t="str">
        <f t="shared" si="0"/>
        <v xml:space="preserve"> "Тема Ко"</v>
      </c>
      <c r="B12" s="596">
        <v>6010</v>
      </c>
      <c r="C12" s="598"/>
      <c r="D12" s="599">
        <v>337542368.44</v>
      </c>
      <c r="E12" s="75" t="str">
        <f>VLOOKUP(B12,Справочник!$A$2:$C$415,3,FALSE)</f>
        <v>Выручка</v>
      </c>
      <c r="G12" s="297" t="str">
        <f t="shared" si="1"/>
        <v xml:space="preserve"> "Тема Ко"</v>
      </c>
      <c r="H12" s="596">
        <v>6010</v>
      </c>
      <c r="I12" s="598"/>
      <c r="J12" s="599">
        <v>1087465156.97</v>
      </c>
      <c r="K12" s="75" t="str">
        <f>VLOOKUP(H12,Справочник!$A$2:$C$415,3,FALSE)</f>
        <v>Выручка</v>
      </c>
    </row>
    <row r="13" spans="1:11">
      <c r="A13" s="297" t="str">
        <f t="shared" si="0"/>
        <v xml:space="preserve"> "Тема Ко"</v>
      </c>
      <c r="B13" s="596">
        <v>6200</v>
      </c>
      <c r="C13" s="598"/>
      <c r="D13" s="599">
        <v>268582934.83999997</v>
      </c>
      <c r="E13" s="75">
        <f>VLOOKUP(B13,Справочник!$A$2:$C$415,3,FALSE)</f>
        <v>0</v>
      </c>
      <c r="G13" s="297" t="str">
        <f t="shared" si="1"/>
        <v xml:space="preserve"> "Тема Ко"</v>
      </c>
      <c r="H13" s="596">
        <v>6100</v>
      </c>
      <c r="I13" s="598"/>
      <c r="J13" s="599">
        <v>179296513.36000001</v>
      </c>
      <c r="K13" s="75">
        <f>VLOOKUP(H13,Справочник!$A$2:$C$415,3,FALSE)</f>
        <v>0</v>
      </c>
    </row>
    <row r="14" spans="1:11">
      <c r="A14" s="297" t="str">
        <f t="shared" si="0"/>
        <v xml:space="preserve"> "Тема Ко"</v>
      </c>
      <c r="B14" s="596">
        <v>6210</v>
      </c>
      <c r="C14" s="598"/>
      <c r="D14" s="599">
        <v>265092475.83000001</v>
      </c>
      <c r="E14" s="75" t="str">
        <f>VLOOKUP(B14,Справочник!$A$2:$C$415,3,FALSE)</f>
        <v>Доходы от выбытия активов</v>
      </c>
      <c r="G14" s="297" t="str">
        <f t="shared" si="1"/>
        <v xml:space="preserve"> "Тема Ко"</v>
      </c>
      <c r="H14" s="596">
        <v>6120</v>
      </c>
      <c r="I14" s="598"/>
      <c r="J14" s="599">
        <v>155000000</v>
      </c>
      <c r="K14" s="75" t="str">
        <f>VLOOKUP(H14,Справочник!$A$2:$C$415,3,FALSE)</f>
        <v>Доходы по финансированию</v>
      </c>
    </row>
    <row r="15" spans="1:11">
      <c r="A15" s="297" t="str">
        <f t="shared" si="0"/>
        <v xml:space="preserve"> "Тема Ко"</v>
      </c>
      <c r="B15" s="596">
        <v>6250</v>
      </c>
      <c r="C15" s="598"/>
      <c r="D15" s="599">
        <v>64734.27</v>
      </c>
      <c r="E15" s="75" t="str">
        <f>VLOOKUP(B15,Справочник!$A$2:$C$415,3,FALSE)</f>
        <v>Доходы от курсовой разницы</v>
      </c>
      <c r="G15" s="297" t="str">
        <f t="shared" si="1"/>
        <v xml:space="preserve"> "Тема Ко"</v>
      </c>
      <c r="H15" s="596">
        <v>6140</v>
      </c>
      <c r="I15" s="598"/>
      <c r="J15" s="599">
        <v>14769000</v>
      </c>
      <c r="K15" s="75" t="str">
        <f>VLOOKUP(H15,Справочник!$A$2:$C$415,3,FALSE)</f>
        <v>Доходы по финансированию</v>
      </c>
    </row>
    <row r="16" spans="1:11">
      <c r="A16" s="297" t="str">
        <f t="shared" si="0"/>
        <v xml:space="preserve"> "Тема Ко"</v>
      </c>
      <c r="B16" s="596">
        <v>6280</v>
      </c>
      <c r="C16" s="598"/>
      <c r="D16" s="599">
        <v>3425724.74</v>
      </c>
      <c r="E16" s="75" t="str">
        <f>VLOOKUP(B16,Справочник!$A$2:$C$415,3,FALSE)</f>
        <v>Прочие доходы</v>
      </c>
      <c r="G16" s="297" t="str">
        <f t="shared" si="1"/>
        <v xml:space="preserve"> "Тема Ко"</v>
      </c>
      <c r="H16" s="596">
        <v>6150</v>
      </c>
      <c r="I16" s="598"/>
      <c r="J16" s="599">
        <v>9527513.3599999994</v>
      </c>
      <c r="K16" s="75" t="str">
        <f>VLOOKUP(H16,Справочник!$A$2:$C$415,3,FALSE)</f>
        <v>Доходы по финансированию</v>
      </c>
    </row>
    <row r="17" spans="1:11">
      <c r="A17" s="297" t="str">
        <f t="shared" si="0"/>
        <v xml:space="preserve"> "Тема Ко"</v>
      </c>
      <c r="B17" s="596">
        <v>7000</v>
      </c>
      <c r="C17" s="599">
        <v>542914122.58000004</v>
      </c>
      <c r="D17" s="598"/>
      <c r="E17" s="75">
        <f>VLOOKUP(B17,Справочник!$A$2:$C$415,3,FALSE)</f>
        <v>0</v>
      </c>
      <c r="G17" s="297" t="str">
        <f t="shared" si="1"/>
        <v xml:space="preserve"> "Тема Ко"</v>
      </c>
      <c r="H17" s="596">
        <v>6200</v>
      </c>
      <c r="I17" s="598"/>
      <c r="J17" s="599">
        <v>3016330425.6500001</v>
      </c>
      <c r="K17" s="75">
        <f>VLOOKUP(H17,Справочник!$A$2:$C$415,3,FALSE)</f>
        <v>0</v>
      </c>
    </row>
    <row r="18" spans="1:11">
      <c r="A18" s="297" t="str">
        <f t="shared" si="0"/>
        <v xml:space="preserve"> "Тема Ко"</v>
      </c>
      <c r="B18" s="596">
        <v>7010</v>
      </c>
      <c r="C18" s="599">
        <v>542914122.58000004</v>
      </c>
      <c r="D18" s="598"/>
      <c r="E18" s="75" t="str">
        <f>VLOOKUP(B18,Справочник!$A$2:$C$415,3,FALSE)</f>
        <v>Себестоимость реализованных товаров и услуг</v>
      </c>
      <c r="G18" s="297" t="str">
        <f t="shared" si="1"/>
        <v xml:space="preserve"> "Тема Ко"</v>
      </c>
      <c r="H18" s="596">
        <v>6210</v>
      </c>
      <c r="I18" s="598"/>
      <c r="J18" s="599">
        <v>2999964499.1000004</v>
      </c>
      <c r="K18" s="75" t="str">
        <f>VLOOKUP(H18,Справочник!$A$2:$C$415,3,FALSE)</f>
        <v>Доходы от выбытия активов</v>
      </c>
    </row>
    <row r="19" spans="1:11">
      <c r="A19" s="297" t="str">
        <f t="shared" si="0"/>
        <v xml:space="preserve"> "Тема Ко"</v>
      </c>
      <c r="B19" s="596">
        <v>7100</v>
      </c>
      <c r="C19" s="599">
        <v>5234324.1100000003</v>
      </c>
      <c r="D19" s="598"/>
      <c r="E19" s="75">
        <f>VLOOKUP(B19,Справочник!$A$2:$C$415,3,FALSE)</f>
        <v>0</v>
      </c>
      <c r="G19" s="297" t="str">
        <f t="shared" si="1"/>
        <v xml:space="preserve"> "Тема Ко"</v>
      </c>
      <c r="H19" s="596">
        <v>6220</v>
      </c>
      <c r="I19" s="598"/>
      <c r="J19" s="599">
        <v>2094375</v>
      </c>
      <c r="K19" s="75" t="str">
        <f>VLOOKUP(H19,Справочник!$A$2:$C$415,3,FALSE)</f>
        <v>Прочие доходы</v>
      </c>
    </row>
    <row r="20" spans="1:11">
      <c r="A20" s="297" t="str">
        <f t="shared" si="0"/>
        <v xml:space="preserve"> "Тема Ко"</v>
      </c>
      <c r="B20" s="596">
        <v>7110</v>
      </c>
      <c r="C20" s="599">
        <v>5234324.1100000003</v>
      </c>
      <c r="D20" s="598"/>
      <c r="E20" s="75" t="str">
        <f>VLOOKUP(B20,Справочник!$A$2:$C$415,3,FALSE)</f>
        <v>Расходы по реализации</v>
      </c>
      <c r="G20" s="297" t="str">
        <f t="shared" si="1"/>
        <v xml:space="preserve"> "Тема Ко"</v>
      </c>
      <c r="H20" s="596">
        <v>6250</v>
      </c>
      <c r="I20" s="598"/>
      <c r="J20" s="599">
        <v>151454.85</v>
      </c>
      <c r="K20" s="75" t="str">
        <f>VLOOKUP(H20,Справочник!$A$2:$C$415,3,FALSE)</f>
        <v>Доходы от курсовой разницы</v>
      </c>
    </row>
    <row r="21" spans="1:11">
      <c r="A21" s="297" t="str">
        <f t="shared" si="0"/>
        <v xml:space="preserve"> "Тема Ко"</v>
      </c>
      <c r="B21" s="596">
        <v>7200</v>
      </c>
      <c r="C21" s="599">
        <v>110891076.34999999</v>
      </c>
      <c r="D21" s="598"/>
      <c r="E21" s="75">
        <f>VLOOKUP(B21,Справочник!$A$2:$C$415,3,FALSE)</f>
        <v>0</v>
      </c>
      <c r="G21" s="297" t="str">
        <f t="shared" si="1"/>
        <v xml:space="preserve"> "Тема Ко"</v>
      </c>
      <c r="H21" s="596">
        <v>6280</v>
      </c>
      <c r="I21" s="598"/>
      <c r="J21" s="599">
        <v>14120096.699999999</v>
      </c>
      <c r="K21" s="75" t="str">
        <f>VLOOKUP(H21,Справочник!$A$2:$C$415,3,FALSE)</f>
        <v>Прочие доходы</v>
      </c>
    </row>
    <row r="22" spans="1:11">
      <c r="A22" s="297" t="str">
        <f t="shared" si="0"/>
        <v xml:space="preserve"> "Тема Ко"</v>
      </c>
      <c r="B22" s="596">
        <v>7210</v>
      </c>
      <c r="C22" s="599">
        <v>110891076.34999999</v>
      </c>
      <c r="D22" s="598"/>
      <c r="E22" s="75" t="str">
        <f>VLOOKUP(B22,Справочник!$A$2:$C$415,3,FALSE)</f>
        <v>Административные расходы</v>
      </c>
      <c r="G22" s="297" t="str">
        <f t="shared" si="1"/>
        <v xml:space="preserve"> "Тема Ко"</v>
      </c>
      <c r="H22" s="596">
        <v>7000</v>
      </c>
      <c r="I22" s="599">
        <v>1060212500.03</v>
      </c>
      <c r="J22" s="598"/>
      <c r="K22" s="75">
        <f>VLOOKUP(H22,Справочник!$A$2:$C$415,3,FALSE)</f>
        <v>0</v>
      </c>
    </row>
    <row r="23" spans="1:11">
      <c r="A23" s="297" t="str">
        <f t="shared" si="0"/>
        <v xml:space="preserve"> "Тема Ко"</v>
      </c>
      <c r="B23" s="596">
        <v>7300</v>
      </c>
      <c r="C23" s="599">
        <v>25441105.41</v>
      </c>
      <c r="D23" s="598"/>
      <c r="E23" s="75">
        <f>VLOOKUP(B23,Справочник!$A$2:$C$415,3,FALSE)</f>
        <v>0</v>
      </c>
      <c r="G23" s="297" t="str">
        <f t="shared" si="1"/>
        <v xml:space="preserve"> "Тема Ко"</v>
      </c>
      <c r="H23" s="596">
        <v>7010</v>
      </c>
      <c r="I23" s="599">
        <v>1060212500.03</v>
      </c>
      <c r="J23" s="598"/>
      <c r="K23" s="75" t="str">
        <f>VLOOKUP(H23,Справочник!$A$2:$C$415,3,FALSE)</f>
        <v>Себестоимость реализованных товаров и услуг</v>
      </c>
    </row>
    <row r="24" spans="1:11">
      <c r="A24" s="297" t="str">
        <f t="shared" si="0"/>
        <v xml:space="preserve"> "Тема Ко"</v>
      </c>
      <c r="B24" s="596">
        <v>7310</v>
      </c>
      <c r="C24" s="599">
        <v>23090328.41</v>
      </c>
      <c r="D24" s="598"/>
      <c r="E24" s="75" t="str">
        <f>VLOOKUP(B24,Справочник!$A$2:$C$415,3,FALSE)</f>
        <v>Расходы по финансированию</v>
      </c>
      <c r="G24" s="297" t="str">
        <f t="shared" si="1"/>
        <v xml:space="preserve"> "Тема Ко"</v>
      </c>
      <c r="H24" s="596">
        <v>7100</v>
      </c>
      <c r="I24" s="599">
        <v>10301048.32</v>
      </c>
      <c r="J24" s="598"/>
      <c r="K24" s="75">
        <f>VLOOKUP(H24,Справочник!$A$2:$C$415,3,FALSE)</f>
        <v>0</v>
      </c>
    </row>
    <row r="25" spans="1:11">
      <c r="A25" s="297" t="str">
        <f t="shared" si="0"/>
        <v xml:space="preserve"> "Тема Ко"</v>
      </c>
      <c r="B25" s="596">
        <v>7340</v>
      </c>
      <c r="C25" s="599">
        <v>2350777</v>
      </c>
      <c r="D25" s="598"/>
      <c r="E25" s="75" t="str">
        <f>VLOOKUP(B25,Справочник!$A$2:$C$415,3,FALSE)</f>
        <v>Расходы по финансированию</v>
      </c>
      <c r="G25" s="297" t="str">
        <f t="shared" si="1"/>
        <v xml:space="preserve"> "Тема Ко"</v>
      </c>
      <c r="H25" s="596">
        <v>7110</v>
      </c>
      <c r="I25" s="599">
        <v>10301048.32</v>
      </c>
      <c r="J25" s="598"/>
      <c r="K25" s="75"/>
    </row>
    <row r="26" spans="1:11">
      <c r="A26" s="297" t="str">
        <f t="shared" si="0"/>
        <v xml:space="preserve"> "Тема Ко"</v>
      </c>
      <c r="B26" s="596">
        <v>7400</v>
      </c>
      <c r="C26" s="599">
        <v>125195619.3</v>
      </c>
      <c r="D26" s="598"/>
      <c r="E26" s="75">
        <f>VLOOKUP(B26,Справочник!$A$2:$C$415,3,FALSE)</f>
        <v>0</v>
      </c>
      <c r="G26" s="297" t="str">
        <f t="shared" si="1"/>
        <v xml:space="preserve"> "Тема Ко"</v>
      </c>
      <c r="H26" s="596">
        <v>7200</v>
      </c>
      <c r="I26" s="599">
        <v>141979895.90000001</v>
      </c>
      <c r="J26" s="598"/>
      <c r="K26" s="75">
        <f>VLOOKUP(H26,Справочник!$A$2:$C$415,3,FALSE)</f>
        <v>0</v>
      </c>
    </row>
    <row r="27" spans="1:11">
      <c r="A27" s="297" t="str">
        <f t="shared" si="0"/>
        <v xml:space="preserve"> "Тема Ко"</v>
      </c>
      <c r="B27" s="596">
        <v>7410</v>
      </c>
      <c r="C27" s="599">
        <v>118253013.08</v>
      </c>
      <c r="D27" s="598"/>
      <c r="E27" s="75" t="str">
        <f>VLOOKUP(B27,Справочник!$A$2:$C$415,3,FALSE)</f>
        <v>Расходы по выбытию активов</v>
      </c>
      <c r="G27" s="297" t="str">
        <f t="shared" si="1"/>
        <v xml:space="preserve"> "Тема Ко"</v>
      </c>
      <c r="H27" s="596">
        <v>7210</v>
      </c>
      <c r="I27" s="599">
        <v>141979895.90000001</v>
      </c>
      <c r="J27" s="598"/>
      <c r="K27" s="75" t="str">
        <f>VLOOKUP(H27,Справочник!$A$2:$C$415,3,FALSE)</f>
        <v>Административные расходы</v>
      </c>
    </row>
    <row r="28" spans="1:11">
      <c r="A28" s="297" t="str">
        <f t="shared" si="0"/>
        <v xml:space="preserve"> "Тема Ко"</v>
      </c>
      <c r="B28" s="596">
        <v>7430</v>
      </c>
      <c r="C28" s="599">
        <v>87720.19</v>
      </c>
      <c r="D28" s="598"/>
      <c r="E28" s="75" t="str">
        <f>VLOOKUP(B28,Справочник!$A$2:$C$415,3,FALSE)</f>
        <v>Расходы по курсовой разнице</v>
      </c>
      <c r="G28" s="297" t="str">
        <f t="shared" si="1"/>
        <v xml:space="preserve"> "Тема Ко"</v>
      </c>
      <c r="H28" s="596">
        <v>7300</v>
      </c>
      <c r="I28" s="599">
        <v>34055906.960000001</v>
      </c>
      <c r="J28" s="598"/>
      <c r="K28" s="75">
        <f>VLOOKUP(H28,Справочник!$A$2:$C$415,3,FALSE)</f>
        <v>0</v>
      </c>
    </row>
    <row r="29" spans="1:11">
      <c r="A29" s="297" t="str">
        <f t="shared" si="0"/>
        <v xml:space="preserve"> "Тема Ко"</v>
      </c>
      <c r="B29" s="596">
        <v>7470</v>
      </c>
      <c r="C29" s="599">
        <v>6854886.0300000003</v>
      </c>
      <c r="D29" s="598"/>
      <c r="E29" s="75" t="str">
        <f>VLOOKUP(B29,Справочник!$A$2:$C$415,3,FALSE)</f>
        <v>Прочие расходы</v>
      </c>
      <c r="G29" s="297" t="str">
        <f t="shared" si="1"/>
        <v xml:space="preserve"> "Тема Ко"</v>
      </c>
      <c r="H29" s="596">
        <v>7310</v>
      </c>
      <c r="I29" s="599">
        <v>30485000</v>
      </c>
      <c r="J29" s="598"/>
      <c r="K29" s="75" t="str">
        <f>VLOOKUP(H29,Справочник!$A$2:$C$415,3,FALSE)</f>
        <v>Расходы по финансированию</v>
      </c>
    </row>
    <row r="30" spans="1:11">
      <c r="A30" s="297" t="str">
        <f t="shared" si="0"/>
        <v xml:space="preserve"> "Тема Ко"</v>
      </c>
      <c r="B30" s="596">
        <v>7700</v>
      </c>
      <c r="C30" s="597">
        <v>-11675933.99</v>
      </c>
      <c r="D30" s="598"/>
      <c r="E30" s="75"/>
      <c r="G30" s="297" t="str">
        <f t="shared" si="1"/>
        <v xml:space="preserve"> "Тема Ко"</v>
      </c>
      <c r="H30" s="596">
        <v>7340</v>
      </c>
      <c r="I30" s="599">
        <v>3570906.96</v>
      </c>
      <c r="J30" s="598"/>
      <c r="K30" s="75" t="str">
        <f>VLOOKUP(H30,Справочник!$A$2:$C$415,3,FALSE)</f>
        <v>Расходы по финансированию</v>
      </c>
    </row>
    <row r="31" spans="1:11">
      <c r="A31" s="297" t="str">
        <f t="shared" si="0"/>
        <v xml:space="preserve"> "Тема Ко"</v>
      </c>
      <c r="B31" s="596">
        <v>7710</v>
      </c>
      <c r="C31" s="597">
        <v>-11675933.99</v>
      </c>
      <c r="D31" s="598"/>
      <c r="E31" s="75" t="str">
        <f>VLOOKUP(B31,Справочник!$A$2:$C$415,3,FALSE)</f>
        <v>Расходы по подоходному налогу</v>
      </c>
      <c r="G31" s="297" t="str">
        <f t="shared" si="1"/>
        <v xml:space="preserve"> "Тема Ко"</v>
      </c>
      <c r="H31" s="596">
        <v>7400</v>
      </c>
      <c r="I31" s="599">
        <v>1078828076.75</v>
      </c>
      <c r="J31" s="598"/>
      <c r="K31" s="75">
        <f>VLOOKUP(H31,Справочник!$A$2:$C$415,3,FALSE)</f>
        <v>0</v>
      </c>
    </row>
    <row r="32" spans="1:11">
      <c r="A32" s="297" t="str">
        <f t="shared" si="0"/>
        <v xml:space="preserve"> "Тема Ко"</v>
      </c>
      <c r="B32" s="600" t="s">
        <v>608</v>
      </c>
      <c r="C32" s="601">
        <v>606125303.27999997</v>
      </c>
      <c r="D32" s="601">
        <v>606125303.27999997</v>
      </c>
      <c r="E32" s="75" t="e">
        <f>VLOOKUP(B32,Справочник!$A$2:$C$415,3,FALSE)</f>
        <v>#N/A</v>
      </c>
      <c r="G32" s="297" t="str">
        <f t="shared" si="1"/>
        <v xml:space="preserve"> "Тема Ко"</v>
      </c>
      <c r="H32" s="596">
        <v>7410</v>
      </c>
      <c r="I32" s="599">
        <v>1070363897.1900001</v>
      </c>
      <c r="J32" s="598"/>
      <c r="K32" s="75" t="str">
        <f>VLOOKUP(H32,Справочник!$A$2:$C$415,3,FALSE)</f>
        <v>Расходы по выбытию активов</v>
      </c>
    </row>
    <row r="33" spans="1:11">
      <c r="A33" s="297" t="str">
        <f t="shared" si="0"/>
        <v xml:space="preserve"> "Тема Ко"</v>
      </c>
      <c r="B33" s="488"/>
      <c r="C33" s="443"/>
      <c r="D33" s="444"/>
      <c r="E33" s="75">
        <f>VLOOKUP(B33,Справочник!$A$2:$C$415,3,FALSE)</f>
        <v>0</v>
      </c>
      <c r="G33" s="297" t="str">
        <f t="shared" si="1"/>
        <v xml:space="preserve"> "Тема Ко"</v>
      </c>
      <c r="H33" s="596">
        <v>7430</v>
      </c>
      <c r="I33" s="599">
        <v>173780.9</v>
      </c>
      <c r="J33" s="598"/>
      <c r="K33" s="75" t="str">
        <f>VLOOKUP(H33,Справочник!$A$2:$C$415,3,FALSE)</f>
        <v>Расходы по курсовой разнице</v>
      </c>
    </row>
    <row r="34" spans="1:11">
      <c r="A34" s="297" t="str">
        <f t="shared" si="0"/>
        <v xml:space="preserve"> "Тема Ко"</v>
      </c>
      <c r="B34" s="488"/>
      <c r="C34" s="443"/>
      <c r="D34" s="444"/>
      <c r="E34" s="75">
        <f>VLOOKUP(B34,Справочник!$A$2:$C$415,3,FALSE)</f>
        <v>0</v>
      </c>
      <c r="G34" s="297" t="str">
        <f t="shared" si="1"/>
        <v xml:space="preserve"> "Тема Ко"</v>
      </c>
      <c r="H34" s="596">
        <v>7440</v>
      </c>
      <c r="I34" s="599">
        <v>190445.65</v>
      </c>
      <c r="J34" s="598"/>
      <c r="K34" s="75" t="str">
        <f>VLOOKUP(H34,Справочник!$A$2:$C$415,3,FALSE)</f>
        <v>Прочие расходы</v>
      </c>
    </row>
    <row r="35" spans="1:11">
      <c r="A35" s="297" t="str">
        <f t="shared" si="0"/>
        <v xml:space="preserve"> "Тема Ко"</v>
      </c>
      <c r="B35" s="489"/>
      <c r="C35" s="490"/>
      <c r="D35" s="490"/>
      <c r="E35" s="75">
        <f>VLOOKUP(B35,Справочник!$A$2:$C$415,3,FALSE)</f>
        <v>0</v>
      </c>
      <c r="G35" s="297" t="str">
        <f t="shared" si="1"/>
        <v xml:space="preserve"> "Тема Ко"</v>
      </c>
      <c r="H35" s="596">
        <v>7470</v>
      </c>
      <c r="I35" s="599">
        <v>8099953.0099999998</v>
      </c>
      <c r="J35" s="598"/>
      <c r="K35" s="75" t="str">
        <f>VLOOKUP(H35,Справочник!$A$2:$C$415,3,FALSE)</f>
        <v>Прочие расходы</v>
      </c>
    </row>
    <row r="36" spans="1:11">
      <c r="A36" s="297" t="str">
        <f t="shared" si="0"/>
        <v xml:space="preserve"> "Тема Ко"</v>
      </c>
      <c r="B36" s="489"/>
      <c r="C36" s="491"/>
      <c r="D36" s="491"/>
      <c r="E36" s="75">
        <f>VLOOKUP(B36,Справочник!$A$2:$C$415,3,FALSE)</f>
        <v>0</v>
      </c>
      <c r="G36" s="297" t="str">
        <f t="shared" si="1"/>
        <v xml:space="preserve"> "Тема Ко"</v>
      </c>
      <c r="H36" s="596">
        <v>7700</v>
      </c>
      <c r="I36" s="597">
        <v>-707426</v>
      </c>
      <c r="J36" s="598"/>
      <c r="K36" s="75">
        <f>VLOOKUP(H36,Справочник!$A$2:$C$415,3,FALSE)</f>
        <v>0</v>
      </c>
    </row>
    <row r="37" spans="1:11">
      <c r="A37" s="297" t="str">
        <f t="shared" si="0"/>
        <v xml:space="preserve"> "Тема Ко"</v>
      </c>
      <c r="B37" s="377"/>
      <c r="C37" s="378"/>
      <c r="D37" s="379"/>
      <c r="E37" s="75">
        <f>VLOOKUP(B37,Справочник!$A$2:$C$415,3,FALSE)</f>
        <v>0</v>
      </c>
      <c r="G37" s="297" t="str">
        <f t="shared" si="1"/>
        <v xml:space="preserve"> "Тема Ко"</v>
      </c>
      <c r="H37" s="596">
        <v>7710</v>
      </c>
      <c r="I37" s="597">
        <v>-707426</v>
      </c>
      <c r="J37" s="598"/>
      <c r="K37" s="75" t="str">
        <f>VLOOKUP(H37,Справочник!$A$2:$C$415,3,FALSE)</f>
        <v>Расходы по подоходному налогу</v>
      </c>
    </row>
    <row r="38" spans="1:11">
      <c r="A38" s="297"/>
      <c r="B38" s="377"/>
      <c r="C38" s="378"/>
      <c r="D38" s="379"/>
      <c r="E38" s="75">
        <f>VLOOKUP(B38,Справочник!$A$2:$C$415,3,FALSE)</f>
        <v>0</v>
      </c>
      <c r="G38" s="297" t="str">
        <f t="shared" si="1"/>
        <v xml:space="preserve"> "Тема Ко"</v>
      </c>
      <c r="H38" s="600" t="s">
        <v>608</v>
      </c>
      <c r="I38" s="601">
        <v>4283092095.98</v>
      </c>
      <c r="J38" s="601">
        <v>4283092095.98</v>
      </c>
      <c r="K38" s="75" t="e">
        <f>VLOOKUP(H38,Справочник!$A$2:$C$415,3,FALSE)</f>
        <v>#N/A</v>
      </c>
    </row>
    <row r="39" spans="1:11">
      <c r="A39" s="297">
        <f t="shared" si="0"/>
        <v>0</v>
      </c>
      <c r="B39" s="377"/>
      <c r="C39" s="378"/>
      <c r="D39" s="379"/>
      <c r="E39" s="75">
        <f>VLOOKUP(B39,Справочник!$A$2:$C$415,3,FALSE)</f>
        <v>0</v>
      </c>
      <c r="G39" s="297" t="str">
        <f t="shared" si="1"/>
        <v xml:space="preserve"> "Тема Ко"</v>
      </c>
      <c r="H39" s="377"/>
      <c r="I39" s="378"/>
      <c r="J39" s="379"/>
      <c r="K39" s="75">
        <f>VLOOKUP(H39,Справочник!$A$2:$C$415,3,FALSE)</f>
        <v>0</v>
      </c>
    </row>
    <row r="40" spans="1:11">
      <c r="A40" s="297"/>
      <c r="B40" s="377"/>
      <c r="C40" s="378"/>
      <c r="D40" s="379"/>
      <c r="E40" s="75">
        <f>VLOOKUP(B40,Справочник!$A$2:$C$415,3,FALSE)</f>
        <v>0</v>
      </c>
      <c r="G40" s="297" t="str">
        <f t="shared" si="1"/>
        <v xml:space="preserve"> "Тема Ко"</v>
      </c>
      <c r="H40" s="377"/>
      <c r="I40" s="378"/>
      <c r="J40" s="379"/>
      <c r="K40" s="75">
        <f>VLOOKUP(H40,Справочник!$A$2:$C$415,3,FALSE)</f>
        <v>0</v>
      </c>
    </row>
    <row r="41" spans="1:11">
      <c r="A41" s="297"/>
      <c r="B41" s="377"/>
      <c r="C41" s="378"/>
      <c r="D41" s="379"/>
      <c r="E41" s="75">
        <f>VLOOKUP(B41,Справочник!$A$2:$C$415,3,FALSE)</f>
        <v>0</v>
      </c>
      <c r="G41" s="297" t="str">
        <f t="shared" si="1"/>
        <v xml:space="preserve"> "Тема Ко"</v>
      </c>
      <c r="H41" s="377"/>
      <c r="I41" s="378"/>
      <c r="J41" s="379"/>
      <c r="K41" s="75">
        <f>VLOOKUP(H41,Справочник!$A$2:$C$415,3,FALSE)</f>
        <v>0</v>
      </c>
    </row>
    <row r="42" spans="1:11">
      <c r="A42" s="297"/>
      <c r="B42" s="377"/>
      <c r="C42" s="378"/>
      <c r="D42" s="379"/>
      <c r="E42" s="75">
        <f>VLOOKUP(B42,Справочник!$A$2:$C$415,3,FALSE)</f>
        <v>0</v>
      </c>
      <c r="G42" s="297" t="str">
        <f t="shared" si="1"/>
        <v xml:space="preserve"> "Тема Ко"</v>
      </c>
      <c r="H42" s="377"/>
      <c r="I42" s="378"/>
      <c r="J42" s="379"/>
      <c r="K42" s="75">
        <f>VLOOKUP(H42,Справочник!$A$2:$C$415,3,FALSE)</f>
        <v>0</v>
      </c>
    </row>
    <row r="43" spans="1:11">
      <c r="A43" s="297">
        <f t="shared" si="0"/>
        <v>0</v>
      </c>
      <c r="B43" s="377"/>
      <c r="C43" s="378"/>
      <c r="D43" s="379"/>
      <c r="E43" s="75">
        <f>VLOOKUP(B43,Справочник!$A$2:$C$415,3,FALSE)</f>
        <v>0</v>
      </c>
      <c r="G43" s="297" t="str">
        <f t="shared" si="1"/>
        <v xml:space="preserve"> "Тема Ко"</v>
      </c>
      <c r="H43" s="377"/>
      <c r="I43" s="378"/>
      <c r="J43" s="379"/>
      <c r="K43" s="75">
        <f>VLOOKUP(H43,Справочник!$A$2:$C$415,3,FALSE)</f>
        <v>0</v>
      </c>
    </row>
    <row r="44" spans="1:11">
      <c r="A44" s="297"/>
      <c r="B44" s="377"/>
      <c r="C44" s="378"/>
      <c r="D44" s="379"/>
      <c r="E44" s="75">
        <f>VLOOKUP(B44,Справочник!$A$2:$C$415,3,FALSE)</f>
        <v>0</v>
      </c>
      <c r="G44" s="297" t="str">
        <f t="shared" si="1"/>
        <v xml:space="preserve"> "Тема Ко"</v>
      </c>
      <c r="H44" s="377"/>
      <c r="I44" s="378"/>
      <c r="J44" s="379"/>
      <c r="K44" s="75">
        <f>VLOOKUP(H44,Справочник!$A$2:$C$415,3,FALSE)</f>
        <v>0</v>
      </c>
    </row>
    <row r="45" spans="1:11">
      <c r="A45" s="297"/>
      <c r="B45" s="377"/>
      <c r="C45" s="378"/>
      <c r="D45" s="379"/>
      <c r="E45" s="75">
        <f>VLOOKUP(B45,Справочник!$A$2:$C$415,3,FALSE)</f>
        <v>0</v>
      </c>
      <c r="G45" s="297" t="str">
        <f t="shared" si="1"/>
        <v xml:space="preserve"> "Тема Ко"</v>
      </c>
      <c r="H45" s="377"/>
      <c r="I45" s="378"/>
      <c r="J45" s="379"/>
      <c r="K45" s="75">
        <f>VLOOKUP(H45,Справочник!$A$2:$C$415,3,FALSE)</f>
        <v>0</v>
      </c>
    </row>
    <row r="46" spans="1:11">
      <c r="A46" s="297"/>
      <c r="B46" s="377"/>
      <c r="C46" s="378"/>
      <c r="D46" s="379"/>
      <c r="E46" s="75">
        <f>VLOOKUP(B46,Справочник!$A$2:$C$415,3,FALSE)</f>
        <v>0</v>
      </c>
      <c r="G46" s="297" t="str">
        <f t="shared" si="1"/>
        <v xml:space="preserve"> "Тема Ко"</v>
      </c>
      <c r="H46" s="377"/>
      <c r="I46" s="378"/>
      <c r="J46" s="379"/>
      <c r="K46" s="75">
        <f>VLOOKUP(H46,Справочник!$A$2:$C$415,3,FALSE)</f>
        <v>0</v>
      </c>
    </row>
    <row r="47" spans="1:11">
      <c r="A47" s="297"/>
      <c r="B47" s="377"/>
      <c r="C47" s="380"/>
      <c r="D47" s="379"/>
      <c r="E47" s="75">
        <f>VLOOKUP(B47,Справочник!$A$2:$C$415,3,FALSE)</f>
        <v>0</v>
      </c>
      <c r="G47" s="297" t="str">
        <f t="shared" si="1"/>
        <v xml:space="preserve"> "Тема Ко"</v>
      </c>
      <c r="H47" s="377"/>
      <c r="I47" s="378"/>
      <c r="J47" s="379"/>
      <c r="K47" s="75">
        <f>VLOOKUP(H47,Справочник!$A$2:$C$415,3,FALSE)</f>
        <v>0</v>
      </c>
    </row>
    <row r="48" spans="1:11">
      <c r="A48" s="297"/>
      <c r="B48" s="377"/>
      <c r="C48" s="378"/>
      <c r="D48" s="379"/>
      <c r="E48" s="75">
        <f>VLOOKUP(B48,Справочник!$A$2:$C$415,3,FALSE)</f>
        <v>0</v>
      </c>
      <c r="G48" s="297" t="str">
        <f t="shared" si="1"/>
        <v xml:space="preserve"> "Тема Ко"</v>
      </c>
      <c r="H48" s="377"/>
      <c r="I48" s="378"/>
      <c r="J48" s="379"/>
      <c r="K48" s="75">
        <f>VLOOKUP(H48,Справочник!$A$2:$C$415,3,FALSE)</f>
        <v>0</v>
      </c>
    </row>
    <row r="49" spans="1:11">
      <c r="A49" s="297">
        <f t="shared" si="0"/>
        <v>0</v>
      </c>
      <c r="B49" s="377"/>
      <c r="C49" s="378"/>
      <c r="D49" s="379"/>
      <c r="E49" s="75">
        <f>VLOOKUP(B49,Справочник!$A$2:$C$415,3,FALSE)</f>
        <v>0</v>
      </c>
      <c r="G49" s="297" t="str">
        <f t="shared" si="1"/>
        <v xml:space="preserve"> "Тема Ко"</v>
      </c>
      <c r="H49" s="377"/>
      <c r="I49" s="378"/>
      <c r="J49" s="379"/>
      <c r="K49" s="75">
        <f>VLOOKUP(H49,Справочник!$A$2:$C$415,3,FALSE)</f>
        <v>0</v>
      </c>
    </row>
    <row r="50" spans="1:11">
      <c r="A50" s="297"/>
      <c r="B50" s="377"/>
      <c r="C50" s="378"/>
      <c r="D50" s="379"/>
      <c r="E50" s="75">
        <f>VLOOKUP(B50,Справочник!$A$2:$C$415,3,FALSE)</f>
        <v>0</v>
      </c>
      <c r="G50" s="297" t="str">
        <f t="shared" si="1"/>
        <v xml:space="preserve"> "Тема Ко"</v>
      </c>
      <c r="H50" s="298"/>
      <c r="I50" s="299"/>
      <c r="J50" s="300"/>
      <c r="K50" s="75">
        <f>VLOOKUP(H50,Справочник!$A$2:$C$415,3,FALSE)</f>
        <v>0</v>
      </c>
    </row>
    <row r="51" spans="1:11">
      <c r="A51" s="297">
        <f t="shared" si="0"/>
        <v>0</v>
      </c>
      <c r="B51" s="298"/>
      <c r="C51" s="299"/>
      <c r="D51" s="300"/>
      <c r="E51" s="75">
        <f>VLOOKUP(B51,Справочник!$A$2:$C$415,3,FALSE)</f>
        <v>0</v>
      </c>
      <c r="G51" s="297" t="str">
        <f t="shared" si="1"/>
        <v xml:space="preserve"> "Тема Ко"</v>
      </c>
      <c r="H51" s="298"/>
      <c r="I51" s="299"/>
      <c r="J51" s="300"/>
      <c r="K51" s="75">
        <f>VLOOKUP(H51,Справочник!$A$2:$C$415,3,FALSE)</f>
        <v>0</v>
      </c>
    </row>
    <row r="52" spans="1:11">
      <c r="A52" s="297">
        <f>A51</f>
        <v>0</v>
      </c>
      <c r="B52" s="298"/>
      <c r="C52" s="299"/>
      <c r="D52" s="300"/>
      <c r="E52" s="75">
        <f>VLOOKUP(B52,Справочник!$A$2:$C$415,3,FALSE)</f>
        <v>0</v>
      </c>
      <c r="G52" s="297"/>
      <c r="H52" s="302"/>
      <c r="I52" s="303"/>
      <c r="J52" s="345"/>
      <c r="K52" s="75"/>
    </row>
    <row r="53" spans="1:11" ht="15.75" thickBot="1">
      <c r="A53" s="334"/>
      <c r="B53" s="302"/>
      <c r="C53" s="303"/>
      <c r="D53" s="345"/>
      <c r="E53" s="75"/>
      <c r="G53" s="297"/>
      <c r="H53" s="295"/>
      <c r="I53" s="304"/>
      <c r="J53" s="296"/>
      <c r="K53" s="75"/>
    </row>
    <row r="54" spans="1:11" ht="15.75" thickBot="1">
      <c r="A54" s="294"/>
      <c r="B54" s="295"/>
      <c r="C54" s="304"/>
      <c r="D54" s="296"/>
      <c r="G54" s="301"/>
      <c r="H54" s="306"/>
      <c r="I54" s="307"/>
      <c r="J54" s="308"/>
      <c r="K54" s="75"/>
    </row>
    <row r="55" spans="1:11" ht="15.75" thickBot="1">
      <c r="A55" s="305" t="s">
        <v>696</v>
      </c>
      <c r="B55" s="306"/>
      <c r="C55" s="307"/>
      <c r="D55" s="308"/>
      <c r="G55" s="294"/>
      <c r="H55" s="310"/>
      <c r="I55" s="311"/>
      <c r="J55" s="330"/>
      <c r="K55" s="75"/>
    </row>
    <row r="56" spans="1:11" ht="15.75" thickBot="1">
      <c r="A56" s="309"/>
      <c r="B56" s="310"/>
      <c r="C56" s="311"/>
      <c r="D56" s="391"/>
    </row>
  </sheetData>
  <mergeCells count="2">
    <mergeCell ref="G3:I3"/>
    <mergeCell ref="G4:I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747"/>
  <sheetViews>
    <sheetView workbookViewId="0">
      <selection sqref="A1:XFD1048576"/>
    </sheetView>
  </sheetViews>
  <sheetFormatPr defaultRowHeight="15"/>
  <cols>
    <col min="1" max="1" width="38.28515625" bestFit="1" customWidth="1"/>
    <col min="2" max="2" width="8.7109375" bestFit="1" customWidth="1"/>
    <col min="3" max="4" width="14.85546875" bestFit="1" customWidth="1"/>
    <col min="5" max="5" width="14.28515625" customWidth="1"/>
    <col min="6" max="6" width="18.28515625" customWidth="1"/>
    <col min="8" max="8" width="38.28515625" style="326" bestFit="1" customWidth="1"/>
    <col min="9" max="9" width="8.7109375" style="326" bestFit="1" customWidth="1"/>
    <col min="10" max="11" width="14.85546875" style="326" bestFit="1" customWidth="1"/>
    <col min="12" max="12" width="43.140625" bestFit="1" customWidth="1"/>
  </cols>
  <sheetData>
    <row r="1" spans="1:13">
      <c r="A1" s="268" t="s">
        <v>677</v>
      </c>
      <c r="B1" s="269"/>
      <c r="C1" s="269"/>
      <c r="D1" s="269"/>
      <c r="H1" s="268" t="s">
        <v>677</v>
      </c>
      <c r="I1" s="269"/>
      <c r="J1" s="269"/>
      <c r="K1" s="269"/>
    </row>
    <row r="2" spans="1:13">
      <c r="A2" s="270" t="s">
        <v>735</v>
      </c>
      <c r="B2" s="269"/>
      <c r="C2" s="269"/>
      <c r="D2" s="269"/>
      <c r="H2" s="270" t="s">
        <v>734</v>
      </c>
      <c r="I2" s="269"/>
      <c r="J2" s="269"/>
      <c r="K2" s="269"/>
    </row>
    <row r="3" spans="1:13">
      <c r="A3" s="683" t="s">
        <v>678</v>
      </c>
      <c r="B3" s="683"/>
      <c r="C3" s="683"/>
      <c r="D3" s="269"/>
      <c r="H3" s="683" t="s">
        <v>678</v>
      </c>
      <c r="I3" s="683"/>
      <c r="J3" s="683"/>
      <c r="K3" s="269"/>
    </row>
    <row r="4" spans="1:13">
      <c r="A4" s="683" t="s">
        <v>359</v>
      </c>
      <c r="B4" s="683"/>
      <c r="C4" s="683"/>
      <c r="D4" s="269"/>
      <c r="H4" s="683" t="s">
        <v>359</v>
      </c>
      <c r="I4" s="683"/>
      <c r="J4" s="683"/>
      <c r="K4" s="269"/>
    </row>
    <row r="5" spans="1:13" ht="15.75" thickBot="1">
      <c r="A5" s="269"/>
      <c r="B5" s="269"/>
      <c r="C5" s="269"/>
      <c r="D5" s="269"/>
      <c r="H5" s="269"/>
      <c r="I5" s="269"/>
      <c r="J5" s="269"/>
      <c r="K5" s="269"/>
    </row>
    <row r="6" spans="1:13">
      <c r="A6" s="271" t="s">
        <v>695</v>
      </c>
      <c r="B6" s="272" t="s">
        <v>606</v>
      </c>
      <c r="C6" s="272" t="s">
        <v>650</v>
      </c>
      <c r="D6" s="273" t="s">
        <v>651</v>
      </c>
      <c r="H6" s="271" t="s">
        <v>695</v>
      </c>
      <c r="I6" s="272" t="s">
        <v>606</v>
      </c>
      <c r="J6" s="272" t="s">
        <v>650</v>
      </c>
      <c r="K6" s="273" t="s">
        <v>651</v>
      </c>
    </row>
    <row r="7" spans="1:13" ht="15.75" thickBot="1">
      <c r="A7" s="274"/>
      <c r="B7" s="275"/>
      <c r="C7" s="275"/>
      <c r="D7" s="276"/>
      <c r="H7" s="274"/>
      <c r="I7" s="275"/>
      <c r="J7" s="275"/>
      <c r="K7" s="276"/>
    </row>
    <row r="8" spans="1:13" ht="24">
      <c r="A8" s="316" t="s">
        <v>736</v>
      </c>
      <c r="B8" s="277" t="s">
        <v>607</v>
      </c>
      <c r="C8" s="460">
        <v>87568.93</v>
      </c>
      <c r="D8" s="405"/>
      <c r="H8" s="316" t="s">
        <v>736</v>
      </c>
      <c r="I8" s="277" t="s">
        <v>607</v>
      </c>
      <c r="J8" s="460">
        <v>18193.490000000002</v>
      </c>
      <c r="K8" s="405"/>
    </row>
    <row r="9" spans="1:13" ht="15" customHeight="1">
      <c r="A9" s="278" t="str">
        <f>A8</f>
        <v xml:space="preserve"> "Hold Own"</v>
      </c>
      <c r="B9" s="406">
        <v>1000</v>
      </c>
      <c r="C9" s="407">
        <v>60000</v>
      </c>
      <c r="D9" s="407">
        <v>60000</v>
      </c>
      <c r="E9" s="75">
        <f>VLOOKUP(B9,Справочник!$A$2:$F$415,5,FALSE)</f>
        <v>0</v>
      </c>
      <c r="F9" s="75">
        <f>VLOOKUP(B9,Справочник!$A$2:$F$415,6,FALSE)</f>
        <v>0</v>
      </c>
      <c r="H9" s="278" t="str">
        <f>H8</f>
        <v xml:space="preserve"> "Hold Own"</v>
      </c>
      <c r="I9" s="406">
        <v>1000</v>
      </c>
      <c r="J9" s="407">
        <v>35389676.100000001</v>
      </c>
      <c r="K9" s="407">
        <v>35389676.100000001</v>
      </c>
      <c r="L9" s="75">
        <f>VLOOKUP(I9,Справочник!$A$2:$F$415,5,FALSE)</f>
        <v>0</v>
      </c>
      <c r="M9" s="75">
        <f>VLOOKUP(I9,Справочник!$A$2:$F$415,6,FALSE)</f>
        <v>0</v>
      </c>
    </row>
    <row r="10" spans="1:13" ht="15" customHeight="1">
      <c r="A10" s="278" t="str">
        <f t="shared" ref="A10:A77" si="0">A9</f>
        <v xml:space="preserve"> "Hold Own"</v>
      </c>
      <c r="B10" s="406">
        <v>1010</v>
      </c>
      <c r="C10" s="407">
        <v>30000</v>
      </c>
      <c r="D10" s="408"/>
      <c r="E10" s="75">
        <f>VLOOKUP(B10,Справочник!$A$2:$F$415,5,FALSE)</f>
        <v>0</v>
      </c>
      <c r="F10" s="75">
        <f>VLOOKUP(B10,Справочник!$A$2:$F$415,6,FALSE)</f>
        <v>0</v>
      </c>
      <c r="H10" s="278" t="str">
        <f t="shared" ref="H10:H77" si="1">H9</f>
        <v xml:space="preserve"> "Hold Own"</v>
      </c>
      <c r="I10" s="406">
        <v>1010</v>
      </c>
      <c r="J10" s="407">
        <v>908500</v>
      </c>
      <c r="K10" s="407">
        <v>300000</v>
      </c>
      <c r="L10" s="75">
        <f>VLOOKUP(I10,Справочник!$A$2:$F$415,5,FALSE)</f>
        <v>0</v>
      </c>
      <c r="M10" s="75">
        <f>VLOOKUP(I10,Справочник!$A$2:$F$415,6,FALSE)</f>
        <v>0</v>
      </c>
    </row>
    <row r="11" spans="1:13" ht="15" customHeight="1">
      <c r="A11" s="278" t="str">
        <f t="shared" si="0"/>
        <v xml:space="preserve"> "Hold Own"</v>
      </c>
      <c r="B11" s="406">
        <v>1020</v>
      </c>
      <c r="C11" s="407">
        <v>30000</v>
      </c>
      <c r="D11" s="407">
        <v>30000</v>
      </c>
      <c r="E11" s="75">
        <f>VLOOKUP(B11,Справочник!$A$2:$F$415,5,FALSE)</f>
        <v>0</v>
      </c>
      <c r="F11" s="75">
        <f>VLOOKUP(B11,Справочник!$A$2:$F$415,6,FALSE)</f>
        <v>0</v>
      </c>
      <c r="H11" s="278" t="str">
        <f t="shared" si="1"/>
        <v xml:space="preserve"> "Hold Own"</v>
      </c>
      <c r="I11" s="406">
        <v>1020</v>
      </c>
      <c r="J11" s="407">
        <v>17192677.239999998</v>
      </c>
      <c r="K11" s="407">
        <v>17288498.859999999</v>
      </c>
      <c r="L11" s="75">
        <f>VLOOKUP(I11,Справочник!$A$2:$F$415,5,FALSE)</f>
        <v>0</v>
      </c>
      <c r="M11" s="75">
        <f>VLOOKUP(I11,Справочник!$A$2:$F$415,6,FALSE)</f>
        <v>0</v>
      </c>
    </row>
    <row r="12" spans="1:13" s="350" customFormat="1" ht="15" customHeight="1">
      <c r="A12" s="278" t="str">
        <f t="shared" si="0"/>
        <v xml:space="preserve"> "Hold Own"</v>
      </c>
      <c r="B12" s="406">
        <v>1021</v>
      </c>
      <c r="C12" s="407">
        <v>30000</v>
      </c>
      <c r="D12" s="407">
        <v>30000</v>
      </c>
      <c r="E12" s="75">
        <f>VLOOKUP(B12,Справочник!$A$2:$F$415,5,FALSE)</f>
        <v>0</v>
      </c>
      <c r="F12" s="75">
        <f>VLOOKUP(B12,Справочник!$A$2:$F$415,6,FALSE)</f>
        <v>0</v>
      </c>
      <c r="H12" s="278" t="str">
        <f t="shared" si="1"/>
        <v xml:space="preserve"> "Hold Own"</v>
      </c>
      <c r="I12" s="406">
        <v>1021</v>
      </c>
      <c r="J12" s="407">
        <v>300000</v>
      </c>
      <c r="K12" s="407">
        <v>300000</v>
      </c>
      <c r="L12" s="75">
        <f>VLOOKUP(I12,Справочник!$A$2:$F$415,5,FALSE)</f>
        <v>0</v>
      </c>
      <c r="M12" s="75">
        <f>VLOOKUP(I12,Справочник!$A$2:$F$415,6,FALSE)</f>
        <v>0</v>
      </c>
    </row>
    <row r="13" spans="1:13" s="350" customFormat="1" ht="15" customHeight="1">
      <c r="A13" s="278" t="str">
        <f t="shared" si="0"/>
        <v xml:space="preserve"> "Hold Own"</v>
      </c>
      <c r="B13" s="406">
        <v>1030</v>
      </c>
      <c r="C13" s="408"/>
      <c r="D13" s="407">
        <v>30000</v>
      </c>
      <c r="E13" s="75">
        <f>VLOOKUP(B13,Справочник!$A$2:$F$415,5,FALSE)</f>
        <v>0</v>
      </c>
      <c r="F13" s="75">
        <f>VLOOKUP(B13,Справочник!$A$2:$F$415,6,FALSE)</f>
        <v>0</v>
      </c>
      <c r="H13" s="278" t="str">
        <f t="shared" si="1"/>
        <v xml:space="preserve"> "Hold Own"</v>
      </c>
      <c r="I13" s="406">
        <v>1022</v>
      </c>
      <c r="J13" s="407">
        <v>16892677.239999998</v>
      </c>
      <c r="K13" s="407">
        <v>16988498.859999999</v>
      </c>
      <c r="L13" s="75">
        <f>VLOOKUP(I13,Справочник!$A$2:$F$415,5,FALSE)</f>
        <v>0</v>
      </c>
      <c r="M13" s="75">
        <f>VLOOKUP(I13,Справочник!$A$2:$F$415,6,FALSE)</f>
        <v>0</v>
      </c>
    </row>
    <row r="14" spans="1:13" s="350" customFormat="1" ht="15" customHeight="1">
      <c r="A14" s="278" t="str">
        <f t="shared" si="0"/>
        <v xml:space="preserve"> "Hold Own"</v>
      </c>
      <c r="B14" s="406">
        <v>1200</v>
      </c>
      <c r="C14" s="409">
        <v>300</v>
      </c>
      <c r="D14" s="407">
        <v>1750</v>
      </c>
      <c r="E14" s="75">
        <f>VLOOKUP(B14,Справочник!$A$2:$F$415,5,FALSE)</f>
        <v>0</v>
      </c>
      <c r="F14" s="75">
        <f>VLOOKUP(B14,Справочник!$A$2:$F$415,6,FALSE)</f>
        <v>0</v>
      </c>
      <c r="H14" s="278" t="str">
        <f t="shared" si="1"/>
        <v xml:space="preserve"> "Hold Own"</v>
      </c>
      <c r="I14" s="406">
        <v>1030</v>
      </c>
      <c r="J14" s="407">
        <v>17288498.859999999</v>
      </c>
      <c r="K14" s="407">
        <v>17801177.239999998</v>
      </c>
      <c r="L14" s="75">
        <f>VLOOKUP(I14,Справочник!$A$2:$F$415,5,FALSE)</f>
        <v>0</v>
      </c>
      <c r="M14" s="75">
        <f>VLOOKUP(I14,Справочник!$A$2:$F$415,6,FALSE)</f>
        <v>0</v>
      </c>
    </row>
    <row r="15" spans="1:13" s="350" customFormat="1" ht="15" customHeight="1">
      <c r="A15" s="278" t="str">
        <f t="shared" si="0"/>
        <v xml:space="preserve"> "Hold Own"</v>
      </c>
      <c r="B15" s="406">
        <v>1250</v>
      </c>
      <c r="C15" s="409">
        <v>300</v>
      </c>
      <c r="D15" s="407">
        <v>1750</v>
      </c>
      <c r="E15" s="75">
        <f>VLOOKUP(B15,Справочник!$A$2:$F$415,5,FALSE)</f>
        <v>0</v>
      </c>
      <c r="F15" s="75">
        <f>VLOOKUP(B15,Справочник!$A$2:$F$415,6,FALSE)</f>
        <v>0</v>
      </c>
      <c r="H15" s="278" t="str">
        <f t="shared" si="1"/>
        <v xml:space="preserve"> "Hold Own"</v>
      </c>
      <c r="I15" s="406">
        <v>1200</v>
      </c>
      <c r="J15" s="407">
        <v>100000</v>
      </c>
      <c r="K15" s="407">
        <v>5364102</v>
      </c>
      <c r="L15" s="75">
        <f>VLOOKUP(I15,Справочник!$A$2:$F$415,5,FALSE)</f>
        <v>0</v>
      </c>
      <c r="M15" s="75">
        <f>VLOOKUP(I15,Справочник!$A$2:$F$415,6,FALSE)</f>
        <v>0</v>
      </c>
    </row>
    <row r="16" spans="1:13" s="350" customFormat="1">
      <c r="A16" s="278" t="str">
        <f t="shared" si="0"/>
        <v xml:space="preserve"> "Hold Own"</v>
      </c>
      <c r="B16" s="406">
        <v>1251</v>
      </c>
      <c r="C16" s="409">
        <v>300</v>
      </c>
      <c r="D16" s="407">
        <v>1750</v>
      </c>
      <c r="E16" s="75" t="str">
        <f>VLOOKUP(B16,Справочник!$A$2:$F$415,5,FALSE)</f>
        <v>прочие поступления</v>
      </c>
      <c r="F16" s="75" t="str">
        <f>VLOOKUP(B16,Справочник!$A$2:$F$415,6,FALSE)</f>
        <v>прочие выплаты</v>
      </c>
      <c r="H16" s="278" t="str">
        <f t="shared" si="1"/>
        <v xml:space="preserve"> "Hold Own"</v>
      </c>
      <c r="I16" s="406">
        <v>1250</v>
      </c>
      <c r="J16" s="407">
        <v>100000</v>
      </c>
      <c r="K16" s="407">
        <v>5067223</v>
      </c>
      <c r="L16" s="75">
        <f>VLOOKUP(I16,Справочник!$A$2:$F$415,5,FALSE)</f>
        <v>0</v>
      </c>
      <c r="M16" s="75">
        <f>VLOOKUP(I16,Справочник!$A$2:$F$415,6,FALSE)</f>
        <v>0</v>
      </c>
    </row>
    <row r="17" spans="1:13" s="350" customFormat="1">
      <c r="A17" s="278" t="str">
        <f t="shared" si="0"/>
        <v xml:space="preserve"> "Hold Own"</v>
      </c>
      <c r="B17" s="406">
        <v>1600</v>
      </c>
      <c r="C17" s="408"/>
      <c r="D17" s="407">
        <v>5066683.3499999996</v>
      </c>
      <c r="E17" s="75">
        <f>VLOOKUP(B17,Справочник!$A$2:$F$415,5,FALSE)</f>
        <v>0</v>
      </c>
      <c r="F17" s="75">
        <f>VLOOKUP(B17,Справочник!$A$2:$F$415,6,FALSE)</f>
        <v>0</v>
      </c>
      <c r="H17" s="278" t="str">
        <f t="shared" si="1"/>
        <v xml:space="preserve"> "Hold Own"</v>
      </c>
      <c r="I17" s="406">
        <v>1251</v>
      </c>
      <c r="J17" s="407">
        <v>100000</v>
      </c>
      <c r="K17" s="407">
        <v>5067223</v>
      </c>
      <c r="L17" s="75" t="str">
        <f>VLOOKUP(I17,Справочник!$A$2:$F$415,5,FALSE)</f>
        <v>прочие поступления</v>
      </c>
      <c r="M17" s="75" t="str">
        <f>VLOOKUP(I17,Справочник!$A$2:$F$415,6,FALSE)</f>
        <v>прочие выплаты</v>
      </c>
    </row>
    <row r="18" spans="1:13" s="350" customFormat="1" ht="15" customHeight="1">
      <c r="A18" s="278" t="str">
        <f t="shared" si="0"/>
        <v xml:space="preserve"> "Hold Own"</v>
      </c>
      <c r="B18" s="406">
        <v>1610</v>
      </c>
      <c r="C18" s="408"/>
      <c r="D18" s="407">
        <v>5066683.3499999996</v>
      </c>
      <c r="E18" s="75" t="str">
        <f>VLOOKUP(B18,Справочник!$A$2:$F$415,5,FALSE)</f>
        <v>прочие поступления</v>
      </c>
      <c r="F18" s="75" t="str">
        <f>VLOOKUP(B18,Справочник!$A$2:$F$415,6,FALSE)</f>
        <v>авансы, выданные поставщикам товаров и услуг</v>
      </c>
      <c r="H18" s="278" t="str">
        <f t="shared" si="1"/>
        <v xml:space="preserve"> "Hold Own"</v>
      </c>
      <c r="I18" s="406">
        <v>1260</v>
      </c>
      <c r="J18" s="408"/>
      <c r="K18" s="407">
        <v>296879</v>
      </c>
      <c r="L18" s="75" t="str">
        <f>VLOOKUP(I18,Справочник!$A$2:$F$415,5,FALSE)</f>
        <v>реализация товаров и услуг</v>
      </c>
      <c r="M18" s="75" t="str">
        <f>VLOOKUP(I18,Справочник!$A$2:$F$415,6,FALSE)</f>
        <v>прочие выплаты</v>
      </c>
    </row>
    <row r="19" spans="1:13" s="350" customFormat="1">
      <c r="A19" s="278" t="str">
        <f t="shared" si="0"/>
        <v xml:space="preserve"> "Hold Own"</v>
      </c>
      <c r="B19" s="406">
        <v>3000</v>
      </c>
      <c r="C19" s="408"/>
      <c r="D19" s="407">
        <v>115591</v>
      </c>
      <c r="E19" s="75">
        <f>VLOOKUP(B19,Справочник!$A$2:$F$415,5,FALSE)</f>
        <v>0</v>
      </c>
      <c r="F19" s="75">
        <f>VLOOKUP(B19,Справочник!$A$2:$F$415,6,FALSE)</f>
        <v>0</v>
      </c>
      <c r="H19" s="278" t="str">
        <f t="shared" si="1"/>
        <v xml:space="preserve"> "Hold Own"</v>
      </c>
      <c r="I19" s="406">
        <v>1600</v>
      </c>
      <c r="J19" s="407">
        <v>5000</v>
      </c>
      <c r="K19" s="407">
        <v>31747890.829999998</v>
      </c>
      <c r="L19" s="75">
        <f>VLOOKUP(I19,Справочник!$A$2:$F$415,5,FALSE)</f>
        <v>0</v>
      </c>
      <c r="M19" s="75">
        <f>VLOOKUP(I19,Справочник!$A$2:$F$415,6,FALSE)</f>
        <v>0</v>
      </c>
    </row>
    <row r="20" spans="1:13" s="350" customFormat="1">
      <c r="A20" s="278" t="str">
        <f t="shared" si="0"/>
        <v xml:space="preserve"> "Hold Own"</v>
      </c>
      <c r="B20" s="406">
        <v>3050</v>
      </c>
      <c r="C20" s="408"/>
      <c r="D20" s="407">
        <v>115591</v>
      </c>
      <c r="E20" s="75" t="str">
        <f>VLOOKUP(B20,Справочник!$A$2:$F$415,5,FALSE)</f>
        <v>прочие поступления (финанс)</v>
      </c>
      <c r="F20" s="75" t="str">
        <f>VLOOKUP(B20,Справочник!$A$2:$F$415,6,FALSE)</f>
        <v>прочие выбытия (финанс)</v>
      </c>
      <c r="H20" s="278" t="str">
        <f t="shared" si="1"/>
        <v xml:space="preserve"> "Hold Own"</v>
      </c>
      <c r="I20" s="406">
        <v>1610</v>
      </c>
      <c r="J20" s="407">
        <v>5000</v>
      </c>
      <c r="K20" s="407">
        <v>31747890.829999998</v>
      </c>
      <c r="L20" s="75" t="str">
        <f>VLOOKUP(I20,Справочник!$A$2:$F$415,5,FALSE)</f>
        <v>прочие поступления</v>
      </c>
      <c r="M20" s="75" t="str">
        <f>VLOOKUP(I20,Справочник!$A$2:$F$415,6,FALSE)</f>
        <v>авансы, выданные поставщикам товаров и услуг</v>
      </c>
    </row>
    <row r="21" spans="1:13" s="350" customFormat="1">
      <c r="A21" s="278" t="str">
        <f t="shared" si="0"/>
        <v xml:space="preserve"> "Hold Own"</v>
      </c>
      <c r="B21" s="406">
        <v>3100</v>
      </c>
      <c r="C21" s="408"/>
      <c r="D21" s="407">
        <v>1336791</v>
      </c>
      <c r="E21" s="75">
        <f>VLOOKUP(B21,Справочник!$A$2:$F$415,5,FALSE)</f>
        <v>0</v>
      </c>
      <c r="F21" s="75">
        <f>VLOOKUP(B21,Справочник!$A$2:$F$415,6,FALSE)</f>
        <v>0</v>
      </c>
      <c r="H21" s="278" t="str">
        <f t="shared" si="1"/>
        <v xml:space="preserve"> "Hold Own"</v>
      </c>
      <c r="I21" s="406">
        <v>3000</v>
      </c>
      <c r="J21" s="408"/>
      <c r="K21" s="407">
        <v>1750959</v>
      </c>
      <c r="L21" s="75">
        <f>VLOOKUP(I21,Справочник!$A$2:$F$415,5,FALSE)</f>
        <v>0</v>
      </c>
      <c r="M21" s="75">
        <f>VLOOKUP(I21,Справочник!$A$2:$F$415,6,FALSE)</f>
        <v>0</v>
      </c>
    </row>
    <row r="22" spans="1:13" s="350" customFormat="1">
      <c r="A22" s="278" t="str">
        <f t="shared" si="0"/>
        <v xml:space="preserve"> "Hold Own"</v>
      </c>
      <c r="B22" s="406">
        <v>3120</v>
      </c>
      <c r="C22" s="408"/>
      <c r="D22" s="407">
        <v>225042</v>
      </c>
      <c r="E22" s="75" t="str">
        <f>VLOOKUP(B22,Справочник!$A$2:$F$415,5,FALSE)</f>
        <v>прочие поступления</v>
      </c>
      <c r="F22" s="75" t="str">
        <f>VLOOKUP(B22,Справочник!$A$2:$F$415,6,FALSE)</f>
        <v>прочие выплаты</v>
      </c>
      <c r="H22" s="278" t="str">
        <f t="shared" si="1"/>
        <v xml:space="preserve"> "Hold Own"</v>
      </c>
      <c r="I22" s="406">
        <v>3050</v>
      </c>
      <c r="J22" s="408"/>
      <c r="K22" s="407">
        <v>1750959</v>
      </c>
      <c r="L22" s="75" t="str">
        <f>VLOOKUP(I22,Справочник!$A$2:$F$415,5,FALSE)</f>
        <v>прочие поступления (финанс)</v>
      </c>
      <c r="M22" s="75" t="str">
        <f>VLOOKUP(I22,Справочник!$A$2:$F$415,6,FALSE)</f>
        <v>прочие выбытия (финанс)</v>
      </c>
    </row>
    <row r="23" spans="1:13" s="350" customFormat="1" ht="15" customHeight="1">
      <c r="A23" s="278" t="str">
        <f t="shared" si="0"/>
        <v xml:space="preserve"> "Hold Own"</v>
      </c>
      <c r="B23" s="406">
        <v>3150</v>
      </c>
      <c r="C23" s="408"/>
      <c r="D23" s="407">
        <v>22814</v>
      </c>
      <c r="E23" s="75" t="str">
        <f>VLOOKUP(B23,Справочник!$A$2:$F$415,5,FALSE)</f>
        <v>прочие поступления</v>
      </c>
      <c r="F23" s="75" t="str">
        <f>VLOOKUP(B23,Справочник!$A$2:$F$415,6,FALSE)</f>
        <v>прочие выплаты</v>
      </c>
      <c r="H23" s="278" t="str">
        <f t="shared" si="1"/>
        <v xml:space="preserve"> "Hold Own"</v>
      </c>
      <c r="I23" s="406">
        <v>3100</v>
      </c>
      <c r="J23" s="408"/>
      <c r="K23" s="407">
        <v>312235</v>
      </c>
      <c r="L23" s="75">
        <f>VLOOKUP(I23,Справочник!$A$2:$F$415,5,FALSE)</f>
        <v>0</v>
      </c>
      <c r="M23" s="75">
        <f>VLOOKUP(I23,Справочник!$A$2:$F$415,6,FALSE)</f>
        <v>0</v>
      </c>
    </row>
    <row r="24" spans="1:13" s="350" customFormat="1">
      <c r="A24" s="278" t="str">
        <f t="shared" si="0"/>
        <v xml:space="preserve"> "Hold Own"</v>
      </c>
      <c r="B24" s="406">
        <v>3170</v>
      </c>
      <c r="C24" s="408"/>
      <c r="D24" s="407">
        <v>2730</v>
      </c>
      <c r="E24" s="75" t="str">
        <f>VLOOKUP(B24,Справочник!$A$2:$F$415,5,FALSE)</f>
        <v>прочие поступления</v>
      </c>
      <c r="F24" s="75" t="str">
        <f>VLOOKUP(B24,Справочник!$A$2:$F$415,6,FALSE)</f>
        <v>прочие выплаты</v>
      </c>
      <c r="H24" s="278" t="str">
        <f t="shared" si="1"/>
        <v xml:space="preserve"> "Hold Own"</v>
      </c>
      <c r="I24" s="406">
        <v>3120</v>
      </c>
      <c r="J24" s="408"/>
      <c r="K24" s="407">
        <v>37261</v>
      </c>
      <c r="L24" s="75" t="str">
        <f>VLOOKUP(I24,Справочник!$A$2:$F$415,5,FALSE)</f>
        <v>прочие поступления</v>
      </c>
      <c r="M24" s="75" t="str">
        <f>VLOOKUP(I24,Справочник!$A$2:$F$415,6,FALSE)</f>
        <v>прочие выплаты</v>
      </c>
    </row>
    <row r="25" spans="1:13" s="350" customFormat="1" ht="15" customHeight="1">
      <c r="A25" s="278" t="str">
        <f t="shared" si="0"/>
        <v xml:space="preserve"> "Hold Own"</v>
      </c>
      <c r="B25" s="406">
        <v>3190</v>
      </c>
      <c r="C25" s="408"/>
      <c r="D25" s="407">
        <v>1086205</v>
      </c>
      <c r="E25" s="75" t="str">
        <f>VLOOKUP(B25,Справочник!$A$2:$F$415,5,FALSE)</f>
        <v>прочие поступления</v>
      </c>
      <c r="F25" s="75" t="str">
        <f>VLOOKUP(B25,Справочник!$A$2:$F$415,6,FALSE)</f>
        <v>прочие выплаты</v>
      </c>
      <c r="H25" s="278" t="str">
        <f t="shared" si="1"/>
        <v xml:space="preserve"> "Hold Own"</v>
      </c>
      <c r="I25" s="406">
        <v>3150</v>
      </c>
      <c r="J25" s="408"/>
      <c r="K25" s="407">
        <v>13374</v>
      </c>
      <c r="L25" s="75" t="str">
        <f>VLOOKUP(I25,Справочник!$A$2:$F$415,5,FALSE)</f>
        <v>прочие поступления</v>
      </c>
      <c r="M25" s="75" t="str">
        <f>VLOOKUP(I25,Справочник!$A$2:$F$415,6,FALSE)</f>
        <v>прочие выплаты</v>
      </c>
    </row>
    <row r="26" spans="1:13" s="350" customFormat="1">
      <c r="A26" s="278" t="str">
        <f t="shared" si="0"/>
        <v xml:space="preserve"> "Hold Own"</v>
      </c>
      <c r="B26" s="406">
        <v>3200</v>
      </c>
      <c r="C26" s="408"/>
      <c r="D26" s="407">
        <v>61188</v>
      </c>
      <c r="E26" s="75">
        <f>VLOOKUP(B26,Справочник!$A$2:$F$415,5,FALSE)</f>
        <v>0</v>
      </c>
      <c r="F26" s="75">
        <f>VLOOKUP(B26,Справочник!$A$2:$F$415,6,FALSE)</f>
        <v>0</v>
      </c>
      <c r="H26" s="278" t="str">
        <f t="shared" si="1"/>
        <v xml:space="preserve"> "Hold Own"</v>
      </c>
      <c r="I26" s="406">
        <v>3170</v>
      </c>
      <c r="J26" s="408"/>
      <c r="K26" s="407">
        <v>20318</v>
      </c>
      <c r="L26" s="75" t="str">
        <f>VLOOKUP(I26,Справочник!$A$2:$F$415,5,FALSE)</f>
        <v>прочие поступления</v>
      </c>
      <c r="M26" s="75" t="str">
        <f>VLOOKUP(I26,Справочник!$A$2:$F$415,6,FALSE)</f>
        <v>прочие выплаты</v>
      </c>
    </row>
    <row r="27" spans="1:13" s="350" customFormat="1" ht="15" customHeight="1">
      <c r="A27" s="278" t="str">
        <f t="shared" si="0"/>
        <v xml:space="preserve"> "Hold Own"</v>
      </c>
      <c r="B27" s="406">
        <v>3210</v>
      </c>
      <c r="C27" s="408"/>
      <c r="D27" s="407">
        <v>19012.14</v>
      </c>
      <c r="E27" s="75" t="str">
        <f>VLOOKUP(B27,Справочник!$A$2:$F$415,5,FALSE)</f>
        <v>прочие поступления</v>
      </c>
      <c r="F27" s="75" t="str">
        <f>VLOOKUP(B27,Справочник!$A$2:$F$415,6,FALSE)</f>
        <v>прочие выплаты</v>
      </c>
      <c r="H27" s="278" t="str">
        <f t="shared" si="1"/>
        <v xml:space="preserve"> "Hold Own"</v>
      </c>
      <c r="I27" s="406">
        <v>3190</v>
      </c>
      <c r="J27" s="408"/>
      <c r="K27" s="407">
        <v>241282</v>
      </c>
      <c r="L27" s="75" t="str">
        <f>VLOOKUP(I27,Справочник!$A$2:$F$415,5,FALSE)</f>
        <v>прочие поступления</v>
      </c>
      <c r="M27" s="75" t="str">
        <f>VLOOKUP(I27,Справочник!$A$2:$F$415,6,FALSE)</f>
        <v>прочие выплаты</v>
      </c>
    </row>
    <row r="28" spans="1:13" s="350" customFormat="1">
      <c r="A28" s="278" t="str">
        <f t="shared" si="0"/>
        <v xml:space="preserve"> "Hold Own"</v>
      </c>
      <c r="B28" s="406">
        <v>3220</v>
      </c>
      <c r="C28" s="408"/>
      <c r="D28" s="407">
        <v>42175.86</v>
      </c>
      <c r="E28" s="75" t="str">
        <f>VLOOKUP(B28,Справочник!$A$2:$F$415,5,FALSE)</f>
        <v>прочие поступления</v>
      </c>
      <c r="F28" s="75" t="str">
        <f>VLOOKUP(B28,Справочник!$A$2:$F$415,6,FALSE)</f>
        <v>прочие выплаты</v>
      </c>
      <c r="H28" s="278" t="str">
        <f t="shared" si="1"/>
        <v xml:space="preserve"> "Hold Own"</v>
      </c>
      <c r="I28" s="406">
        <v>3200</v>
      </c>
      <c r="J28" s="408"/>
      <c r="K28" s="407">
        <v>33444.65</v>
      </c>
      <c r="L28" s="75">
        <f>VLOOKUP(I28,Справочник!$A$2:$F$415,5,FALSE)</f>
        <v>0</v>
      </c>
      <c r="M28" s="75">
        <f>VLOOKUP(I28,Справочник!$A$2:$F$415,6,FALSE)</f>
        <v>0</v>
      </c>
    </row>
    <row r="29" spans="1:13" s="350" customFormat="1">
      <c r="A29" s="278" t="str">
        <f t="shared" si="0"/>
        <v xml:space="preserve"> "Hold Own"</v>
      </c>
      <c r="B29" s="406">
        <v>3300</v>
      </c>
      <c r="C29" s="407">
        <v>9155945</v>
      </c>
      <c r="D29" s="407">
        <v>7233420.9500000002</v>
      </c>
      <c r="E29" s="75">
        <f>VLOOKUP(B29,Справочник!$A$2:$F$415,5,FALSE)</f>
        <v>0</v>
      </c>
      <c r="F29" s="75">
        <f>VLOOKUP(B29,Справочник!$A$2:$F$415,6,FALSE)</f>
        <v>0</v>
      </c>
      <c r="H29" s="278" t="str">
        <f t="shared" si="1"/>
        <v xml:space="preserve"> "Hold Own"</v>
      </c>
      <c r="I29" s="406">
        <v>3210</v>
      </c>
      <c r="J29" s="408"/>
      <c r="K29" s="407">
        <v>10384.549999999999</v>
      </c>
      <c r="L29" s="75" t="str">
        <f>VLOOKUP(I29,Справочник!$A$2:$F$415,5,FALSE)</f>
        <v>прочие поступления</v>
      </c>
      <c r="M29" s="75" t="str">
        <f>VLOOKUP(I29,Справочник!$A$2:$F$415,6,FALSE)</f>
        <v>прочие выплаты</v>
      </c>
    </row>
    <row r="30" spans="1:13" s="350" customFormat="1">
      <c r="A30" s="278" t="str">
        <f t="shared" si="0"/>
        <v xml:space="preserve"> "Hold Own"</v>
      </c>
      <c r="B30" s="406">
        <v>3310</v>
      </c>
      <c r="C30" s="408"/>
      <c r="D30" s="407">
        <v>1757938.34</v>
      </c>
      <c r="E30" s="75" t="str">
        <f>VLOOKUP(B30,Справочник!$A$2:$F$415,5,FALSE)</f>
        <v>прочие поступления</v>
      </c>
      <c r="F30" s="75" t="str">
        <f>VLOOKUP(B30,Справочник!$A$2:$F$415,6,FALSE)</f>
        <v>платежи поставщикам за товары и услуги</v>
      </c>
      <c r="H30" s="278" t="str">
        <f t="shared" si="1"/>
        <v xml:space="preserve"> "Hold Own"</v>
      </c>
      <c r="I30" s="406">
        <v>3220</v>
      </c>
      <c r="J30" s="408"/>
      <c r="K30" s="407">
        <v>23060.1</v>
      </c>
      <c r="L30" s="75" t="str">
        <f>VLOOKUP(I30,Справочник!$A$2:$F$415,5,FALSE)</f>
        <v>прочие поступления</v>
      </c>
      <c r="M30" s="75" t="str">
        <f>VLOOKUP(I30,Справочник!$A$2:$F$415,6,FALSE)</f>
        <v>прочие выплаты</v>
      </c>
    </row>
    <row r="31" spans="1:13" s="350" customFormat="1">
      <c r="A31" s="278" t="str">
        <f t="shared" si="0"/>
        <v xml:space="preserve"> "Hold Own"</v>
      </c>
      <c r="B31" s="406">
        <v>3350</v>
      </c>
      <c r="C31" s="408"/>
      <c r="D31" s="407">
        <v>352762.48</v>
      </c>
      <c r="E31" s="75" t="str">
        <f>VLOOKUP(B31,Справочник!$A$2:$F$415,5,FALSE)</f>
        <v>прочие поступления</v>
      </c>
      <c r="F31" s="75" t="str">
        <f>VLOOKUP(B31,Справочник!$A$2:$F$415,6,FALSE)</f>
        <v>выплаты по оплате труда</v>
      </c>
      <c r="H31" s="278" t="str">
        <f t="shared" si="1"/>
        <v xml:space="preserve"> "Hold Own"</v>
      </c>
      <c r="I31" s="406">
        <v>3300</v>
      </c>
      <c r="J31" s="407">
        <v>35046246</v>
      </c>
      <c r="K31" s="407">
        <v>22609221.75</v>
      </c>
      <c r="L31" s="75">
        <f>VLOOKUP(I31,Справочник!$A$2:$F$415,5,FALSE)</f>
        <v>0</v>
      </c>
      <c r="M31" s="75">
        <f>VLOOKUP(I31,Справочник!$A$2:$F$415,6,FALSE)</f>
        <v>0</v>
      </c>
    </row>
    <row r="32" spans="1:13" s="350" customFormat="1">
      <c r="A32" s="278" t="str">
        <f t="shared" si="0"/>
        <v xml:space="preserve"> "Hold Own"</v>
      </c>
      <c r="B32" s="406">
        <v>3360</v>
      </c>
      <c r="C32" s="408"/>
      <c r="D32" s="407">
        <v>5122720.13</v>
      </c>
      <c r="E32" s="75" t="str">
        <f>VLOOKUP(B32,Справочник!$A$2:$F$415,5,FALSE)</f>
        <v>прочие поступления</v>
      </c>
      <c r="F32" s="75" t="str">
        <f>VLOOKUP(B32,Справочник!$A$2:$F$415,6,FALSE)</f>
        <v>платежи поставщикам за товары и услуги</v>
      </c>
      <c r="H32" s="278" t="str">
        <f t="shared" si="1"/>
        <v xml:space="preserve"> "Hold Own"</v>
      </c>
      <c r="I32" s="406">
        <v>3310</v>
      </c>
      <c r="J32" s="407">
        <v>15046</v>
      </c>
      <c r="K32" s="407">
        <v>11538891</v>
      </c>
      <c r="L32" s="75" t="str">
        <f>VLOOKUP(I32,Справочник!$A$2:$F$415,5,FALSE)</f>
        <v>прочие поступления</v>
      </c>
      <c r="M32" s="75" t="str">
        <f>VLOOKUP(I32,Справочник!$A$2:$F$415,6,FALSE)</f>
        <v>платежи поставщикам за товары и услуги</v>
      </c>
    </row>
    <row r="33" spans="1:13" s="350" customFormat="1">
      <c r="A33" s="278" t="str">
        <f t="shared" si="0"/>
        <v xml:space="preserve"> "Hold Own"</v>
      </c>
      <c r="B33" s="406">
        <v>3390</v>
      </c>
      <c r="C33" s="407">
        <v>9155945</v>
      </c>
      <c r="D33" s="408"/>
      <c r="E33" s="75">
        <f>VLOOKUP(B33,Справочник!$A$2:$F$415,5,FALSE)</f>
        <v>0</v>
      </c>
      <c r="F33" s="75">
        <f>VLOOKUP(B33,Справочник!$A$2:$F$415,6,FALSE)</f>
        <v>0</v>
      </c>
      <c r="H33" s="278" t="str">
        <f t="shared" si="1"/>
        <v xml:space="preserve"> "Hold Own"</v>
      </c>
      <c r="I33" s="406">
        <v>3350</v>
      </c>
      <c r="J33" s="408"/>
      <c r="K33" s="407">
        <v>216381</v>
      </c>
      <c r="L33" s="75" t="str">
        <f>VLOOKUP(I33,Справочник!$A$2:$F$415,5,FALSE)</f>
        <v>прочие поступления</v>
      </c>
      <c r="M33" s="75" t="str">
        <f>VLOOKUP(I33,Справочник!$A$2:$F$415,6,FALSE)</f>
        <v>выплаты по оплате труда</v>
      </c>
    </row>
    <row r="34" spans="1:13" s="350" customFormat="1">
      <c r="A34" s="278" t="str">
        <f t="shared" si="0"/>
        <v xml:space="preserve"> "Hold Own"</v>
      </c>
      <c r="B34" s="406">
        <v>3397</v>
      </c>
      <c r="C34" s="407">
        <v>9155945</v>
      </c>
      <c r="D34" s="408"/>
      <c r="E34" s="75" t="str">
        <f>VLOOKUP(B34,Справочник!$A$2:$F$415,5,FALSE)</f>
        <v>прочие поступления</v>
      </c>
      <c r="F34" s="75" t="str">
        <f>VLOOKUP(B34,Справочник!$A$2:$F$415,6,FALSE)</f>
        <v>прочие выплаты</v>
      </c>
      <c r="H34" s="278" t="str">
        <f t="shared" si="1"/>
        <v xml:space="preserve"> "Hold Own"</v>
      </c>
      <c r="I34" s="406">
        <v>3360</v>
      </c>
      <c r="J34" s="408"/>
      <c r="K34" s="407">
        <v>8493099.75</v>
      </c>
      <c r="L34" s="75" t="str">
        <f>VLOOKUP(I34,Справочник!$A$2:$F$415,5,FALSE)</f>
        <v>прочие поступления</v>
      </c>
      <c r="M34" s="75" t="str">
        <f>VLOOKUP(I34,Справочник!$A$2:$F$415,6,FALSE)</f>
        <v>платежи поставщикам за товары и услуги</v>
      </c>
    </row>
    <row r="35" spans="1:13" s="350" customFormat="1">
      <c r="A35" s="278" t="str">
        <f t="shared" si="0"/>
        <v xml:space="preserve"> "Hold Own"</v>
      </c>
      <c r="B35" s="406">
        <v>3500</v>
      </c>
      <c r="C35" s="407">
        <v>5000000</v>
      </c>
      <c r="D35" s="408"/>
      <c r="E35" s="75">
        <f>VLOOKUP(B35,Справочник!$A$2:$F$415,5,FALSE)</f>
        <v>0</v>
      </c>
      <c r="F35" s="75">
        <f>VLOOKUP(B35,Справочник!$A$2:$F$415,6,FALSE)</f>
        <v>0</v>
      </c>
      <c r="H35" s="278" t="str">
        <f t="shared" si="1"/>
        <v xml:space="preserve"> "Hold Own"</v>
      </c>
      <c r="I35" s="406">
        <v>3390</v>
      </c>
      <c r="J35" s="407">
        <v>35031200</v>
      </c>
      <c r="K35" s="407">
        <v>2360850</v>
      </c>
      <c r="L35" s="75">
        <f>VLOOKUP(I35,Справочник!$A$2:$F$415,5,FALSE)</f>
        <v>0</v>
      </c>
      <c r="M35" s="75">
        <f>VLOOKUP(I35,Справочник!$A$2:$F$415,6,FALSE)</f>
        <v>0</v>
      </c>
    </row>
    <row r="36" spans="1:13" s="350" customFormat="1">
      <c r="A36" s="278" t="str">
        <f t="shared" si="0"/>
        <v xml:space="preserve"> "Hold Own"</v>
      </c>
      <c r="B36" s="406">
        <v>3510</v>
      </c>
      <c r="C36" s="407">
        <v>5000000</v>
      </c>
      <c r="D36" s="408"/>
      <c r="E36" s="75" t="str">
        <f>VLOOKUP(B36,Справочник!$A$2:$F$415,5,FALSE)</f>
        <v>авансы, полученные от покупателей, заказчиков</v>
      </c>
      <c r="F36" s="75" t="str">
        <f>VLOOKUP(B36,Справочник!$A$2:$F$415,6,FALSE)</f>
        <v>прочие выплаты</v>
      </c>
      <c r="H36" s="278" t="str">
        <f t="shared" si="1"/>
        <v xml:space="preserve"> "Hold Own"</v>
      </c>
      <c r="I36" s="406">
        <v>3397</v>
      </c>
      <c r="J36" s="407">
        <v>35031200</v>
      </c>
      <c r="K36" s="407">
        <v>2360850</v>
      </c>
      <c r="L36" s="75" t="str">
        <f>VLOOKUP(I36,Справочник!$A$2:$F$415,5,FALSE)</f>
        <v>прочие поступления</v>
      </c>
      <c r="M36" s="75" t="str">
        <f>VLOOKUP(I36,Справочник!$A$2:$F$415,6,FALSE)</f>
        <v>прочие выплаты</v>
      </c>
    </row>
    <row r="37" spans="1:13" s="350" customFormat="1">
      <c r="A37" s="278" t="str">
        <f t="shared" si="0"/>
        <v xml:space="preserve"> "Hold Own"</v>
      </c>
      <c r="B37" s="406">
        <v>7200</v>
      </c>
      <c r="C37" s="408"/>
      <c r="D37" s="407">
        <v>24214.26</v>
      </c>
      <c r="E37" s="75">
        <f>VLOOKUP(B37,Справочник!$A$2:$F$415,5,FALSE)</f>
        <v>0</v>
      </c>
      <c r="F37" s="75">
        <f>VLOOKUP(B37,Справочник!$A$2:$F$415,6,FALSE)</f>
        <v>0</v>
      </c>
      <c r="H37" s="278" t="str">
        <f t="shared" si="1"/>
        <v xml:space="preserve"> "Hold Own"</v>
      </c>
      <c r="I37" s="406">
        <v>5000</v>
      </c>
      <c r="J37" s="407">
        <v>27135000</v>
      </c>
      <c r="K37" s="408"/>
      <c r="L37" s="75">
        <f>VLOOKUP(I37,Справочник!$A$2:$F$415,5,FALSE)</f>
        <v>0</v>
      </c>
      <c r="M37" s="75">
        <f>VLOOKUP(I37,Справочник!$A$2:$F$415,6,FALSE)</f>
        <v>0</v>
      </c>
    </row>
    <row r="38" spans="1:13" s="350" customFormat="1">
      <c r="A38" s="278" t="str">
        <f t="shared" si="0"/>
        <v xml:space="preserve"> "Hold Own"</v>
      </c>
      <c r="B38" s="406">
        <v>7210</v>
      </c>
      <c r="C38" s="408"/>
      <c r="D38" s="407">
        <v>24214.26</v>
      </c>
      <c r="E38" s="75" t="str">
        <f>VLOOKUP(B38,Справочник!$A$2:$F$415,5,FALSE)</f>
        <v>прочие поступления</v>
      </c>
      <c r="F38" s="75" t="str">
        <f>VLOOKUP(B38,Справочник!$A$2:$F$415,6,FALSE)</f>
        <v>прочие выплаты</v>
      </c>
      <c r="H38" s="278" t="str">
        <f t="shared" si="1"/>
        <v xml:space="preserve"> "Hold Own"</v>
      </c>
      <c r="I38" s="406">
        <v>5030</v>
      </c>
      <c r="J38" s="407">
        <v>27135000</v>
      </c>
      <c r="K38" s="408"/>
      <c r="L38" s="75" t="str">
        <f>VLOOKUP(I38,Справочник!$A$2:$F$415,5,FALSE)</f>
        <v>эмиссия акций и других финансовых инструментов</v>
      </c>
      <c r="M38" s="75" t="str">
        <f>VLOOKUP(I38,Справочник!$A$2:$F$415,6,FALSE)</f>
        <v>выплаты собственникам по акциям организации</v>
      </c>
    </row>
    <row r="39" spans="1:13" s="350" customFormat="1">
      <c r="A39" s="278" t="str">
        <f t="shared" si="0"/>
        <v xml:space="preserve"> "Hold Own"</v>
      </c>
      <c r="B39" s="459" t="s">
        <v>608</v>
      </c>
      <c r="C39" s="460">
        <v>14216245</v>
      </c>
      <c r="D39" s="460">
        <v>13899638.560000001</v>
      </c>
      <c r="E39" s="75" t="e">
        <f>VLOOKUP(B39,Справочник!$A$2:$F$415,5,FALSE)</f>
        <v>#N/A</v>
      </c>
      <c r="F39" s="75" t="e">
        <f>VLOOKUP(B39,Справочник!$A$2:$F$415,6,FALSE)</f>
        <v>#N/A</v>
      </c>
      <c r="H39" s="278" t="str">
        <f t="shared" si="1"/>
        <v xml:space="preserve"> "Hold Own"</v>
      </c>
      <c r="I39" s="406">
        <v>6200</v>
      </c>
      <c r="J39" s="407">
        <v>42868.75</v>
      </c>
      <c r="K39" s="408"/>
      <c r="L39" s="75">
        <f>VLOOKUP(I39,Справочник!$A$2:$F$415,5,FALSE)</f>
        <v>0</v>
      </c>
      <c r="M39" s="75">
        <f>VLOOKUP(I39,Справочник!$A$2:$F$415,6,FALSE)</f>
        <v>0</v>
      </c>
    </row>
    <row r="40" spans="1:13" s="350" customFormat="1" ht="24">
      <c r="A40" s="278" t="str">
        <f t="shared" si="0"/>
        <v xml:space="preserve"> "Hold Own"</v>
      </c>
      <c r="B40" s="459" t="s">
        <v>698</v>
      </c>
      <c r="C40" s="460">
        <v>404175.37</v>
      </c>
      <c r="D40" s="407"/>
      <c r="E40" s="75" t="e">
        <f>VLOOKUP(B40,Справочник!$A$2:$F$415,5,FALSE)</f>
        <v>#N/A</v>
      </c>
      <c r="F40" s="75" t="e">
        <f>VLOOKUP(B40,Справочник!$A$2:$F$415,6,FALSE)</f>
        <v>#N/A</v>
      </c>
      <c r="H40" s="278" t="str">
        <f t="shared" si="1"/>
        <v xml:space="preserve"> "Hold Own"</v>
      </c>
      <c r="I40" s="406">
        <v>6250</v>
      </c>
      <c r="J40" s="407">
        <v>39150</v>
      </c>
      <c r="K40" s="408"/>
      <c r="L40" s="75" t="str">
        <f>VLOOKUP(I40,Справочник!$A$2:$F$415,5,FALSE)</f>
        <v>прочие поступления</v>
      </c>
      <c r="M40" s="75" t="str">
        <f>VLOOKUP(I40,Справочник!$A$2:$F$415,6,FALSE)</f>
        <v>прочие выплаты</v>
      </c>
    </row>
    <row r="41" spans="1:13" s="350" customFormat="1">
      <c r="A41" s="278" t="str">
        <f t="shared" si="0"/>
        <v xml:space="preserve"> "Hold Own"</v>
      </c>
      <c r="B41" s="406"/>
      <c r="C41" s="408"/>
      <c r="D41" s="407"/>
      <c r="E41" s="75">
        <f>VLOOKUP(B41,Справочник!$A$2:$F$415,5,FALSE)</f>
        <v>0</v>
      </c>
      <c r="F41" s="75">
        <f>VLOOKUP(B41,Справочник!$A$2:$F$415,6,FALSE)</f>
        <v>0</v>
      </c>
      <c r="H41" s="278" t="str">
        <f t="shared" si="1"/>
        <v xml:space="preserve"> "Hold Own"</v>
      </c>
      <c r="I41" s="406">
        <v>6280</v>
      </c>
      <c r="J41" s="407">
        <v>3718.75</v>
      </c>
      <c r="K41" s="408"/>
      <c r="L41" s="75" t="str">
        <f>VLOOKUP(I41,Справочник!$A$2:$F$415,5,FALSE)</f>
        <v>прочие поступления</v>
      </c>
      <c r="M41" s="75">
        <f>VLOOKUP(I41,Справочник!$A$2:$F$415,6,FALSE)</f>
        <v>0</v>
      </c>
    </row>
    <row r="42" spans="1:13" s="350" customFormat="1">
      <c r="A42" s="278" t="str">
        <f t="shared" si="0"/>
        <v xml:space="preserve"> "Hold Own"</v>
      </c>
      <c r="B42" s="406"/>
      <c r="C42" s="409"/>
      <c r="D42" s="408"/>
      <c r="E42" s="75">
        <f>VLOOKUP(B42,Справочник!$A$2:$F$415,5,FALSE)</f>
        <v>0</v>
      </c>
      <c r="F42" s="75">
        <f>VLOOKUP(B42,Справочник!$A$2:$F$415,6,FALSE)</f>
        <v>0</v>
      </c>
      <c r="H42" s="278" t="str">
        <f t="shared" si="1"/>
        <v xml:space="preserve"> "Hold Own"</v>
      </c>
      <c r="I42" s="406">
        <v>7200</v>
      </c>
      <c r="J42" s="408"/>
      <c r="K42" s="407">
        <v>342345.71</v>
      </c>
      <c r="L42" s="75">
        <f>VLOOKUP(I42,Справочник!$A$2:$F$415,5,FALSE)</f>
        <v>0</v>
      </c>
      <c r="M42" s="75">
        <f>VLOOKUP(I42,Справочник!$A$2:$F$415,6,FALSE)</f>
        <v>0</v>
      </c>
    </row>
    <row r="43" spans="1:13" s="350" customFormat="1">
      <c r="A43" s="278" t="str">
        <f t="shared" si="0"/>
        <v xml:space="preserve"> "Hold Own"</v>
      </c>
      <c r="B43" s="406"/>
      <c r="C43" s="409"/>
      <c r="D43" s="408"/>
      <c r="E43" s="75">
        <f>VLOOKUP(B43,Справочник!$A$2:$F$415,5,FALSE)</f>
        <v>0</v>
      </c>
      <c r="F43" s="75">
        <f>VLOOKUP(B43,Справочник!$A$2:$F$415,6,FALSE)</f>
        <v>0</v>
      </c>
      <c r="H43" s="278" t="str">
        <f t="shared" si="1"/>
        <v xml:space="preserve"> "Hold Own"</v>
      </c>
      <c r="I43" s="406">
        <v>7210</v>
      </c>
      <c r="J43" s="408"/>
      <c r="K43" s="407">
        <v>342345.71</v>
      </c>
      <c r="L43" s="75" t="str">
        <f>VLOOKUP(I43,Справочник!$A$2:$F$415,5,FALSE)</f>
        <v>прочие поступления</v>
      </c>
      <c r="M43" s="75" t="str">
        <f>VLOOKUP(I43,Справочник!$A$2:$F$415,6,FALSE)</f>
        <v>прочие выплаты</v>
      </c>
    </row>
    <row r="44" spans="1:13" s="350" customFormat="1">
      <c r="A44" s="278" t="str">
        <f t="shared" si="0"/>
        <v xml:space="preserve"> "Hold Own"</v>
      </c>
      <c r="B44" s="406"/>
      <c r="C44" s="408"/>
      <c r="D44" s="407"/>
      <c r="E44" s="75">
        <f>VLOOKUP(B44,Справочник!$A$2:$F$415,5,FALSE)</f>
        <v>0</v>
      </c>
      <c r="F44" s="75">
        <f>VLOOKUP(B44,Справочник!$A$2:$F$415,6,FALSE)</f>
        <v>0</v>
      </c>
      <c r="H44" s="278" t="str">
        <f t="shared" si="1"/>
        <v xml:space="preserve"> "Hold Own"</v>
      </c>
      <c r="I44" s="406">
        <v>7400</v>
      </c>
      <c r="J44" s="408"/>
      <c r="K44" s="407">
        <v>99540.37</v>
      </c>
      <c r="L44" s="75">
        <f>VLOOKUP(I44,Справочник!$A$2:$F$415,5,FALSE)</f>
        <v>0</v>
      </c>
      <c r="M44" s="75">
        <f>VLOOKUP(I44,Справочник!$A$2:$F$415,6,FALSE)</f>
        <v>0</v>
      </c>
    </row>
    <row r="45" spans="1:13" s="350" customFormat="1">
      <c r="A45" s="278" t="str">
        <f t="shared" si="0"/>
        <v xml:space="preserve"> "Hold Own"</v>
      </c>
      <c r="B45" s="406"/>
      <c r="C45" s="408"/>
      <c r="D45" s="407"/>
      <c r="E45" s="75">
        <f>VLOOKUP(B45,Справочник!$A$2:$F$415,5,FALSE)</f>
        <v>0</v>
      </c>
      <c r="F45" s="75">
        <f>VLOOKUP(B45,Справочник!$A$2:$F$415,6,FALSE)</f>
        <v>0</v>
      </c>
      <c r="H45" s="278" t="str">
        <f t="shared" si="1"/>
        <v xml:space="preserve"> "Hold Own"</v>
      </c>
      <c r="I45" s="406">
        <v>7470</v>
      </c>
      <c r="J45" s="408"/>
      <c r="K45" s="407">
        <v>99540.37</v>
      </c>
      <c r="L45" s="75" t="str">
        <f>VLOOKUP(I45,Справочник!$A$2:$F$415,5,FALSE)</f>
        <v>прочие поступления</v>
      </c>
      <c r="M45" s="75" t="str">
        <f>VLOOKUP(I45,Справочник!$A$2:$F$415,6,FALSE)</f>
        <v>прочие выплаты</v>
      </c>
    </row>
    <row r="46" spans="1:13" s="350" customFormat="1">
      <c r="A46" s="278" t="str">
        <f t="shared" si="0"/>
        <v xml:space="preserve"> "Hold Own"</v>
      </c>
      <c r="B46" s="403"/>
      <c r="C46" s="404"/>
      <c r="D46" s="404"/>
      <c r="E46" s="75"/>
      <c r="F46" s="75"/>
      <c r="H46" s="278" t="str">
        <f t="shared" si="1"/>
        <v xml:space="preserve"> "Hold Own"</v>
      </c>
      <c r="I46" s="459" t="s">
        <v>608</v>
      </c>
      <c r="J46" s="460">
        <v>97718790.849999994</v>
      </c>
      <c r="K46" s="460">
        <v>97649415.409999996</v>
      </c>
      <c r="L46" s="75" t="e">
        <f>VLOOKUP(I46,Справочник!$A$2:$F$415,5,FALSE)</f>
        <v>#N/A</v>
      </c>
      <c r="M46" s="75" t="e">
        <f>VLOOKUP(I46,Справочник!$A$2:$F$415,6,FALSE)</f>
        <v>#N/A</v>
      </c>
    </row>
    <row r="47" spans="1:13" s="350" customFormat="1" ht="24">
      <c r="A47" s="278" t="str">
        <f t="shared" si="0"/>
        <v xml:space="preserve"> "Hold Own"</v>
      </c>
      <c r="B47" s="403"/>
      <c r="C47" s="404"/>
      <c r="D47" s="405"/>
      <c r="E47" s="75"/>
      <c r="F47" s="75"/>
      <c r="H47" s="278" t="str">
        <f t="shared" si="1"/>
        <v xml:space="preserve"> "Hold Own"</v>
      </c>
      <c r="I47" s="459" t="s">
        <v>698</v>
      </c>
      <c r="J47" s="460">
        <v>87568.93</v>
      </c>
      <c r="K47" s="461"/>
      <c r="L47" s="75" t="e">
        <f>VLOOKUP(I47,Справочник!$A$2:$F$415,5,FALSE)</f>
        <v>#N/A</v>
      </c>
      <c r="M47" s="75" t="e">
        <f>VLOOKUP(I47,Справочник!$A$2:$F$415,6,FALSE)</f>
        <v>#N/A</v>
      </c>
    </row>
    <row r="48" spans="1:13" s="350" customFormat="1">
      <c r="A48" s="278" t="str">
        <f t="shared" si="0"/>
        <v xml:space="preserve"> "Hold Own"</v>
      </c>
      <c r="B48" s="406"/>
      <c r="C48" s="408"/>
      <c r="D48" s="407"/>
      <c r="E48" s="75">
        <f>VLOOKUP(B48,Справочник!$A$2:$F$415,5,FALSE)</f>
        <v>0</v>
      </c>
      <c r="F48" s="75">
        <f>VLOOKUP(B48,Справочник!$A$2:$F$415,6,FALSE)</f>
        <v>0</v>
      </c>
      <c r="H48" s="278" t="str">
        <f t="shared" si="1"/>
        <v xml:space="preserve"> "Hold Own"</v>
      </c>
      <c r="I48" s="406"/>
      <c r="J48" s="408"/>
      <c r="K48" s="407"/>
      <c r="L48" s="75">
        <f>VLOOKUP(I48,Справочник!$A$2:$F$415,5,FALSE)</f>
        <v>0</v>
      </c>
      <c r="M48" s="75">
        <f>VLOOKUP(I48,Справочник!$A$2:$F$415,6,FALSE)</f>
        <v>0</v>
      </c>
    </row>
    <row r="49" spans="1:13" s="350" customFormat="1">
      <c r="A49" s="278" t="str">
        <f t="shared" si="0"/>
        <v xml:space="preserve"> "Hold Own"</v>
      </c>
      <c r="B49" s="406"/>
      <c r="C49" s="407"/>
      <c r="D49" s="407"/>
      <c r="E49" s="75">
        <f>VLOOKUP(B49,Справочник!$A$2:$F$415,5,FALSE)</f>
        <v>0</v>
      </c>
      <c r="F49" s="75">
        <f>VLOOKUP(B49,Справочник!$A$2:$F$415,6,FALSE)</f>
        <v>0</v>
      </c>
      <c r="H49" s="278" t="str">
        <f t="shared" si="1"/>
        <v xml:space="preserve"> "Hold Own"</v>
      </c>
      <c r="I49" s="406"/>
      <c r="J49" s="407"/>
      <c r="K49" s="407"/>
      <c r="L49" s="75">
        <f>VLOOKUP(I49,Справочник!$A$2:$F$415,5,FALSE)</f>
        <v>0</v>
      </c>
      <c r="M49" s="75">
        <f>VLOOKUP(I49,Справочник!$A$2:$F$415,6,FALSE)</f>
        <v>0</v>
      </c>
    </row>
    <row r="50" spans="1:13" s="350" customFormat="1">
      <c r="A50" s="278" t="str">
        <f t="shared" si="0"/>
        <v xml:space="preserve"> "Hold Own"</v>
      </c>
      <c r="B50" s="406"/>
      <c r="C50" s="407"/>
      <c r="D50" s="407"/>
      <c r="E50" s="75">
        <f>VLOOKUP(B50,Справочник!$A$2:$F$415,5,FALSE)</f>
        <v>0</v>
      </c>
      <c r="F50" s="75">
        <f>VLOOKUP(B50,Справочник!$A$2:$F$415,6,FALSE)</f>
        <v>0</v>
      </c>
      <c r="H50" s="278" t="str">
        <f t="shared" si="1"/>
        <v xml:space="preserve"> "Hold Own"</v>
      </c>
      <c r="I50" s="406"/>
      <c r="J50" s="407"/>
      <c r="K50" s="407"/>
      <c r="L50" s="75">
        <f>VLOOKUP(I50,Справочник!$A$2:$F$415,5,FALSE)</f>
        <v>0</v>
      </c>
      <c r="M50" s="75">
        <f>VLOOKUP(I50,Справочник!$A$2:$F$415,6,FALSE)</f>
        <v>0</v>
      </c>
    </row>
    <row r="51" spans="1:13" s="350" customFormat="1">
      <c r="A51" s="278" t="str">
        <f t="shared" si="0"/>
        <v xml:space="preserve"> "Hold Own"</v>
      </c>
      <c r="B51" s="406"/>
      <c r="C51" s="407"/>
      <c r="D51" s="407"/>
      <c r="E51" s="75">
        <f>VLOOKUP(B51,Справочник!$A$2:$F$415,5,FALSE)</f>
        <v>0</v>
      </c>
      <c r="F51" s="75">
        <f>VLOOKUP(B51,Справочник!$A$2:$F$415,6,FALSE)</f>
        <v>0</v>
      </c>
      <c r="H51" s="278" t="str">
        <f t="shared" si="1"/>
        <v xml:space="preserve"> "Hold Own"</v>
      </c>
      <c r="I51" s="406"/>
      <c r="J51" s="407"/>
      <c r="K51" s="407"/>
      <c r="L51" s="75">
        <f>VLOOKUP(I51,Справочник!$A$2:$F$415,5,FALSE)</f>
        <v>0</v>
      </c>
      <c r="M51" s="75">
        <f>VLOOKUP(I51,Справочник!$A$2:$F$415,6,FALSE)</f>
        <v>0</v>
      </c>
    </row>
    <row r="52" spans="1:13" s="350" customFormat="1">
      <c r="A52" s="278" t="str">
        <f t="shared" si="0"/>
        <v xml:space="preserve"> "Hold Own"</v>
      </c>
      <c r="B52" s="406"/>
      <c r="C52" s="408"/>
      <c r="D52" s="407"/>
      <c r="E52" s="75">
        <f>VLOOKUP(B52,Справочник!$A$2:$F$415,5,FALSE)</f>
        <v>0</v>
      </c>
      <c r="F52" s="75">
        <f>VLOOKUP(B52,Справочник!$A$2:$F$415,6,FALSE)</f>
        <v>0</v>
      </c>
      <c r="H52" s="278" t="str">
        <f t="shared" si="1"/>
        <v xml:space="preserve"> "Hold Own"</v>
      </c>
      <c r="I52" s="406"/>
      <c r="J52" s="408"/>
      <c r="K52" s="407"/>
      <c r="L52" s="75">
        <f>VLOOKUP(I52,Справочник!$A$2:$F$415,5,FALSE)</f>
        <v>0</v>
      </c>
      <c r="M52" s="75">
        <f>VLOOKUP(I52,Справочник!$A$2:$F$415,6,FALSE)</f>
        <v>0</v>
      </c>
    </row>
    <row r="53" spans="1:13" s="350" customFormat="1">
      <c r="A53" s="278" t="str">
        <f t="shared" si="0"/>
        <v xml:space="preserve"> "Hold Own"</v>
      </c>
      <c r="B53" s="406"/>
      <c r="C53" s="407"/>
      <c r="D53" s="408"/>
      <c r="E53" s="75">
        <f>VLOOKUP(B53,Справочник!$A$2:$F$415,5,FALSE)</f>
        <v>0</v>
      </c>
      <c r="F53" s="75">
        <f>VLOOKUP(B53,Справочник!$A$2:$F$415,6,FALSE)</f>
        <v>0</v>
      </c>
      <c r="H53" s="278" t="str">
        <f t="shared" si="1"/>
        <v xml:space="preserve"> "Hold Own"</v>
      </c>
      <c r="I53" s="406"/>
      <c r="J53" s="407"/>
      <c r="K53" s="408"/>
      <c r="L53" s="75">
        <f>VLOOKUP(I53,Справочник!$A$2:$F$415,5,FALSE)</f>
        <v>0</v>
      </c>
      <c r="M53" s="75">
        <f>VLOOKUP(I53,Справочник!$A$2:$F$415,6,FALSE)</f>
        <v>0</v>
      </c>
    </row>
    <row r="54" spans="1:13">
      <c r="A54" s="278" t="str">
        <f t="shared" si="0"/>
        <v xml:space="preserve"> "Hold Own"</v>
      </c>
      <c r="B54" s="406"/>
      <c r="C54" s="407"/>
      <c r="D54" s="408"/>
      <c r="E54" s="75">
        <f>VLOOKUP(B54,Справочник!$A$2:$F$415,5,FALSE)</f>
        <v>0</v>
      </c>
      <c r="F54" s="75">
        <f>VLOOKUP(B54,Справочник!$A$2:$F$415,6,FALSE)</f>
        <v>0</v>
      </c>
      <c r="H54" s="278" t="str">
        <f t="shared" si="1"/>
        <v xml:space="preserve"> "Hold Own"</v>
      </c>
      <c r="I54" s="406"/>
      <c r="J54" s="407"/>
      <c r="K54" s="408"/>
      <c r="L54" s="75">
        <f>VLOOKUP(I54,Справочник!$A$2:$F$415,5,FALSE)</f>
        <v>0</v>
      </c>
      <c r="M54" s="75">
        <f>VLOOKUP(I54,Справочник!$A$2:$F$415,6,FALSE)</f>
        <v>0</v>
      </c>
    </row>
    <row r="55" spans="1:13">
      <c r="A55" s="278" t="str">
        <f t="shared" si="0"/>
        <v xml:space="preserve"> "Hold Own"</v>
      </c>
      <c r="B55" s="406"/>
      <c r="C55" s="407"/>
      <c r="D55" s="408"/>
      <c r="E55" s="75">
        <f>VLOOKUP(B55,Справочник!$A$2:$F$415,5,FALSE)</f>
        <v>0</v>
      </c>
      <c r="F55" s="75">
        <f>VLOOKUP(B55,Справочник!$A$2:$F$415,6,FALSE)</f>
        <v>0</v>
      </c>
      <c r="H55" s="278" t="str">
        <f t="shared" si="1"/>
        <v xml:space="preserve"> "Hold Own"</v>
      </c>
      <c r="I55" s="406"/>
      <c r="J55" s="407"/>
      <c r="K55" s="408"/>
      <c r="L55" s="75">
        <f>VLOOKUP(I55,Справочник!$A$2:$F$415,5,FALSE)</f>
        <v>0</v>
      </c>
      <c r="M55" s="75">
        <f>VLOOKUP(I55,Справочник!$A$2:$F$415,6,FALSE)</f>
        <v>0</v>
      </c>
    </row>
    <row r="56" spans="1:13">
      <c r="A56" s="278" t="str">
        <f t="shared" si="0"/>
        <v xml:space="preserve"> "Hold Own"</v>
      </c>
      <c r="B56" s="406"/>
      <c r="C56" s="407"/>
      <c r="D56" s="408"/>
      <c r="E56" s="75">
        <f>VLOOKUP(B56,Справочник!$A$2:$F$415,5,FALSE)</f>
        <v>0</v>
      </c>
      <c r="F56" s="75">
        <f>VLOOKUP(B56,Справочник!$A$2:$F$415,6,FALSE)</f>
        <v>0</v>
      </c>
      <c r="H56" s="278" t="str">
        <f t="shared" si="1"/>
        <v xml:space="preserve"> "Hold Own"</v>
      </c>
      <c r="I56" s="406"/>
      <c r="J56" s="407"/>
      <c r="K56" s="408"/>
      <c r="L56" s="75">
        <f>VLOOKUP(I56,Справочник!$A$2:$F$415,5,FALSE)</f>
        <v>0</v>
      </c>
      <c r="M56" s="75">
        <f>VLOOKUP(I56,Справочник!$A$2:$F$415,6,FALSE)</f>
        <v>0</v>
      </c>
    </row>
    <row r="57" spans="1:13">
      <c r="A57" s="278" t="str">
        <f t="shared" si="0"/>
        <v xml:space="preserve"> "Hold Own"</v>
      </c>
      <c r="B57" s="406"/>
      <c r="C57" s="407"/>
      <c r="D57" s="409"/>
      <c r="E57" s="75">
        <f>VLOOKUP(B57,Справочник!$A$2:$F$415,5,FALSE)</f>
        <v>0</v>
      </c>
      <c r="F57" s="75">
        <f>VLOOKUP(B57,Справочник!$A$2:$F$415,6,FALSE)</f>
        <v>0</v>
      </c>
      <c r="H57" s="278" t="str">
        <f t="shared" si="1"/>
        <v xml:space="preserve"> "Hold Own"</v>
      </c>
      <c r="I57" s="406"/>
      <c r="J57" s="407"/>
      <c r="K57" s="409"/>
      <c r="L57" s="75">
        <f>VLOOKUP(I57,Справочник!$A$2:$F$415,5,FALSE)</f>
        <v>0</v>
      </c>
      <c r="M57" s="75">
        <f>VLOOKUP(I57,Справочник!$A$2:$F$415,6,FALSE)</f>
        <v>0</v>
      </c>
    </row>
    <row r="58" spans="1:13">
      <c r="A58" s="278" t="str">
        <f t="shared" si="0"/>
        <v xml:space="preserve"> "Hold Own"</v>
      </c>
      <c r="B58" s="406"/>
      <c r="C58" s="407"/>
      <c r="D58" s="409"/>
      <c r="E58" s="75">
        <f>VLOOKUP(B58,Справочник!$A$2:$F$415,5,FALSE)</f>
        <v>0</v>
      </c>
      <c r="F58" s="75">
        <f>VLOOKUP(B58,Справочник!$A$2:$F$415,6,FALSE)</f>
        <v>0</v>
      </c>
      <c r="H58" s="278" t="str">
        <f t="shared" si="1"/>
        <v xml:space="preserve"> "Hold Own"</v>
      </c>
      <c r="I58" s="406"/>
      <c r="J58" s="407"/>
      <c r="K58" s="409"/>
      <c r="L58" s="75">
        <f>VLOOKUP(I58,Справочник!$A$2:$F$415,5,FALSE)</f>
        <v>0</v>
      </c>
      <c r="M58" s="75">
        <f>VLOOKUP(I58,Справочник!$A$2:$F$415,6,FALSE)</f>
        <v>0</v>
      </c>
    </row>
    <row r="59" spans="1:13">
      <c r="A59" s="278" t="str">
        <f t="shared" si="0"/>
        <v xml:space="preserve"> "Hold Own"</v>
      </c>
      <c r="B59" s="406"/>
      <c r="C59" s="408"/>
      <c r="D59" s="407"/>
      <c r="E59" s="75">
        <f>VLOOKUP(B59,Справочник!$A$2:$F$415,5,FALSE)</f>
        <v>0</v>
      </c>
      <c r="F59" s="75">
        <f>VLOOKUP(B59,Справочник!$A$2:$F$415,6,FALSE)</f>
        <v>0</v>
      </c>
      <c r="H59" s="278" t="str">
        <f t="shared" si="1"/>
        <v xml:space="preserve"> "Hold Own"</v>
      </c>
      <c r="I59" s="406"/>
      <c r="J59" s="408"/>
      <c r="K59" s="407"/>
      <c r="L59" s="75">
        <f>VLOOKUP(I59,Справочник!$A$2:$F$415,5,FALSE)</f>
        <v>0</v>
      </c>
      <c r="M59" s="75">
        <f>VLOOKUP(I59,Справочник!$A$2:$F$415,6,FALSE)</f>
        <v>0</v>
      </c>
    </row>
    <row r="60" spans="1:13">
      <c r="A60" s="278" t="str">
        <f t="shared" si="0"/>
        <v xml:space="preserve"> "Hold Own"</v>
      </c>
      <c r="B60" s="406"/>
      <c r="C60" s="408"/>
      <c r="D60" s="407"/>
      <c r="E60" s="75">
        <f>VLOOKUP(B60,Справочник!$A$2:$F$415,5,FALSE)</f>
        <v>0</v>
      </c>
      <c r="F60" s="75">
        <f>VLOOKUP(B60,Справочник!$A$2:$F$415,6,FALSE)</f>
        <v>0</v>
      </c>
      <c r="H60" s="278" t="str">
        <f t="shared" si="1"/>
        <v xml:space="preserve"> "Hold Own"</v>
      </c>
      <c r="I60" s="406"/>
      <c r="J60" s="408"/>
      <c r="K60" s="407"/>
      <c r="L60" s="75">
        <f>VLOOKUP(I60,Справочник!$A$2:$F$415,5,FALSE)</f>
        <v>0</v>
      </c>
      <c r="M60" s="75">
        <f>VLOOKUP(I60,Справочник!$A$2:$F$415,6,FALSE)</f>
        <v>0</v>
      </c>
    </row>
    <row r="61" spans="1:13">
      <c r="A61" s="278" t="str">
        <f t="shared" si="0"/>
        <v xml:space="preserve"> "Hold Own"</v>
      </c>
      <c r="B61" s="406"/>
      <c r="C61" s="408"/>
      <c r="D61" s="407"/>
      <c r="E61" s="75">
        <f>VLOOKUP(B61,Справочник!$A$2:$F$415,5,FALSE)</f>
        <v>0</v>
      </c>
      <c r="F61" s="75">
        <f>VLOOKUP(B61,Справочник!$A$2:$F$415,6,FALSE)</f>
        <v>0</v>
      </c>
      <c r="H61" s="278" t="str">
        <f t="shared" si="1"/>
        <v xml:space="preserve"> "Hold Own"</v>
      </c>
      <c r="I61" s="406"/>
      <c r="J61" s="408"/>
      <c r="K61" s="407"/>
      <c r="L61" s="75">
        <f>VLOOKUP(I61,Справочник!$A$2:$F$415,5,FALSE)</f>
        <v>0</v>
      </c>
      <c r="M61" s="75">
        <f>VLOOKUP(I61,Справочник!$A$2:$F$415,6,FALSE)</f>
        <v>0</v>
      </c>
    </row>
    <row r="62" spans="1:13">
      <c r="A62" s="278" t="str">
        <f t="shared" si="0"/>
        <v xml:space="preserve"> "Hold Own"</v>
      </c>
      <c r="B62" s="406"/>
      <c r="C62" s="408"/>
      <c r="D62" s="407"/>
      <c r="E62" s="75">
        <f>VLOOKUP(B62,Справочник!$A$2:$F$415,5,FALSE)</f>
        <v>0</v>
      </c>
      <c r="F62" s="75">
        <f>VLOOKUP(B62,Справочник!$A$2:$F$415,6,FALSE)</f>
        <v>0</v>
      </c>
      <c r="H62" s="278" t="str">
        <f t="shared" si="1"/>
        <v xml:space="preserve"> "Hold Own"</v>
      </c>
      <c r="I62" s="406"/>
      <c r="J62" s="408"/>
      <c r="K62" s="407"/>
      <c r="L62" s="75">
        <f>VLOOKUP(I62,Справочник!$A$2:$F$415,5,FALSE)</f>
        <v>0</v>
      </c>
      <c r="M62" s="75">
        <f>VLOOKUP(I62,Справочник!$A$2:$F$415,6,FALSE)</f>
        <v>0</v>
      </c>
    </row>
    <row r="63" spans="1:13">
      <c r="A63" s="278" t="str">
        <f t="shared" si="0"/>
        <v xml:space="preserve"> "Hold Own"</v>
      </c>
      <c r="B63" s="403"/>
      <c r="C63" s="404"/>
      <c r="D63" s="404"/>
      <c r="E63" s="75"/>
      <c r="F63" s="75"/>
      <c r="H63" s="278" t="str">
        <f t="shared" si="1"/>
        <v xml:space="preserve"> "Hold Own"</v>
      </c>
      <c r="I63" s="403"/>
      <c r="J63" s="404"/>
      <c r="K63" s="404"/>
      <c r="L63" s="75">
        <f>VLOOKUP(I63,Справочник!$A$2:$F$415,5,FALSE)</f>
        <v>0</v>
      </c>
      <c r="M63" s="75">
        <f>VLOOKUP(I63,Справочник!$A$2:$F$415,6,FALSE)</f>
        <v>0</v>
      </c>
    </row>
    <row r="64" spans="1:13">
      <c r="A64" s="278" t="str">
        <f t="shared" si="0"/>
        <v xml:space="preserve"> "Hold Own"</v>
      </c>
      <c r="B64" s="403"/>
      <c r="C64" s="404"/>
      <c r="D64" s="405"/>
      <c r="E64" s="75"/>
      <c r="F64" s="75"/>
      <c r="H64" s="278" t="str">
        <f t="shared" si="1"/>
        <v xml:space="preserve"> "Hold Own"</v>
      </c>
      <c r="I64" s="403"/>
      <c r="J64" s="404"/>
      <c r="K64" s="405"/>
      <c r="L64" s="75">
        <f>VLOOKUP(I64,Справочник!$A$2:$F$415,5,FALSE)</f>
        <v>0</v>
      </c>
      <c r="M64" s="75">
        <f>VLOOKUP(I64,Справочник!$A$2:$F$415,6,FALSE)</f>
        <v>0</v>
      </c>
    </row>
    <row r="65" spans="1:13">
      <c r="A65" s="278" t="str">
        <f t="shared" si="0"/>
        <v xml:space="preserve"> "Hold Own"</v>
      </c>
      <c r="B65" s="381"/>
      <c r="C65" s="382"/>
      <c r="D65" s="382"/>
      <c r="E65" s="75">
        <f>VLOOKUP(B65,Справочник!$A$2:$F$415,5,FALSE)</f>
        <v>0</v>
      </c>
      <c r="F65" s="75">
        <f>VLOOKUP(B65,Справочник!$A$2:$F$415,6,FALSE)</f>
        <v>0</v>
      </c>
      <c r="H65" s="278" t="str">
        <f t="shared" si="1"/>
        <v xml:space="preserve"> "Hold Own"</v>
      </c>
      <c r="I65" s="381"/>
      <c r="J65" s="382"/>
      <c r="K65" s="383"/>
      <c r="L65" s="75">
        <f>VLOOKUP(I65,Справочник!$A$2:$F$415,5,FALSE)</f>
        <v>0</v>
      </c>
      <c r="M65" s="75">
        <f>VLOOKUP(I65,Справочник!$A$2:$F$415,6,FALSE)</f>
        <v>0</v>
      </c>
    </row>
    <row r="66" spans="1:13">
      <c r="A66" s="278" t="str">
        <f t="shared" si="0"/>
        <v xml:space="preserve"> "Hold Own"</v>
      </c>
      <c r="B66" s="381"/>
      <c r="C66" s="382"/>
      <c r="D66" s="383"/>
      <c r="E66" s="75">
        <f>VLOOKUP(B66,Справочник!$A$2:$F$415,5,FALSE)</f>
        <v>0</v>
      </c>
      <c r="F66" s="75">
        <f>VLOOKUP(B66,Справочник!$A$2:$F$415,6,FALSE)</f>
        <v>0</v>
      </c>
      <c r="H66" s="278" t="str">
        <f t="shared" si="1"/>
        <v xml:space="preserve"> "Hold Own"</v>
      </c>
      <c r="I66" s="381"/>
      <c r="J66" s="382"/>
      <c r="K66" s="383"/>
      <c r="L66" s="75">
        <f>VLOOKUP(I66,Справочник!$A$2:$F$415,5,FALSE)</f>
        <v>0</v>
      </c>
      <c r="M66" s="75">
        <f>VLOOKUP(I66,Справочник!$A$2:$F$415,6,FALSE)</f>
        <v>0</v>
      </c>
    </row>
    <row r="67" spans="1:13">
      <c r="A67" s="278" t="str">
        <f t="shared" si="0"/>
        <v xml:space="preserve"> "Hold Own"</v>
      </c>
      <c r="B67" s="381"/>
      <c r="C67" s="382"/>
      <c r="D67" s="383"/>
      <c r="E67" s="75">
        <f>VLOOKUP(B67,Справочник!$A$2:$F$415,5,FALSE)</f>
        <v>0</v>
      </c>
      <c r="F67" s="75">
        <f>VLOOKUP(B67,Справочник!$A$2:$F$415,6,FALSE)</f>
        <v>0</v>
      </c>
      <c r="H67" s="278" t="str">
        <f t="shared" si="1"/>
        <v xml:space="preserve"> "Hold Own"</v>
      </c>
      <c r="I67" s="381"/>
      <c r="J67" s="384"/>
      <c r="K67" s="383"/>
      <c r="L67" s="75">
        <f>VLOOKUP(I67,Справочник!$A$2:$F$415,5,FALSE)</f>
        <v>0</v>
      </c>
      <c r="M67" s="75">
        <f>VLOOKUP(I67,Справочник!$A$2:$F$415,6,FALSE)</f>
        <v>0</v>
      </c>
    </row>
    <row r="68" spans="1:13">
      <c r="A68" s="278" t="str">
        <f t="shared" si="0"/>
        <v xml:space="preserve"> "Hold Own"</v>
      </c>
      <c r="B68" s="381"/>
      <c r="C68" s="382"/>
      <c r="D68" s="383"/>
      <c r="E68" s="75">
        <f>VLOOKUP(B68,Справочник!$A$2:$F$415,5,FALSE)</f>
        <v>0</v>
      </c>
      <c r="F68" s="75">
        <f>VLOOKUP(B68,Справочник!$A$2:$F$415,6,FALSE)</f>
        <v>0</v>
      </c>
      <c r="H68" s="278" t="str">
        <f t="shared" si="1"/>
        <v xml:space="preserve"> "Hold Own"</v>
      </c>
      <c r="I68" s="381"/>
      <c r="J68" s="383"/>
      <c r="K68" s="382"/>
      <c r="L68" s="75">
        <f>VLOOKUP(I68,Справочник!$A$2:$F$415,5,FALSE)</f>
        <v>0</v>
      </c>
      <c r="M68" s="75">
        <f>VLOOKUP(I68,Справочник!$A$2:$F$415,6,FALSE)</f>
        <v>0</v>
      </c>
    </row>
    <row r="69" spans="1:13">
      <c r="A69" s="278" t="str">
        <f t="shared" si="0"/>
        <v xml:space="preserve"> "Hold Own"</v>
      </c>
      <c r="B69" s="381"/>
      <c r="C69" s="382"/>
      <c r="D69" s="383"/>
      <c r="E69" s="75">
        <f>VLOOKUP(B69,Справочник!$A$2:$F$415,5,FALSE)</f>
        <v>0</v>
      </c>
      <c r="F69" s="75">
        <f>VLOOKUP(B69,Справочник!$A$2:$F$415,6,FALSE)</f>
        <v>0</v>
      </c>
      <c r="H69" s="278" t="str">
        <f t="shared" si="1"/>
        <v xml:space="preserve"> "Hold Own"</v>
      </c>
      <c r="I69" s="381"/>
      <c r="J69" s="383"/>
      <c r="K69" s="382"/>
      <c r="L69" s="75">
        <f>VLOOKUP(I69,Справочник!$A$2:$F$415,5,FALSE)</f>
        <v>0</v>
      </c>
      <c r="M69" s="75">
        <f>VLOOKUP(I69,Справочник!$A$2:$F$415,6,FALSE)</f>
        <v>0</v>
      </c>
    </row>
    <row r="70" spans="1:13">
      <c r="A70" s="278" t="str">
        <f t="shared" si="0"/>
        <v xml:space="preserve"> "Hold Own"</v>
      </c>
      <c r="B70" s="381"/>
      <c r="C70" s="382"/>
      <c r="D70" s="384"/>
      <c r="E70" s="75">
        <f>VLOOKUP(B70,Справочник!$A$2:$F$415,5,FALSE)</f>
        <v>0</v>
      </c>
      <c r="F70" s="75">
        <f>VLOOKUP(B70,Справочник!$A$2:$F$415,6,FALSE)</f>
        <v>0</v>
      </c>
      <c r="H70" s="278" t="str">
        <f t="shared" si="1"/>
        <v xml:space="preserve"> "Hold Own"</v>
      </c>
      <c r="I70" s="381"/>
      <c r="J70" s="383"/>
      <c r="K70" s="382"/>
      <c r="L70" s="75">
        <f>VLOOKUP(I70,Справочник!$A$2:$F$415,5,FALSE)</f>
        <v>0</v>
      </c>
      <c r="M70" s="75">
        <f>VLOOKUP(I70,Справочник!$A$2:$F$415,6,FALSE)</f>
        <v>0</v>
      </c>
    </row>
    <row r="71" spans="1:13">
      <c r="A71" s="278" t="str">
        <f t="shared" si="0"/>
        <v xml:space="preserve"> "Hold Own"</v>
      </c>
      <c r="B71" s="381"/>
      <c r="C71" s="382"/>
      <c r="D71" s="384"/>
      <c r="E71" s="75">
        <f>VLOOKUP(B71,Справочник!$A$2:$F$415,5,FALSE)</f>
        <v>0</v>
      </c>
      <c r="F71" s="75">
        <f>VLOOKUP(B71,Справочник!$A$2:$F$415,6,FALSE)</f>
        <v>0</v>
      </c>
      <c r="H71" s="278" t="str">
        <f t="shared" si="1"/>
        <v xml:space="preserve"> "Hold Own"</v>
      </c>
      <c r="I71" s="381"/>
      <c r="J71" s="383"/>
      <c r="K71" s="382"/>
      <c r="L71" s="75">
        <f>VLOOKUP(I71,Справочник!$A$2:$F$415,5,FALSE)</f>
        <v>0</v>
      </c>
      <c r="M71" s="75">
        <f>VLOOKUP(I71,Справочник!$A$2:$F$415,6,FALSE)</f>
        <v>0</v>
      </c>
    </row>
    <row r="72" spans="1:13">
      <c r="A72" s="278" t="str">
        <f t="shared" si="0"/>
        <v xml:space="preserve"> "Hold Own"</v>
      </c>
      <c r="B72" s="381"/>
      <c r="C72" s="382"/>
      <c r="D72" s="383"/>
      <c r="E72" s="75">
        <f>VLOOKUP(B72,Справочник!$A$2:$F$415,5,FALSE)</f>
        <v>0</v>
      </c>
      <c r="F72" s="75">
        <f>VLOOKUP(B72,Справочник!$A$2:$F$415,6,FALSE)</f>
        <v>0</v>
      </c>
      <c r="H72" s="278" t="str">
        <f t="shared" si="1"/>
        <v xml:space="preserve"> "Hold Own"</v>
      </c>
      <c r="I72" s="381"/>
      <c r="J72" s="383"/>
      <c r="K72" s="382"/>
      <c r="L72" s="75">
        <f>VLOOKUP(I72,Справочник!$A$2:$F$415,5,FALSE)</f>
        <v>0</v>
      </c>
      <c r="M72" s="75">
        <f>VLOOKUP(I72,Справочник!$A$2:$F$415,6,FALSE)</f>
        <v>0</v>
      </c>
    </row>
    <row r="73" spans="1:13">
      <c r="A73" s="278" t="str">
        <f t="shared" si="0"/>
        <v xml:space="preserve"> "Hold Own"</v>
      </c>
      <c r="B73" s="381"/>
      <c r="C73" s="383"/>
      <c r="D73" s="382"/>
      <c r="E73" s="75">
        <f>VLOOKUP(B73,Справочник!$A$2:$F$415,5,FALSE)</f>
        <v>0</v>
      </c>
      <c r="F73" s="75">
        <f>VLOOKUP(B73,Справочник!$A$2:$F$415,6,FALSE)</f>
        <v>0</v>
      </c>
      <c r="H73" s="278" t="str">
        <f t="shared" si="1"/>
        <v xml:space="preserve"> "Hold Own"</v>
      </c>
      <c r="I73" s="279"/>
      <c r="J73" s="280"/>
      <c r="K73" s="239"/>
      <c r="L73" s="75">
        <f>VLOOKUP(I73,Справочник!$A$2:$F$415,5,FALSE)</f>
        <v>0</v>
      </c>
      <c r="M73" s="75">
        <f>VLOOKUP(I73,Справочник!$A$2:$F$415,6,FALSE)</f>
        <v>0</v>
      </c>
    </row>
    <row r="74" spans="1:13">
      <c r="A74" s="278" t="str">
        <f t="shared" si="0"/>
        <v xml:space="preserve"> "Hold Own"</v>
      </c>
      <c r="B74" s="381"/>
      <c r="C74" s="383"/>
      <c r="D74" s="382"/>
      <c r="E74" s="75">
        <f>VLOOKUP(B74,Справочник!$A$2:$F$415,5,FALSE)</f>
        <v>0</v>
      </c>
      <c r="F74" s="75">
        <f>VLOOKUP(B74,Справочник!$A$2:$F$415,6,FALSE)</f>
        <v>0</v>
      </c>
      <c r="H74" s="278" t="str">
        <f t="shared" si="1"/>
        <v xml:space="preserve"> "Hold Own"</v>
      </c>
      <c r="I74" s="279"/>
      <c r="J74" s="238"/>
      <c r="K74" s="239"/>
      <c r="L74" s="75">
        <f>VLOOKUP(I74,Справочник!$A$2:$F$415,5,FALSE)</f>
        <v>0</v>
      </c>
      <c r="M74" s="75">
        <f>VLOOKUP(I74,Справочник!$A$2:$F$415,6,FALSE)</f>
        <v>0</v>
      </c>
    </row>
    <row r="75" spans="1:13">
      <c r="A75" s="278" t="str">
        <f t="shared" si="0"/>
        <v xml:space="preserve"> "Hold Own"</v>
      </c>
      <c r="B75" s="381"/>
      <c r="C75" s="383"/>
      <c r="D75" s="382"/>
      <c r="E75" s="75">
        <f>VLOOKUP(B75,Справочник!$A$2:$F$415,5,FALSE)</f>
        <v>0</v>
      </c>
      <c r="F75" s="75">
        <f>VLOOKUP(B75,Справочник!$A$2:$F$415,6,FALSE)</f>
        <v>0</v>
      </c>
      <c r="H75" s="278" t="str">
        <f t="shared" si="1"/>
        <v xml:space="preserve"> "Hold Own"</v>
      </c>
      <c r="I75" s="279"/>
      <c r="J75" s="238"/>
      <c r="K75" s="281"/>
      <c r="L75" s="75">
        <f>VLOOKUP(I75,Справочник!$A$2:$F$415,5,FALSE)</f>
        <v>0</v>
      </c>
      <c r="M75" s="75">
        <f>VLOOKUP(I75,Справочник!$A$2:$F$415,6,FALSE)</f>
        <v>0</v>
      </c>
    </row>
    <row r="76" spans="1:13">
      <c r="A76" s="278" t="str">
        <f t="shared" si="0"/>
        <v xml:space="preserve"> "Hold Own"</v>
      </c>
      <c r="B76" s="381"/>
      <c r="C76" s="383"/>
      <c r="D76" s="382"/>
      <c r="E76" s="75">
        <f>VLOOKUP(B76,Справочник!$A$2:$F$415,5,FALSE)</f>
        <v>0</v>
      </c>
      <c r="F76" s="75">
        <f>VLOOKUP(B76,Справочник!$A$2:$F$415,6,FALSE)</f>
        <v>0</v>
      </c>
      <c r="H76" s="278" t="str">
        <f t="shared" si="1"/>
        <v xml:space="preserve"> "Hold Own"</v>
      </c>
      <c r="I76" s="279"/>
      <c r="J76" s="280"/>
      <c r="K76" s="239"/>
      <c r="L76" s="75">
        <f>VLOOKUP(I76,Справочник!$A$2:$F$415,5,FALSE)</f>
        <v>0</v>
      </c>
      <c r="M76" s="75">
        <f>VLOOKUP(I76,Справочник!$A$2:$F$415,6,FALSE)</f>
        <v>0</v>
      </c>
    </row>
    <row r="77" spans="1:13" ht="15.75" thickBot="1">
      <c r="A77" s="278" t="str">
        <f t="shared" si="0"/>
        <v xml:space="preserve"> "Hold Own"</v>
      </c>
      <c r="B77" s="381"/>
      <c r="C77" s="383"/>
      <c r="D77" s="382"/>
      <c r="E77" s="75">
        <f>VLOOKUP(B77,Справочник!$A$2:$F$415,5,FALSE)</f>
        <v>0</v>
      </c>
      <c r="F77" s="75">
        <f>VLOOKUP(B77,Справочник!$A$2:$F$415,6,FALSE)</f>
        <v>0</v>
      </c>
      <c r="H77" s="278" t="str">
        <f t="shared" si="1"/>
        <v xml:space="preserve"> "Hold Own"</v>
      </c>
      <c r="I77" s="279"/>
      <c r="J77" s="280"/>
      <c r="K77" s="239"/>
      <c r="L77" s="75">
        <f>VLOOKUP(I77,Справочник!$A$2:$F$415,5,FALSE)</f>
        <v>0</v>
      </c>
      <c r="M77" s="75">
        <f>VLOOKUP(I77,Справочник!$A$2:$F$415,6,FALSE)</f>
        <v>0</v>
      </c>
    </row>
    <row r="78" spans="1:13">
      <c r="A78" s="282" t="s">
        <v>696</v>
      </c>
      <c r="B78" s="283"/>
      <c r="C78" s="385"/>
      <c r="D78" s="385"/>
      <c r="E78" s="75"/>
      <c r="F78" s="75"/>
      <c r="H78" s="282" t="s">
        <v>696</v>
      </c>
      <c r="I78" s="283"/>
      <c r="J78" s="385"/>
      <c r="K78" s="385"/>
      <c r="L78" s="75"/>
      <c r="M78" s="75"/>
    </row>
    <row r="79" spans="1:13" ht="15.75" thickBot="1">
      <c r="A79" s="284"/>
      <c r="B79" s="285"/>
      <c r="C79" s="385"/>
      <c r="D79" s="386"/>
      <c r="H79" s="284"/>
      <c r="I79" s="285"/>
      <c r="J79" s="385"/>
      <c r="K79" s="386"/>
      <c r="L79" s="75"/>
      <c r="M79" s="75"/>
    </row>
    <row r="80" spans="1:13">
      <c r="C80" s="350">
        <f>SUBTOTAL(9,C16:C77)</f>
        <v>52088555.369999997</v>
      </c>
      <c r="D80" s="350">
        <f>SUBTOTAL(9,D16:D77)</f>
        <v>41577165.68</v>
      </c>
      <c r="J80" s="350">
        <f>SUBTOTAL(9,J17:J72)</f>
        <v>257395789.28</v>
      </c>
      <c r="K80" s="326">
        <f>SUBTOTAL(9,K17:K72)</f>
        <v>219165642.02999997</v>
      </c>
    </row>
    <row r="81" spans="3:10">
      <c r="C81" s="387">
        <f>C80+C8-D80</f>
        <v>10598958.619999997</v>
      </c>
      <c r="D81" s="350"/>
      <c r="J81" s="387">
        <f>J80+J8-K80</f>
        <v>38248340.740000039</v>
      </c>
    </row>
    <row r="349" spans="12:13">
      <c r="L349" s="317"/>
      <c r="M349" s="317"/>
    </row>
    <row r="350" spans="12:13">
      <c r="L350" s="317"/>
      <c r="M350" s="317"/>
    </row>
    <row r="351" spans="12:13">
      <c r="L351" s="317"/>
      <c r="M351" s="317"/>
    </row>
    <row r="352" spans="12:13">
      <c r="L352" s="317"/>
      <c r="M352" s="317"/>
    </row>
    <row r="353" spans="12:13">
      <c r="L353" s="317"/>
      <c r="M353" s="317"/>
    </row>
    <row r="354" spans="12:13">
      <c r="L354" s="317"/>
      <c r="M354" s="317"/>
    </row>
    <row r="742" spans="1:13" s="317" customFormat="1">
      <c r="A742"/>
      <c r="B742"/>
      <c r="C742"/>
      <c r="D742"/>
      <c r="E742"/>
      <c r="F742"/>
      <c r="H742" s="326"/>
      <c r="I742" s="326"/>
      <c r="J742" s="326"/>
      <c r="K742" s="326"/>
      <c r="L742"/>
      <c r="M742"/>
    </row>
    <row r="743" spans="1:13" s="317" customFormat="1">
      <c r="A743"/>
      <c r="B743"/>
      <c r="C743"/>
      <c r="D743"/>
      <c r="E743"/>
      <c r="F743"/>
      <c r="H743" s="326"/>
      <c r="I743" s="326"/>
      <c r="J743" s="326"/>
      <c r="K743" s="326"/>
      <c r="L743"/>
      <c r="M743"/>
    </row>
    <row r="744" spans="1:13" s="317" customFormat="1">
      <c r="A744"/>
      <c r="B744"/>
      <c r="C744"/>
      <c r="D744"/>
      <c r="E744"/>
      <c r="F744"/>
      <c r="H744" s="326"/>
      <c r="I744" s="326"/>
      <c r="J744" s="326"/>
      <c r="K744" s="326"/>
      <c r="L744"/>
      <c r="M744"/>
    </row>
    <row r="745" spans="1:13" s="317" customFormat="1">
      <c r="A745"/>
      <c r="B745"/>
      <c r="C745"/>
      <c r="D745"/>
      <c r="E745"/>
      <c r="F745"/>
      <c r="H745" s="326"/>
      <c r="I745" s="326"/>
      <c r="J745" s="326"/>
      <c r="K745" s="326"/>
      <c r="L745"/>
      <c r="M745"/>
    </row>
    <row r="746" spans="1:13" s="317" customFormat="1">
      <c r="A746"/>
      <c r="B746"/>
      <c r="C746"/>
      <c r="D746"/>
      <c r="E746"/>
      <c r="F746"/>
      <c r="H746" s="326"/>
      <c r="I746" s="326"/>
      <c r="J746" s="326"/>
      <c r="K746" s="326"/>
      <c r="L746"/>
      <c r="M746"/>
    </row>
    <row r="747" spans="1:13" s="317" customFormat="1">
      <c r="A747"/>
      <c r="B747"/>
      <c r="C747"/>
      <c r="D747"/>
      <c r="E747"/>
      <c r="F747"/>
      <c r="H747" s="326"/>
      <c r="I747" s="326"/>
      <c r="J747" s="326"/>
      <c r="K747" s="326"/>
      <c r="L747"/>
      <c r="M747"/>
    </row>
  </sheetData>
  <autoFilter ref="A7:M736"/>
  <mergeCells count="4">
    <mergeCell ref="H3:J3"/>
    <mergeCell ref="H4:J4"/>
    <mergeCell ref="A3:C3"/>
    <mergeCell ref="A4:C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84"/>
  <sheetViews>
    <sheetView topLeftCell="A37" workbookViewId="0">
      <selection activeCell="F46" sqref="F46"/>
    </sheetView>
  </sheetViews>
  <sheetFormatPr defaultRowHeight="15"/>
  <cols>
    <col min="1" max="1" width="38.28515625" style="467" bestFit="1" customWidth="1"/>
    <col min="2" max="2" width="8.7109375" style="467" bestFit="1" customWidth="1"/>
    <col min="3" max="4" width="14.85546875" style="467" bestFit="1" customWidth="1"/>
    <col min="5" max="5" width="14.28515625" style="467" customWidth="1"/>
    <col min="6" max="6" width="18.28515625" style="467" customWidth="1"/>
    <col min="7" max="7" width="9.140625" style="467"/>
    <col min="8" max="8" width="38.28515625" style="467" bestFit="1" customWidth="1"/>
    <col min="9" max="9" width="8.7109375" style="467" bestFit="1" customWidth="1"/>
    <col min="10" max="11" width="14.85546875" style="467" bestFit="1" customWidth="1"/>
    <col min="12" max="12" width="43.140625" style="467" bestFit="1" customWidth="1"/>
    <col min="13" max="16384" width="9.140625" style="467"/>
  </cols>
  <sheetData>
    <row r="1" spans="1:13" ht="15.75">
      <c r="A1" s="397" t="s">
        <v>750</v>
      </c>
      <c r="B1" s="269"/>
      <c r="C1" s="269"/>
      <c r="D1" s="269"/>
      <c r="H1" s="268" t="s">
        <v>677</v>
      </c>
      <c r="I1" s="269"/>
      <c r="J1" s="269"/>
      <c r="K1" s="269"/>
    </row>
    <row r="2" spans="1:13">
      <c r="A2" s="270"/>
      <c r="B2" s="269"/>
      <c r="C2" s="269"/>
      <c r="D2" s="269"/>
      <c r="H2" s="270" t="s">
        <v>734</v>
      </c>
      <c r="I2" s="269"/>
      <c r="J2" s="269"/>
      <c r="K2" s="269"/>
    </row>
    <row r="3" spans="1:13">
      <c r="A3" s="683" t="s">
        <v>678</v>
      </c>
      <c r="B3" s="683"/>
      <c r="C3" s="683"/>
      <c r="D3" s="269"/>
      <c r="H3" s="683" t="s">
        <v>678</v>
      </c>
      <c r="I3" s="683"/>
      <c r="J3" s="683"/>
      <c r="K3" s="269"/>
    </row>
    <row r="4" spans="1:13">
      <c r="A4" s="683" t="s">
        <v>359</v>
      </c>
      <c r="B4" s="683"/>
      <c r="C4" s="683"/>
      <c r="D4" s="269"/>
      <c r="H4" s="683" t="s">
        <v>359</v>
      </c>
      <c r="I4" s="683"/>
      <c r="J4" s="683"/>
      <c r="K4" s="269"/>
    </row>
    <row r="5" spans="1:13" ht="15.75" thickBot="1">
      <c r="A5" s="269"/>
      <c r="B5" s="269"/>
      <c r="C5" s="269"/>
      <c r="D5" s="269"/>
      <c r="H5" s="269"/>
      <c r="I5" s="269"/>
      <c r="J5" s="269"/>
      <c r="K5" s="269"/>
    </row>
    <row r="6" spans="1:13">
      <c r="A6" s="271" t="s">
        <v>695</v>
      </c>
      <c r="B6" s="272" t="s">
        <v>606</v>
      </c>
      <c r="C6" s="272" t="s">
        <v>650</v>
      </c>
      <c r="D6" s="273" t="s">
        <v>651</v>
      </c>
      <c r="H6" s="271" t="s">
        <v>695</v>
      </c>
      <c r="I6" s="272" t="s">
        <v>606</v>
      </c>
      <c r="J6" s="272" t="s">
        <v>650</v>
      </c>
      <c r="K6" s="273" t="s">
        <v>651</v>
      </c>
    </row>
    <row r="7" spans="1:13" ht="15.75" thickBot="1">
      <c r="A7" s="274"/>
      <c r="B7" s="275"/>
      <c r="C7" s="275"/>
      <c r="D7" s="276"/>
      <c r="H7" s="274"/>
      <c r="I7" s="275"/>
      <c r="J7" s="275"/>
      <c r="K7" s="276"/>
    </row>
    <row r="8" spans="1:13" ht="24">
      <c r="A8" s="316" t="s">
        <v>741</v>
      </c>
      <c r="B8" s="277" t="s">
        <v>607</v>
      </c>
      <c r="C8" s="490">
        <v>715406782.14999998</v>
      </c>
      <c r="D8" s="405"/>
      <c r="H8" s="316" t="s">
        <v>741</v>
      </c>
      <c r="I8" s="277" t="s">
        <v>607</v>
      </c>
      <c r="J8" s="490">
        <v>826667884.44000006</v>
      </c>
      <c r="K8" s="405"/>
    </row>
    <row r="9" spans="1:13" ht="15" customHeight="1">
      <c r="A9" s="278" t="str">
        <f>A8</f>
        <v>"Penson Group"</v>
      </c>
      <c r="B9" s="488">
        <v>1000</v>
      </c>
      <c r="C9" s="443">
        <v>1848450043.3199999</v>
      </c>
      <c r="D9" s="443">
        <v>1848450043.3199999</v>
      </c>
      <c r="E9" s="75">
        <f>VLOOKUP(B9,Справочник!$A$2:$F$415,5,FALSE)</f>
        <v>0</v>
      </c>
      <c r="F9" s="75">
        <f>VLOOKUP(B9,Справочник!$A$2:$F$415,6,FALSE)</f>
        <v>0</v>
      </c>
      <c r="H9" s="278" t="str">
        <f>H8</f>
        <v>"Penson Group"</v>
      </c>
      <c r="I9" s="488">
        <v>1000</v>
      </c>
      <c r="J9" s="443">
        <v>3632526294.0600004</v>
      </c>
      <c r="K9" s="443">
        <v>3632526294.0600004</v>
      </c>
      <c r="L9" s="75">
        <f>VLOOKUP(I9,Справочник!$A$2:$F$415,5,FALSE)</f>
        <v>0</v>
      </c>
      <c r="M9" s="75">
        <f>VLOOKUP(I9,Справочник!$A$2:$F$415,6,FALSE)</f>
        <v>0</v>
      </c>
    </row>
    <row r="10" spans="1:13" ht="15" customHeight="1">
      <c r="A10" s="278" t="str">
        <f t="shared" ref="A10:A73" si="0">A9</f>
        <v>"Penson Group"</v>
      </c>
      <c r="B10" s="488">
        <v>1010</v>
      </c>
      <c r="C10" s="443">
        <v>85000000</v>
      </c>
      <c r="D10" s="443">
        <v>196326500</v>
      </c>
      <c r="E10" s="75">
        <f>VLOOKUP(B10,Справочник!$A$2:$F$415,5,FALSE)</f>
        <v>0</v>
      </c>
      <c r="F10" s="75">
        <f>VLOOKUP(B10,Справочник!$A$2:$F$415,6,FALSE)</f>
        <v>0</v>
      </c>
      <c r="H10" s="278" t="str">
        <f t="shared" ref="H10:H73" si="1">H9</f>
        <v>"Penson Group"</v>
      </c>
      <c r="I10" s="488">
        <v>1010</v>
      </c>
      <c r="J10" s="443">
        <v>376505000</v>
      </c>
      <c r="K10" s="443">
        <v>560054310</v>
      </c>
      <c r="L10" s="75">
        <f>VLOOKUP(I10,Справочник!$A$2:$F$415,5,FALSE)</f>
        <v>0</v>
      </c>
      <c r="M10" s="75">
        <f>VLOOKUP(I10,Справочник!$A$2:$F$415,6,FALSE)</f>
        <v>0</v>
      </c>
    </row>
    <row r="11" spans="1:13" ht="15" customHeight="1">
      <c r="A11" s="278" t="str">
        <f t="shared" si="0"/>
        <v>"Penson Group"</v>
      </c>
      <c r="B11" s="488">
        <v>1020</v>
      </c>
      <c r="C11" s="443">
        <v>918045019.48000002</v>
      </c>
      <c r="D11" s="443">
        <v>371792980.48000002</v>
      </c>
      <c r="E11" s="75">
        <f>VLOOKUP(B11,Справочник!$A$2:$F$415,5,FALSE)</f>
        <v>0</v>
      </c>
      <c r="F11" s="75">
        <f>VLOOKUP(B11,Справочник!$A$2:$F$415,6,FALSE)</f>
        <v>0</v>
      </c>
      <c r="H11" s="278" t="str">
        <f t="shared" si="1"/>
        <v>"Penson Group"</v>
      </c>
      <c r="I11" s="488">
        <v>1020</v>
      </c>
      <c r="J11" s="443">
        <v>1857184377.6600001</v>
      </c>
      <c r="K11" s="443">
        <v>917325291.41999996</v>
      </c>
      <c r="L11" s="75">
        <f>VLOOKUP(I11,Справочник!$A$2:$F$415,5,FALSE)</f>
        <v>0</v>
      </c>
      <c r="M11" s="75">
        <f>VLOOKUP(I11,Справочник!$A$2:$F$415,6,FALSE)</f>
        <v>0</v>
      </c>
    </row>
    <row r="12" spans="1:13" ht="15" customHeight="1">
      <c r="A12" s="278" t="str">
        <f t="shared" si="0"/>
        <v>"Penson Group"</v>
      </c>
      <c r="B12" s="488">
        <v>1021</v>
      </c>
      <c r="C12" s="443">
        <v>878091933.84000003</v>
      </c>
      <c r="D12" s="443">
        <v>331605386.5</v>
      </c>
      <c r="E12" s="75">
        <f>VLOOKUP(B12,Справочник!$A$2:$F$415,5,FALSE)</f>
        <v>0</v>
      </c>
      <c r="F12" s="75">
        <f>VLOOKUP(B12,Справочник!$A$2:$F$415,6,FALSE)</f>
        <v>0</v>
      </c>
      <c r="H12" s="278" t="str">
        <f t="shared" si="1"/>
        <v>"Penson Group"</v>
      </c>
      <c r="I12" s="488">
        <v>1021</v>
      </c>
      <c r="J12" s="443">
        <v>1834003160.76</v>
      </c>
      <c r="K12" s="443">
        <v>894025950.22000003</v>
      </c>
      <c r="L12" s="75">
        <f>VLOOKUP(I12,Справочник!$A$2:$F$415,5,FALSE)</f>
        <v>0</v>
      </c>
      <c r="M12" s="75">
        <f>VLOOKUP(I12,Справочник!$A$2:$F$415,6,FALSE)</f>
        <v>0</v>
      </c>
    </row>
    <row r="13" spans="1:13" ht="15" customHeight="1">
      <c r="A13" s="278" t="str">
        <f t="shared" si="0"/>
        <v>"Penson Group"</v>
      </c>
      <c r="B13" s="488">
        <v>1022</v>
      </c>
      <c r="C13" s="443">
        <v>39953085.640000001</v>
      </c>
      <c r="D13" s="443">
        <v>40187593.979999997</v>
      </c>
      <c r="E13" s="75">
        <f>VLOOKUP(B13,Справочник!$A$2:$F$415,5,FALSE)</f>
        <v>0</v>
      </c>
      <c r="F13" s="75">
        <f>VLOOKUP(B13,Справочник!$A$2:$F$415,6,FALSE)</f>
        <v>0</v>
      </c>
      <c r="H13" s="278" t="str">
        <f t="shared" si="1"/>
        <v>"Penson Group"</v>
      </c>
      <c r="I13" s="488">
        <v>1022</v>
      </c>
      <c r="J13" s="443">
        <v>23181216.899999999</v>
      </c>
      <c r="K13" s="443">
        <v>23299341.199999999</v>
      </c>
      <c r="L13" s="75">
        <f>VLOOKUP(I13,Справочник!$A$2:$F$415,5,FALSE)</f>
        <v>0</v>
      </c>
      <c r="M13" s="75">
        <f>VLOOKUP(I13,Справочник!$A$2:$F$415,6,FALSE)</f>
        <v>0</v>
      </c>
    </row>
    <row r="14" spans="1:13" ht="15" customHeight="1">
      <c r="A14" s="278" t="str">
        <f t="shared" si="0"/>
        <v>"Penson Group"</v>
      </c>
      <c r="B14" s="488">
        <v>1030</v>
      </c>
      <c r="C14" s="443">
        <v>628724400.48000002</v>
      </c>
      <c r="D14" s="443">
        <v>1063858142.84</v>
      </c>
      <c r="E14" s="75">
        <f>VLOOKUP(B14,Справочник!$A$2:$F$415,5,FALSE)</f>
        <v>0</v>
      </c>
      <c r="F14" s="75">
        <f>VLOOKUP(B14,Справочник!$A$2:$F$415,6,FALSE)</f>
        <v>0</v>
      </c>
      <c r="H14" s="278" t="str">
        <f t="shared" si="1"/>
        <v>"Penson Group"</v>
      </c>
      <c r="I14" s="488">
        <v>1030</v>
      </c>
      <c r="J14" s="443">
        <v>1318356161.8199999</v>
      </c>
      <c r="K14" s="443">
        <v>2026026562.6400001</v>
      </c>
      <c r="L14" s="75">
        <f>VLOOKUP(I14,Справочник!$A$2:$F$415,5,FALSE)</f>
        <v>0</v>
      </c>
      <c r="M14" s="75">
        <f>VLOOKUP(I14,Справочник!$A$2:$F$415,6,FALSE)</f>
        <v>0</v>
      </c>
    </row>
    <row r="15" spans="1:13" ht="15" customHeight="1">
      <c r="A15" s="278" t="str">
        <f t="shared" si="0"/>
        <v>"Penson Group"</v>
      </c>
      <c r="B15" s="488">
        <v>1050</v>
      </c>
      <c r="C15" s="443">
        <v>216680623.36000001</v>
      </c>
      <c r="D15" s="443">
        <v>216472420</v>
      </c>
      <c r="E15" s="75">
        <f>VLOOKUP(B15,Справочник!$A$2:$F$415,5,FALSE)</f>
        <v>0</v>
      </c>
      <c r="F15" s="75">
        <f>VLOOKUP(B15,Справочник!$A$2:$F$415,6,FALSE)</f>
        <v>0</v>
      </c>
      <c r="H15" s="278" t="str">
        <f t="shared" si="1"/>
        <v>"Penson Group"</v>
      </c>
      <c r="I15" s="488">
        <v>1050</v>
      </c>
      <c r="J15" s="443">
        <v>80480754.579999998</v>
      </c>
      <c r="K15" s="443">
        <v>129120130</v>
      </c>
      <c r="L15" s="75">
        <f>VLOOKUP(I15,Справочник!$A$2:$F$415,5,FALSE)</f>
        <v>0</v>
      </c>
      <c r="M15" s="75">
        <f>VLOOKUP(I15,Справочник!$A$2:$F$415,6,FALSE)</f>
        <v>0</v>
      </c>
    </row>
    <row r="16" spans="1:13">
      <c r="A16" s="278" t="str">
        <f t="shared" si="0"/>
        <v>"Penson Group"</v>
      </c>
      <c r="B16" s="488">
        <v>1200</v>
      </c>
      <c r="C16" s="443">
        <v>1169282.3999999999</v>
      </c>
      <c r="D16" s="443">
        <v>27626908</v>
      </c>
      <c r="E16" s="75">
        <f>VLOOKUP(B16,Справочник!$A$2:$F$415,5,FALSE)</f>
        <v>0</v>
      </c>
      <c r="F16" s="75">
        <f>VLOOKUP(B16,Справочник!$A$2:$F$415,6,FALSE)</f>
        <v>0</v>
      </c>
      <c r="H16" s="278" t="str">
        <f t="shared" si="1"/>
        <v>"Penson Group"</v>
      </c>
      <c r="I16" s="488">
        <v>1200</v>
      </c>
      <c r="J16" s="443">
        <v>8504279</v>
      </c>
      <c r="K16" s="443">
        <v>86805539</v>
      </c>
      <c r="L16" s="75">
        <f>VLOOKUP(I16,Справочник!$A$2:$F$415,5,FALSE)</f>
        <v>0</v>
      </c>
      <c r="M16" s="75">
        <f>VLOOKUP(I16,Справочник!$A$2:$F$415,6,FALSE)</f>
        <v>0</v>
      </c>
    </row>
    <row r="17" spans="1:13">
      <c r="A17" s="278" t="str">
        <f t="shared" si="0"/>
        <v>"Penson Group"</v>
      </c>
      <c r="B17" s="488">
        <v>1210</v>
      </c>
      <c r="C17" s="443">
        <v>991015</v>
      </c>
      <c r="D17" s="443">
        <v>405983</v>
      </c>
      <c r="E17" s="75" t="str">
        <f>VLOOKUP(B17,Справочник!$A$2:$F$415,5,FALSE)</f>
        <v>реализация товаров и услуг</v>
      </c>
      <c r="F17" s="75" t="str">
        <f>VLOOKUP(B17,Справочник!$A$2:$F$415,6,FALSE)</f>
        <v>прочие выплаты</v>
      </c>
      <c r="H17" s="278" t="str">
        <f t="shared" si="1"/>
        <v>"Penson Group"</v>
      </c>
      <c r="I17" s="488">
        <v>1210</v>
      </c>
      <c r="J17" s="443">
        <v>3463571</v>
      </c>
      <c r="K17" s="443">
        <v>1960696</v>
      </c>
      <c r="L17" s="75" t="str">
        <f>VLOOKUP(I17,Справочник!$A$2:$F$415,5,FALSE)</f>
        <v>реализация товаров и услуг</v>
      </c>
      <c r="M17" s="75" t="str">
        <f>VLOOKUP(I17,Справочник!$A$2:$F$415,6,FALSE)</f>
        <v>прочие выплаты</v>
      </c>
    </row>
    <row r="18" spans="1:13" ht="15" customHeight="1">
      <c r="A18" s="278" t="str">
        <f t="shared" si="0"/>
        <v>"Penson Group"</v>
      </c>
      <c r="B18" s="488">
        <v>1250</v>
      </c>
      <c r="C18" s="444"/>
      <c r="D18" s="443">
        <v>27220925</v>
      </c>
      <c r="E18" s="75">
        <f>VLOOKUP(B18,Справочник!$A$2:$F$415,5,FALSE)</f>
        <v>0</v>
      </c>
      <c r="F18" s="75">
        <f>VLOOKUP(B18,Справочник!$A$2:$F$415,6,FALSE)</f>
        <v>0</v>
      </c>
      <c r="H18" s="278" t="str">
        <f t="shared" si="1"/>
        <v>"Penson Group"</v>
      </c>
      <c r="I18" s="488">
        <v>1230</v>
      </c>
      <c r="J18" s="443">
        <v>5000000</v>
      </c>
      <c r="K18" s="443">
        <v>59200000</v>
      </c>
      <c r="L18" s="75" t="str">
        <f>VLOOKUP(I18,Справочник!$A$2:$F$415,5,FALSE)</f>
        <v>прочая выручка</v>
      </c>
      <c r="M18" s="75" t="str">
        <f>VLOOKUP(I18,Справочник!$A$2:$F$415,6,FALSE)</f>
        <v>прочие выплаты</v>
      </c>
    </row>
    <row r="19" spans="1:13">
      <c r="A19" s="278" t="str">
        <f t="shared" si="0"/>
        <v>"Penson Group"</v>
      </c>
      <c r="B19" s="488">
        <v>1251</v>
      </c>
      <c r="C19" s="444"/>
      <c r="D19" s="443">
        <v>27220925</v>
      </c>
      <c r="E19" s="75" t="str">
        <f>VLOOKUP(B19,Справочник!$A$2:$F$415,5,FALSE)</f>
        <v>прочие поступления</v>
      </c>
      <c r="F19" s="75" t="str">
        <f>VLOOKUP(B19,Справочник!$A$2:$F$415,6,FALSE)</f>
        <v>прочие выплаты</v>
      </c>
      <c r="H19" s="278" t="str">
        <f t="shared" si="1"/>
        <v>"Penson Group"</v>
      </c>
      <c r="I19" s="488">
        <v>1250</v>
      </c>
      <c r="J19" s="456">
        <v>570</v>
      </c>
      <c r="K19" s="443">
        <v>25644843</v>
      </c>
      <c r="L19" s="75">
        <f>VLOOKUP(I19,Справочник!$A$2:$F$415,5,FALSE)</f>
        <v>0</v>
      </c>
      <c r="M19" s="75">
        <f>VLOOKUP(I19,Справочник!$A$2:$F$415,6,FALSE)</f>
        <v>0</v>
      </c>
    </row>
    <row r="20" spans="1:13">
      <c r="A20" s="278" t="str">
        <f t="shared" si="0"/>
        <v>"Penson Group"</v>
      </c>
      <c r="B20" s="488">
        <v>1270</v>
      </c>
      <c r="C20" s="443">
        <v>178267.4</v>
      </c>
      <c r="D20" s="444"/>
      <c r="E20" s="75" t="str">
        <f>VLOOKUP(B20,Справочник!$A$2:$F$415,5,FALSE)</f>
        <v>полученные вознаграждения</v>
      </c>
      <c r="F20" s="75" t="str">
        <f>VLOOKUP(B20,Справочник!$A$2:$F$415,6,FALSE)</f>
        <v>прочие выплаты</v>
      </c>
      <c r="H20" s="278" t="str">
        <f t="shared" si="1"/>
        <v>"Penson Group"</v>
      </c>
      <c r="I20" s="488">
        <v>1251</v>
      </c>
      <c r="J20" s="456">
        <v>570</v>
      </c>
      <c r="K20" s="443">
        <v>25644843</v>
      </c>
      <c r="L20" s="75" t="str">
        <f>VLOOKUP(I20,Справочник!$A$2:$F$415,5,FALSE)</f>
        <v>прочие поступления</v>
      </c>
      <c r="M20" s="75" t="str">
        <f>VLOOKUP(I20,Справочник!$A$2:$F$415,6,FALSE)</f>
        <v>прочие выплаты</v>
      </c>
    </row>
    <row r="21" spans="1:13">
      <c r="A21" s="278" t="str">
        <f t="shared" si="0"/>
        <v>"Penson Group"</v>
      </c>
      <c r="B21" s="488">
        <v>1600</v>
      </c>
      <c r="C21" s="443">
        <v>10956284.75</v>
      </c>
      <c r="D21" s="443">
        <v>184924377.78999999</v>
      </c>
      <c r="E21" s="75">
        <f>VLOOKUP(B21,Справочник!$A$2:$F$415,5,FALSE)</f>
        <v>0</v>
      </c>
      <c r="F21" s="75">
        <f>VLOOKUP(B21,Справочник!$A$2:$F$415,6,FALSE)</f>
        <v>0</v>
      </c>
      <c r="H21" s="278" t="str">
        <f t="shared" si="1"/>
        <v>"Penson Group"</v>
      </c>
      <c r="I21" s="488">
        <v>1270</v>
      </c>
      <c r="J21" s="443">
        <v>40138</v>
      </c>
      <c r="K21" s="444"/>
      <c r="L21" s="75" t="str">
        <f>VLOOKUP(I21,Справочник!$A$2:$F$415,5,FALSE)</f>
        <v>полученные вознаграждения</v>
      </c>
      <c r="M21" s="75" t="str">
        <f>VLOOKUP(I21,Справочник!$A$2:$F$415,6,FALSE)</f>
        <v>прочие выплаты</v>
      </c>
    </row>
    <row r="22" spans="1:13">
      <c r="A22" s="278" t="str">
        <f t="shared" si="0"/>
        <v>"Penson Group"</v>
      </c>
      <c r="B22" s="488">
        <v>1610</v>
      </c>
      <c r="C22" s="443">
        <v>10956284.75</v>
      </c>
      <c r="D22" s="443">
        <v>184924377.78999999</v>
      </c>
      <c r="E22" s="75" t="str">
        <f>VLOOKUP(B22,Справочник!$A$2:$F$415,5,FALSE)</f>
        <v>прочие поступления</v>
      </c>
      <c r="F22" s="75" t="str">
        <f>VLOOKUP(B22,Справочник!$A$2:$F$415,6,FALSE)</f>
        <v>авансы, выданные поставщикам товаров и услуг</v>
      </c>
      <c r="H22" s="278" t="str">
        <f t="shared" si="1"/>
        <v>"Penson Group"</v>
      </c>
      <c r="I22" s="488">
        <v>1600</v>
      </c>
      <c r="J22" s="443">
        <v>34944033.609999999</v>
      </c>
      <c r="K22" s="443">
        <v>273205921.83999997</v>
      </c>
      <c r="L22" s="75">
        <f>VLOOKUP(I22,Справочник!$A$2:$F$415,5,FALSE)</f>
        <v>0</v>
      </c>
      <c r="M22" s="75">
        <f>VLOOKUP(I22,Справочник!$A$2:$F$415,6,FALSE)</f>
        <v>0</v>
      </c>
    </row>
    <row r="23" spans="1:13" ht="15" customHeight="1">
      <c r="A23" s="278" t="str">
        <f t="shared" si="0"/>
        <v>"Penson Group"</v>
      </c>
      <c r="B23" s="488">
        <v>3100</v>
      </c>
      <c r="C23" s="443">
        <v>83088</v>
      </c>
      <c r="D23" s="443">
        <v>276849548</v>
      </c>
      <c r="E23" s="75">
        <f>VLOOKUP(B23,Справочник!$A$2:$F$415,5,FALSE)</f>
        <v>0</v>
      </c>
      <c r="F23" s="75">
        <f>VLOOKUP(B23,Справочник!$A$2:$F$415,6,FALSE)</f>
        <v>0</v>
      </c>
      <c r="H23" s="278" t="str">
        <f t="shared" si="1"/>
        <v>"Penson Group"</v>
      </c>
      <c r="I23" s="488">
        <v>1610</v>
      </c>
      <c r="J23" s="443">
        <v>34944033.609999999</v>
      </c>
      <c r="K23" s="443">
        <v>273205921.83999997</v>
      </c>
      <c r="L23" s="75" t="str">
        <f>VLOOKUP(I23,Справочник!$A$2:$F$415,5,FALSE)</f>
        <v>прочие поступления</v>
      </c>
      <c r="M23" s="75" t="str">
        <f>VLOOKUP(I23,Справочник!$A$2:$F$415,6,FALSE)</f>
        <v>авансы, выданные поставщикам товаров и услуг</v>
      </c>
    </row>
    <row r="24" spans="1:13">
      <c r="A24" s="278" t="str">
        <f t="shared" si="0"/>
        <v>"Penson Group"</v>
      </c>
      <c r="B24" s="488">
        <v>3120</v>
      </c>
      <c r="C24" s="444"/>
      <c r="D24" s="443">
        <v>9815614</v>
      </c>
      <c r="E24" s="75" t="str">
        <f>VLOOKUP(B24,Справочник!$A$2:$F$415,5,FALSE)</f>
        <v>прочие поступления</v>
      </c>
      <c r="F24" s="75" t="str">
        <f>VLOOKUP(B24,Справочник!$A$2:$F$415,6,FALSE)</f>
        <v>прочие выплаты</v>
      </c>
      <c r="H24" s="278" t="str">
        <f t="shared" si="1"/>
        <v>"Penson Group"</v>
      </c>
      <c r="I24" s="488">
        <v>3000</v>
      </c>
      <c r="J24" s="444"/>
      <c r="K24" s="443">
        <v>155000000</v>
      </c>
      <c r="L24" s="75">
        <f>VLOOKUP(I24,Справочник!$A$2:$F$415,5,FALSE)</f>
        <v>0</v>
      </c>
      <c r="M24" s="75">
        <f>VLOOKUP(I24,Справочник!$A$2:$F$415,6,FALSE)</f>
        <v>0</v>
      </c>
    </row>
    <row r="25" spans="1:13" ht="15" customHeight="1">
      <c r="A25" s="278" t="str">
        <f t="shared" si="0"/>
        <v>"Penson Group"</v>
      </c>
      <c r="B25" s="488">
        <v>3150</v>
      </c>
      <c r="C25" s="444"/>
      <c r="D25" s="443">
        <v>6084099</v>
      </c>
      <c r="E25" s="75" t="str">
        <f>VLOOKUP(B25,Справочник!$A$2:$F$415,5,FALSE)</f>
        <v>прочие поступления</v>
      </c>
      <c r="F25" s="75" t="str">
        <f>VLOOKUP(B25,Справочник!$A$2:$F$415,6,FALSE)</f>
        <v>прочие выплаты</v>
      </c>
      <c r="H25" s="278" t="str">
        <f t="shared" si="1"/>
        <v>"Penson Group"</v>
      </c>
      <c r="I25" s="488">
        <v>3030</v>
      </c>
      <c r="J25" s="444"/>
      <c r="K25" s="443">
        <v>155000000</v>
      </c>
      <c r="L25" s="75" t="str">
        <f>VLOOKUP(I25,Справочник!$A$2:$F$415,5,FALSE)</f>
        <v>прочие поступления (финанс)</v>
      </c>
      <c r="M25" s="75" t="str">
        <f>VLOOKUP(I25,Справочник!$A$2:$F$415,6,FALSE)</f>
        <v>прочие выбытия (финанс)</v>
      </c>
    </row>
    <row r="26" spans="1:13">
      <c r="A26" s="278" t="str">
        <f t="shared" si="0"/>
        <v>"Penson Group"</v>
      </c>
      <c r="B26" s="488">
        <v>3160</v>
      </c>
      <c r="C26" s="444"/>
      <c r="D26" s="443">
        <v>87532</v>
      </c>
      <c r="E26" s="75" t="str">
        <f>VLOOKUP(B26,Справочник!$A$2:$F$415,5,FALSE)</f>
        <v>прочие поступления</v>
      </c>
      <c r="F26" s="75" t="str">
        <f>VLOOKUP(B26,Справочник!$A$2:$F$415,6,FALSE)</f>
        <v>прочие выплаты</v>
      </c>
      <c r="H26" s="278" t="str">
        <f t="shared" si="1"/>
        <v>"Penson Group"</v>
      </c>
      <c r="I26" s="488">
        <v>3100</v>
      </c>
      <c r="J26" s="443">
        <v>142334</v>
      </c>
      <c r="K26" s="443">
        <v>294232840</v>
      </c>
      <c r="L26" s="75">
        <f>VLOOKUP(I26,Справочник!$A$2:$F$415,5,FALSE)</f>
        <v>0</v>
      </c>
      <c r="M26" s="75">
        <f>VLOOKUP(I26,Справочник!$A$2:$F$415,6,FALSE)</f>
        <v>0</v>
      </c>
    </row>
    <row r="27" spans="1:13" ht="15" customHeight="1">
      <c r="A27" s="278" t="str">
        <f t="shared" si="0"/>
        <v>"Penson Group"</v>
      </c>
      <c r="B27" s="488">
        <v>3170</v>
      </c>
      <c r="C27" s="444"/>
      <c r="D27" s="443">
        <v>809028</v>
      </c>
      <c r="E27" s="75" t="str">
        <f>VLOOKUP(B27,Справочник!$A$2:$F$415,5,FALSE)</f>
        <v>прочие поступления</v>
      </c>
      <c r="F27" s="75" t="str">
        <f>VLOOKUP(B27,Справочник!$A$2:$F$415,6,FALSE)</f>
        <v>прочие выплаты</v>
      </c>
      <c r="H27" s="278" t="str">
        <f t="shared" si="1"/>
        <v>"Penson Group"</v>
      </c>
      <c r="I27" s="488">
        <v>3110</v>
      </c>
      <c r="J27" s="444"/>
      <c r="K27" s="443">
        <v>40000</v>
      </c>
      <c r="L27" s="75" t="str">
        <f>VLOOKUP(I27,Справочник!$A$2:$F$415,5,FALSE)</f>
        <v>прочие поступления</v>
      </c>
      <c r="M27" s="75" t="str">
        <f>VLOOKUP(I27,Справочник!$A$2:$F$415,6,FALSE)</f>
        <v>подоходный налог и другие платежи в бюджет</v>
      </c>
    </row>
    <row r="28" spans="1:13">
      <c r="A28" s="278" t="str">
        <f t="shared" si="0"/>
        <v>"Penson Group"</v>
      </c>
      <c r="B28" s="488">
        <v>3180</v>
      </c>
      <c r="C28" s="444"/>
      <c r="D28" s="443">
        <v>194870</v>
      </c>
      <c r="E28" s="75" t="str">
        <f>VLOOKUP(B28,Справочник!$A$2:$F$415,5,FALSE)</f>
        <v>прочие поступления</v>
      </c>
      <c r="F28" s="75" t="str">
        <f>VLOOKUP(B28,Справочник!$A$2:$F$415,6,FALSE)</f>
        <v>прочие выплаты</v>
      </c>
      <c r="H28" s="278" t="str">
        <f t="shared" si="1"/>
        <v>"Penson Group"</v>
      </c>
      <c r="I28" s="488">
        <v>3120</v>
      </c>
      <c r="J28" s="444"/>
      <c r="K28" s="443">
        <v>13114003</v>
      </c>
      <c r="L28" s="75" t="str">
        <f>VLOOKUP(I28,Справочник!$A$2:$F$415,5,FALSE)</f>
        <v>прочие поступления</v>
      </c>
      <c r="M28" s="75" t="str">
        <f>VLOOKUP(I28,Справочник!$A$2:$F$415,6,FALSE)</f>
        <v>прочие выплаты</v>
      </c>
    </row>
    <row r="29" spans="1:13">
      <c r="A29" s="278" t="str">
        <f t="shared" si="0"/>
        <v>"Penson Group"</v>
      </c>
      <c r="B29" s="488">
        <v>3190</v>
      </c>
      <c r="C29" s="443">
        <v>83088</v>
      </c>
      <c r="D29" s="443">
        <v>6082325</v>
      </c>
      <c r="E29" s="75" t="str">
        <f>VLOOKUP(B29,Справочник!$A$2:$F$415,5,FALSE)</f>
        <v>прочие поступления</v>
      </c>
      <c r="F29" s="75" t="str">
        <f>VLOOKUP(B29,Справочник!$A$2:$F$415,6,FALSE)</f>
        <v>прочие выплаты</v>
      </c>
      <c r="H29" s="278" t="str">
        <f t="shared" si="1"/>
        <v>"Penson Group"</v>
      </c>
      <c r="I29" s="488">
        <v>3150</v>
      </c>
      <c r="J29" s="444"/>
      <c r="K29" s="443">
        <v>7483069</v>
      </c>
      <c r="L29" s="75" t="str">
        <f>VLOOKUP(I29,Справочник!$A$2:$F$415,5,FALSE)</f>
        <v>прочие поступления</v>
      </c>
      <c r="M29" s="75" t="str">
        <f>VLOOKUP(I29,Справочник!$A$2:$F$415,6,FALSE)</f>
        <v>прочие выплаты</v>
      </c>
    </row>
    <row r="30" spans="1:13">
      <c r="A30" s="278" t="str">
        <f t="shared" si="0"/>
        <v>"Penson Group"</v>
      </c>
      <c r="B30" s="488">
        <v>3191</v>
      </c>
      <c r="C30" s="444"/>
      <c r="D30" s="443">
        <v>252983600</v>
      </c>
      <c r="E30" s="75" t="str">
        <f>VLOOKUP(B30,Справочник!$A$2:$F$415,5,FALSE)</f>
        <v>прочие поступления</v>
      </c>
      <c r="F30" s="75" t="str">
        <f>VLOOKUP(B30,Справочник!$A$2:$F$415,6,FALSE)</f>
        <v>прочие выплаты</v>
      </c>
      <c r="H30" s="278" t="str">
        <f t="shared" si="1"/>
        <v>"Penson Group"</v>
      </c>
      <c r="I30" s="488">
        <v>3160</v>
      </c>
      <c r="J30" s="443">
        <v>58334</v>
      </c>
      <c r="K30" s="443">
        <v>116668</v>
      </c>
      <c r="L30" s="75" t="str">
        <f>VLOOKUP(I30,Справочник!$A$2:$F$415,5,FALSE)</f>
        <v>прочие поступления</v>
      </c>
      <c r="M30" s="75" t="str">
        <f>VLOOKUP(I30,Справочник!$A$2:$F$415,6,FALSE)</f>
        <v>прочие выплаты</v>
      </c>
    </row>
    <row r="31" spans="1:13">
      <c r="A31" s="278" t="str">
        <f t="shared" si="0"/>
        <v>"Penson Group"</v>
      </c>
      <c r="B31" s="488">
        <v>3192</v>
      </c>
      <c r="C31" s="444"/>
      <c r="D31" s="443">
        <v>792480</v>
      </c>
      <c r="E31" s="75" t="str">
        <f>VLOOKUP(B31,Справочник!$A$2:$F$415,5,FALSE)</f>
        <v>прочие поступления</v>
      </c>
      <c r="F31" s="75" t="str">
        <f>VLOOKUP(B31,Справочник!$A$2:$F$415,6,FALSE)</f>
        <v>прочие выплаты</v>
      </c>
      <c r="H31" s="278" t="str">
        <f t="shared" si="1"/>
        <v>"Penson Group"</v>
      </c>
      <c r="I31" s="488">
        <v>3170</v>
      </c>
      <c r="J31" s="444"/>
      <c r="K31" s="443">
        <v>925806</v>
      </c>
      <c r="L31" s="75" t="str">
        <f>VLOOKUP(I31,Справочник!$A$2:$F$415,5,FALSE)</f>
        <v>прочие поступления</v>
      </c>
      <c r="M31" s="75" t="str">
        <f>VLOOKUP(I31,Справочник!$A$2:$F$415,6,FALSE)</f>
        <v>прочие выплаты</v>
      </c>
    </row>
    <row r="32" spans="1:13">
      <c r="A32" s="278" t="str">
        <f t="shared" si="0"/>
        <v>"Penson Group"</v>
      </c>
      <c r="B32" s="488">
        <v>3200</v>
      </c>
      <c r="C32" s="443">
        <v>59386.65</v>
      </c>
      <c r="D32" s="443">
        <v>15026424.859999999</v>
      </c>
      <c r="E32" s="75">
        <f>VLOOKUP(B32,Справочник!$A$2:$F$415,5,FALSE)</f>
        <v>0</v>
      </c>
      <c r="F32" s="75">
        <f>VLOOKUP(B32,Справочник!$A$2:$F$415,6,FALSE)</f>
        <v>0</v>
      </c>
      <c r="H32" s="278" t="str">
        <f t="shared" si="1"/>
        <v>"Penson Group"</v>
      </c>
      <c r="I32" s="488">
        <v>3180</v>
      </c>
      <c r="J32" s="443">
        <v>84000</v>
      </c>
      <c r="K32" s="443">
        <v>168000</v>
      </c>
      <c r="L32" s="75" t="str">
        <f>VLOOKUP(I32,Справочник!$A$2:$F$415,5,FALSE)</f>
        <v>прочие поступления</v>
      </c>
      <c r="M32" s="75" t="str">
        <f>VLOOKUP(I32,Справочник!$A$2:$F$415,6,FALSE)</f>
        <v>прочие выплаты</v>
      </c>
    </row>
    <row r="33" spans="1:13">
      <c r="A33" s="278" t="str">
        <f t="shared" si="0"/>
        <v>"Penson Group"</v>
      </c>
      <c r="B33" s="488">
        <v>3210</v>
      </c>
      <c r="C33" s="443">
        <v>16543.650000000001</v>
      </c>
      <c r="D33" s="443">
        <v>4663555.8600000003</v>
      </c>
      <c r="E33" s="75" t="str">
        <f>VLOOKUP(B33,Справочник!$A$2:$F$415,5,FALSE)</f>
        <v>прочие поступления</v>
      </c>
      <c r="F33" s="75" t="str">
        <f>VLOOKUP(B33,Справочник!$A$2:$F$415,6,FALSE)</f>
        <v>прочие выплаты</v>
      </c>
      <c r="H33" s="278" t="str">
        <f t="shared" si="1"/>
        <v>"Penson Group"</v>
      </c>
      <c r="I33" s="488">
        <v>3190</v>
      </c>
      <c r="J33" s="444"/>
      <c r="K33" s="443">
        <v>5513615</v>
      </c>
      <c r="L33" s="75" t="str">
        <f>VLOOKUP(I33,Справочник!$A$2:$F$415,5,FALSE)</f>
        <v>прочие поступления</v>
      </c>
      <c r="M33" s="75" t="str">
        <f>VLOOKUP(I33,Справочник!$A$2:$F$415,6,FALSE)</f>
        <v>прочие выплаты</v>
      </c>
    </row>
    <row r="34" spans="1:13">
      <c r="A34" s="278" t="str">
        <f t="shared" si="0"/>
        <v>"Penson Group"</v>
      </c>
      <c r="B34" s="488">
        <v>3220</v>
      </c>
      <c r="C34" s="443">
        <v>42843</v>
      </c>
      <c r="D34" s="443">
        <v>10362869</v>
      </c>
      <c r="E34" s="75" t="str">
        <f>VLOOKUP(B34,Справочник!$A$2:$F$415,5,FALSE)</f>
        <v>прочие поступления</v>
      </c>
      <c r="F34" s="75" t="str">
        <f>VLOOKUP(B34,Справочник!$A$2:$F$415,6,FALSE)</f>
        <v>прочие выплаты</v>
      </c>
      <c r="H34" s="278" t="str">
        <f t="shared" si="1"/>
        <v>"Penson Group"</v>
      </c>
      <c r="I34" s="488">
        <v>3191</v>
      </c>
      <c r="J34" s="444"/>
      <c r="K34" s="443">
        <v>265406839</v>
      </c>
      <c r="L34" s="75" t="str">
        <f>VLOOKUP(I34,Справочник!$A$2:$F$415,5,FALSE)</f>
        <v>прочие поступления</v>
      </c>
      <c r="M34" s="75" t="str">
        <f>VLOOKUP(I34,Справочник!$A$2:$F$415,6,FALSE)</f>
        <v>прочие выплаты</v>
      </c>
    </row>
    <row r="35" spans="1:13">
      <c r="A35" s="278" t="str">
        <f t="shared" si="0"/>
        <v>"Penson Group"</v>
      </c>
      <c r="B35" s="488">
        <v>3300</v>
      </c>
      <c r="C35" s="443">
        <v>11158160</v>
      </c>
      <c r="D35" s="443">
        <v>164222016.69</v>
      </c>
      <c r="E35" s="75">
        <f>VLOOKUP(B35,Справочник!$A$2:$F$415,5,FALSE)</f>
        <v>0</v>
      </c>
      <c r="F35" s="75">
        <f>VLOOKUP(B35,Справочник!$A$2:$F$415,6,FALSE)</f>
        <v>0</v>
      </c>
      <c r="H35" s="278" t="str">
        <f t="shared" si="1"/>
        <v>"Penson Group"</v>
      </c>
      <c r="I35" s="488">
        <v>3192</v>
      </c>
      <c r="J35" s="444"/>
      <c r="K35" s="443">
        <v>1464840</v>
      </c>
      <c r="L35" s="75" t="str">
        <f>VLOOKUP(I35,Справочник!$A$2:$F$415,5,FALSE)</f>
        <v>прочие поступления</v>
      </c>
      <c r="M35" s="75" t="str">
        <f>VLOOKUP(I35,Справочник!$A$2:$F$415,6,FALSE)</f>
        <v>прочие выплаты</v>
      </c>
    </row>
    <row r="36" spans="1:13">
      <c r="A36" s="278" t="str">
        <f t="shared" si="0"/>
        <v>"Penson Group"</v>
      </c>
      <c r="B36" s="488">
        <v>3310</v>
      </c>
      <c r="C36" s="443">
        <v>9981840</v>
      </c>
      <c r="D36" s="443">
        <v>71369336.689999998</v>
      </c>
      <c r="E36" s="75" t="str">
        <f>VLOOKUP(B36,Справочник!$A$2:$F$415,5,FALSE)</f>
        <v>прочие поступления</v>
      </c>
      <c r="F36" s="75" t="str">
        <f>VLOOKUP(B36,Справочник!$A$2:$F$415,6,FALSE)</f>
        <v>платежи поставщикам за товары и услуги</v>
      </c>
      <c r="H36" s="278" t="str">
        <f t="shared" si="1"/>
        <v>"Penson Group"</v>
      </c>
      <c r="I36" s="488">
        <v>3200</v>
      </c>
      <c r="J36" s="443">
        <v>72127.45</v>
      </c>
      <c r="K36" s="443">
        <v>18510686.600000001</v>
      </c>
      <c r="L36" s="75">
        <f>VLOOKUP(I36,Справочник!$A$2:$F$415,5,FALSE)</f>
        <v>0</v>
      </c>
      <c r="M36" s="75">
        <f>VLOOKUP(I36,Справочник!$A$2:$F$415,6,FALSE)</f>
        <v>0</v>
      </c>
    </row>
    <row r="37" spans="1:13">
      <c r="A37" s="278" t="str">
        <f t="shared" si="0"/>
        <v>"Penson Group"</v>
      </c>
      <c r="B37" s="488">
        <v>3350</v>
      </c>
      <c r="C37" s="444"/>
      <c r="D37" s="443">
        <v>92852680</v>
      </c>
      <c r="E37" s="75" t="str">
        <f>VLOOKUP(B37,Справочник!$A$2:$F$415,5,FALSE)</f>
        <v>прочие поступления</v>
      </c>
      <c r="F37" s="75" t="str">
        <f>VLOOKUP(B37,Справочник!$A$2:$F$415,6,FALSE)</f>
        <v>выплаты по оплате труда</v>
      </c>
      <c r="H37" s="278" t="str">
        <f t="shared" si="1"/>
        <v>"Penson Group"</v>
      </c>
      <c r="I37" s="488">
        <v>3210</v>
      </c>
      <c r="J37" s="443">
        <v>18999.45</v>
      </c>
      <c r="K37" s="443">
        <v>5743518.5999999996</v>
      </c>
      <c r="L37" s="75" t="str">
        <f>VLOOKUP(I37,Справочник!$A$2:$F$415,5,FALSE)</f>
        <v>прочие поступления</v>
      </c>
      <c r="M37" s="75" t="str">
        <f>VLOOKUP(I37,Справочник!$A$2:$F$415,6,FALSE)</f>
        <v>прочие выплаты</v>
      </c>
    </row>
    <row r="38" spans="1:13">
      <c r="A38" s="278" t="str">
        <f t="shared" si="0"/>
        <v>"Penson Group"</v>
      </c>
      <c r="B38" s="488">
        <v>3390</v>
      </c>
      <c r="C38" s="443">
        <v>1176320</v>
      </c>
      <c r="D38" s="444"/>
      <c r="E38" s="75">
        <f>VLOOKUP(B38,Справочник!$A$2:$F$415,5,FALSE)</f>
        <v>0</v>
      </c>
      <c r="F38" s="75">
        <f>VLOOKUP(B38,Справочник!$A$2:$F$415,6,FALSE)</f>
        <v>0</v>
      </c>
      <c r="H38" s="278" t="str">
        <f t="shared" si="1"/>
        <v>"Penson Group"</v>
      </c>
      <c r="I38" s="488">
        <v>3220</v>
      </c>
      <c r="J38" s="443">
        <v>53128</v>
      </c>
      <c r="K38" s="443">
        <v>12767168</v>
      </c>
      <c r="L38" s="75" t="str">
        <f>VLOOKUP(I38,Справочник!$A$2:$F$415,5,FALSE)</f>
        <v>прочие поступления</v>
      </c>
      <c r="M38" s="75" t="str">
        <f>VLOOKUP(I38,Справочник!$A$2:$F$415,6,FALSE)</f>
        <v>прочие выплаты</v>
      </c>
    </row>
    <row r="39" spans="1:13">
      <c r="A39" s="278" t="str">
        <f t="shared" si="0"/>
        <v>"Penson Group"</v>
      </c>
      <c r="B39" s="488">
        <v>3397</v>
      </c>
      <c r="C39" s="443">
        <v>1176320</v>
      </c>
      <c r="D39" s="444"/>
      <c r="E39" s="75" t="str">
        <f>VLOOKUP(B39,Справочник!$A$2:$F$415,5,FALSE)</f>
        <v>прочие поступления</v>
      </c>
      <c r="F39" s="75" t="str">
        <f>VLOOKUP(B39,Справочник!$A$2:$F$415,6,FALSE)</f>
        <v>прочие выплаты</v>
      </c>
      <c r="H39" s="278" t="str">
        <f t="shared" si="1"/>
        <v>"Penson Group"</v>
      </c>
      <c r="I39" s="488">
        <v>3300</v>
      </c>
      <c r="J39" s="443">
        <v>3304538</v>
      </c>
      <c r="K39" s="443">
        <v>163548075.52000001</v>
      </c>
      <c r="L39" s="75">
        <f>VLOOKUP(I39,Справочник!$A$2:$F$415,5,FALSE)</f>
        <v>0</v>
      </c>
      <c r="M39" s="75">
        <f>VLOOKUP(I39,Справочник!$A$2:$F$415,6,FALSE)</f>
        <v>0</v>
      </c>
    </row>
    <row r="40" spans="1:13">
      <c r="A40" s="278" t="str">
        <f t="shared" si="0"/>
        <v>"Penson Group"</v>
      </c>
      <c r="B40" s="488">
        <v>3500</v>
      </c>
      <c r="C40" s="443">
        <v>42103842.590000004</v>
      </c>
      <c r="D40" s="444"/>
      <c r="E40" s="75">
        <f>VLOOKUP(B40,Справочник!$A$2:$F$415,5,FALSE)</f>
        <v>0</v>
      </c>
      <c r="F40" s="75">
        <f>VLOOKUP(B40,Справочник!$A$2:$F$415,6,FALSE)</f>
        <v>0</v>
      </c>
      <c r="H40" s="278" t="str">
        <f t="shared" si="1"/>
        <v>"Penson Group"</v>
      </c>
      <c r="I40" s="488">
        <v>3310</v>
      </c>
      <c r="J40" s="443">
        <v>3304538</v>
      </c>
      <c r="K40" s="443">
        <v>48180258.520000003</v>
      </c>
      <c r="L40" s="75" t="str">
        <f>VLOOKUP(I40,Справочник!$A$2:$F$415,5,FALSE)</f>
        <v>прочие поступления</v>
      </c>
      <c r="M40" s="75" t="str">
        <f>VLOOKUP(I40,Справочник!$A$2:$F$415,6,FALSE)</f>
        <v>платежи поставщикам за товары и услуги</v>
      </c>
    </row>
    <row r="41" spans="1:13">
      <c r="A41" s="278" t="str">
        <f t="shared" si="0"/>
        <v>"Penson Group"</v>
      </c>
      <c r="B41" s="488">
        <v>3510</v>
      </c>
      <c r="C41" s="443">
        <v>42103842.590000004</v>
      </c>
      <c r="D41" s="444"/>
      <c r="E41" s="75" t="str">
        <f>VLOOKUP(B41,Справочник!$A$2:$F$415,5,FALSE)</f>
        <v>авансы, полученные от покупателей, заказчиков</v>
      </c>
      <c r="F41" s="75" t="str">
        <f>VLOOKUP(B41,Справочник!$A$2:$F$415,6,FALSE)</f>
        <v>прочие выплаты</v>
      </c>
      <c r="H41" s="278" t="str">
        <f t="shared" si="1"/>
        <v>"Penson Group"</v>
      </c>
      <c r="I41" s="488">
        <v>3350</v>
      </c>
      <c r="J41" s="444"/>
      <c r="K41" s="443">
        <v>115367817</v>
      </c>
      <c r="L41" s="75" t="str">
        <f>VLOOKUP(I41,Справочник!$A$2:$F$415,5,FALSE)</f>
        <v>прочие поступления</v>
      </c>
      <c r="M41" s="75" t="str">
        <f>VLOOKUP(I41,Справочник!$A$2:$F$415,6,FALSE)</f>
        <v>выплаты по оплате труда</v>
      </c>
    </row>
    <row r="42" spans="1:13">
      <c r="A42" s="278" t="str">
        <f t="shared" si="0"/>
        <v>"Penson Group"</v>
      </c>
      <c r="B42" s="488">
        <v>4100</v>
      </c>
      <c r="C42" s="444"/>
      <c r="D42" s="443">
        <v>9103922.4000000004</v>
      </c>
      <c r="E42" s="75">
        <f>VLOOKUP(B42,Справочник!$A$2:$F$415,5,FALSE)</f>
        <v>0</v>
      </c>
      <c r="F42" s="75">
        <f>VLOOKUP(B42,Справочник!$A$2:$F$415,6,FALSE)</f>
        <v>0</v>
      </c>
      <c r="H42" s="278" t="str">
        <f t="shared" si="1"/>
        <v>"Penson Group"</v>
      </c>
      <c r="I42" s="488">
        <v>3500</v>
      </c>
      <c r="J42" s="443">
        <v>36592897</v>
      </c>
      <c r="K42" s="443">
        <v>293094</v>
      </c>
      <c r="L42" s="75">
        <f>VLOOKUP(I42,Справочник!$A$2:$F$415,5,FALSE)</f>
        <v>0</v>
      </c>
      <c r="M42" s="75">
        <f>VLOOKUP(I42,Справочник!$A$2:$F$415,6,FALSE)</f>
        <v>0</v>
      </c>
    </row>
    <row r="43" spans="1:13">
      <c r="A43" s="278" t="str">
        <f t="shared" si="0"/>
        <v>"Penson Group"</v>
      </c>
      <c r="B43" s="488">
        <v>4150</v>
      </c>
      <c r="C43" s="444"/>
      <c r="D43" s="443">
        <v>7595745.8300000001</v>
      </c>
      <c r="E43" s="75" t="str">
        <f>VLOOKUP(B43,Справочник!$A$2:$F$415,5,FALSE)</f>
        <v>прочие поступления (финанс)</v>
      </c>
      <c r="F43" s="75" t="str">
        <f>VLOOKUP(B43,Справочник!$A$2:$F$415,6,FALSE)</f>
        <v>выплата вознаграждения (финанс)</v>
      </c>
      <c r="H43" s="278" t="str">
        <f t="shared" si="1"/>
        <v>"Penson Group"</v>
      </c>
      <c r="I43" s="488">
        <v>3510</v>
      </c>
      <c r="J43" s="443">
        <v>36592897</v>
      </c>
      <c r="K43" s="443">
        <v>293094</v>
      </c>
      <c r="L43" s="75" t="str">
        <f>VLOOKUP(I43,Справочник!$A$2:$F$415,5,FALSE)</f>
        <v>авансы, полученные от покупателей, заказчиков</v>
      </c>
      <c r="M43" s="75" t="str">
        <f>VLOOKUP(I43,Справочник!$A$2:$F$415,6,FALSE)</f>
        <v>прочие выплаты</v>
      </c>
    </row>
    <row r="44" spans="1:13">
      <c r="A44" s="278" t="str">
        <f t="shared" si="0"/>
        <v>"Penson Group"</v>
      </c>
      <c r="B44" s="488">
        <v>4160</v>
      </c>
      <c r="C44" s="444"/>
      <c r="D44" s="443">
        <v>1508176.57</v>
      </c>
      <c r="E44" s="75" t="str">
        <f>VLOOKUP(B44,Справочник!$A$2:$F$415,5,FALSE)</f>
        <v>прочие поступления (финанс)</v>
      </c>
      <c r="F44" s="75" t="str">
        <f>VLOOKUP(B44,Справочник!$A$2:$F$415,6,FALSE)</f>
        <v>выплата вознаграждения (финанс)</v>
      </c>
      <c r="H44" s="278" t="str">
        <f t="shared" si="1"/>
        <v>"Penson Group"</v>
      </c>
      <c r="I44" s="488">
        <v>4100</v>
      </c>
      <c r="J44" s="444"/>
      <c r="K44" s="443">
        <v>8734250.4000000004</v>
      </c>
      <c r="L44" s="75">
        <f>VLOOKUP(I44,Справочник!$A$2:$F$415,5,FALSE)</f>
        <v>0</v>
      </c>
      <c r="M44" s="75">
        <f>VLOOKUP(I44,Справочник!$A$2:$F$415,6,FALSE)</f>
        <v>0</v>
      </c>
    </row>
    <row r="45" spans="1:13">
      <c r="A45" s="278" t="str">
        <f t="shared" si="0"/>
        <v>"Penson Group"</v>
      </c>
      <c r="B45" s="488">
        <v>6000</v>
      </c>
      <c r="C45" s="443">
        <v>696167020</v>
      </c>
      <c r="D45" s="443">
        <v>70803175</v>
      </c>
      <c r="E45" s="75">
        <f>VLOOKUP(B45,Справочник!$A$2:$F$415,5,FALSE)</f>
        <v>0</v>
      </c>
      <c r="F45" s="75">
        <f>VLOOKUP(B45,Справочник!$A$2:$F$415,6,FALSE)</f>
        <v>0</v>
      </c>
      <c r="H45" s="278" t="str">
        <f t="shared" si="1"/>
        <v>"Penson Group"</v>
      </c>
      <c r="I45" s="488">
        <v>4150</v>
      </c>
      <c r="J45" s="444"/>
      <c r="K45" s="443">
        <v>6754763.9299999997</v>
      </c>
      <c r="L45" s="75" t="str">
        <f>VLOOKUP(I45,Справочник!$A$2:$F$415,5,FALSE)</f>
        <v>прочие поступления (финанс)</v>
      </c>
      <c r="M45" s="75" t="str">
        <f>VLOOKUP(I45,Справочник!$A$2:$F$415,6,FALSE)</f>
        <v>выплата вознаграждения (финанс)</v>
      </c>
    </row>
    <row r="46" spans="1:13">
      <c r="A46" s="278" t="str">
        <f t="shared" si="0"/>
        <v>"Penson Group"</v>
      </c>
      <c r="B46" s="488">
        <v>6010</v>
      </c>
      <c r="C46" s="443">
        <v>696167020</v>
      </c>
      <c r="D46" s="443">
        <v>70803175</v>
      </c>
      <c r="E46" s="75" t="str">
        <f>VLOOKUP(B46,Справочник!$A$2:$F$415,5,FALSE)</f>
        <v>прочие поступления</v>
      </c>
      <c r="F46" s="75" t="str">
        <f>VLOOKUP(B46,Справочник!$A$2:$F$415,6,FALSE)</f>
        <v>прочие выплаты</v>
      </c>
      <c r="H46" s="278" t="str">
        <f t="shared" si="1"/>
        <v>"Penson Group"</v>
      </c>
      <c r="I46" s="488">
        <v>4160</v>
      </c>
      <c r="J46" s="444"/>
      <c r="K46" s="443">
        <v>1979486.47</v>
      </c>
      <c r="L46" s="75" t="str">
        <f>VLOOKUP(I46,Справочник!$A$2:$F$415,5,FALSE)</f>
        <v>прочие поступления (финанс)</v>
      </c>
      <c r="M46" s="75" t="str">
        <f>VLOOKUP(I46,Справочник!$A$2:$F$415,6,FALSE)</f>
        <v>выплата вознаграждения (финанс)</v>
      </c>
    </row>
    <row r="47" spans="1:13">
      <c r="A47" s="278" t="str">
        <f t="shared" si="0"/>
        <v>"Penson Group"</v>
      </c>
      <c r="B47" s="488">
        <v>6100</v>
      </c>
      <c r="C47" s="443">
        <v>1382690.63</v>
      </c>
      <c r="D47" s="444"/>
      <c r="E47" s="75">
        <f>VLOOKUP(B47,Справочник!$A$2:$F$415,5,FALSE)</f>
        <v>0</v>
      </c>
      <c r="F47" s="75"/>
      <c r="H47" s="278" t="str">
        <f t="shared" si="1"/>
        <v>"Penson Group"</v>
      </c>
      <c r="I47" s="488">
        <v>6000</v>
      </c>
      <c r="J47" s="443">
        <v>1023721141.6</v>
      </c>
      <c r="K47" s="443">
        <v>183131086</v>
      </c>
      <c r="L47" s="75">
        <f>VLOOKUP(I47,Справочник!$A$2:$F$415,5,FALSE)</f>
        <v>0</v>
      </c>
      <c r="M47" s="75">
        <f>VLOOKUP(I47,Справочник!$A$2:$F$415,6,FALSE)</f>
        <v>0</v>
      </c>
    </row>
    <row r="48" spans="1:13">
      <c r="A48" s="278" t="str">
        <f t="shared" si="0"/>
        <v>"Penson Group"</v>
      </c>
      <c r="B48" s="488">
        <v>6110</v>
      </c>
      <c r="C48" s="443">
        <v>1382690.63</v>
      </c>
      <c r="D48" s="444"/>
      <c r="E48" s="75" t="str">
        <f>VLOOKUP(B48,Справочник!$A$2:$F$415,5,FALSE)</f>
        <v>полученные вознаграждения (финанс)</v>
      </c>
      <c r="F48" s="75">
        <f>VLOOKUP(B48,Справочник!$A$2:$F$415,6,FALSE)</f>
        <v>0</v>
      </c>
      <c r="H48" s="278" t="str">
        <f t="shared" si="1"/>
        <v>"Penson Group"</v>
      </c>
      <c r="I48" s="488">
        <v>6010</v>
      </c>
      <c r="J48" s="443">
        <v>1023721141.6</v>
      </c>
      <c r="K48" s="443">
        <v>183131086</v>
      </c>
      <c r="L48" s="75" t="str">
        <f>VLOOKUP(I48,Справочник!$A$2:$F$415,5,FALSE)</f>
        <v>прочие поступления</v>
      </c>
      <c r="M48" s="75" t="str">
        <f>VLOOKUP(I48,Справочник!$A$2:$F$415,6,FALSE)</f>
        <v>прочие выплаты</v>
      </c>
    </row>
    <row r="49" spans="1:13">
      <c r="A49" s="278" t="str">
        <f t="shared" si="0"/>
        <v>"Penson Group"</v>
      </c>
      <c r="B49" s="488">
        <v>6200</v>
      </c>
      <c r="C49" s="443">
        <v>36534.559999999998</v>
      </c>
      <c r="D49" s="444"/>
      <c r="E49" s="75">
        <f>VLOOKUP(B49,Справочник!$A$2:$F$415,5,FALSE)</f>
        <v>0</v>
      </c>
      <c r="F49" s="75">
        <f>VLOOKUP(B49,Справочник!$A$2:$F$415,6,FALSE)</f>
        <v>0</v>
      </c>
      <c r="H49" s="278" t="str">
        <f t="shared" si="1"/>
        <v>"Penson Group"</v>
      </c>
      <c r="I49" s="488">
        <v>6100</v>
      </c>
      <c r="J49" s="443">
        <v>9034.5400000000009</v>
      </c>
      <c r="K49" s="444"/>
      <c r="L49" s="75">
        <f>VLOOKUP(I49,Справочник!$A$2:$F$415,5,FALSE)</f>
        <v>0</v>
      </c>
      <c r="M49" s="75">
        <f>VLOOKUP(I49,Справочник!$A$2:$F$415,6,FALSE)</f>
        <v>0</v>
      </c>
    </row>
    <row r="50" spans="1:13">
      <c r="A50" s="278" t="str">
        <f t="shared" si="0"/>
        <v>"Penson Group"</v>
      </c>
      <c r="B50" s="488">
        <v>6250</v>
      </c>
      <c r="C50" s="443">
        <v>36534.559999999998</v>
      </c>
      <c r="D50" s="444"/>
      <c r="E50" s="75" t="str">
        <f>VLOOKUP(B50,Справочник!$A$2:$F$415,5,FALSE)</f>
        <v>прочие поступления</v>
      </c>
      <c r="F50" s="75" t="str">
        <f>VLOOKUP(B50,Справочник!$A$2:$F$415,6,FALSE)</f>
        <v>прочие выплаты</v>
      </c>
      <c r="H50" s="278" t="str">
        <f t="shared" si="1"/>
        <v>"Penson Group"</v>
      </c>
      <c r="I50" s="488">
        <v>6110</v>
      </c>
      <c r="J50" s="456">
        <v>294.14</v>
      </c>
      <c r="K50" s="444"/>
      <c r="L50" s="75" t="str">
        <f>VLOOKUP(I50,Справочник!$A$2:$F$415,5,FALSE)</f>
        <v>полученные вознаграждения (финанс)</v>
      </c>
      <c r="M50" s="75">
        <f>VLOOKUP(I50,Справочник!$A$2:$F$415,6,FALSE)</f>
        <v>0</v>
      </c>
    </row>
    <row r="51" spans="1:13">
      <c r="A51" s="278" t="str">
        <f t="shared" si="0"/>
        <v>"Penson Group"</v>
      </c>
      <c r="B51" s="488">
        <v>7200</v>
      </c>
      <c r="C51" s="444"/>
      <c r="D51" s="443">
        <v>26805463.940000001</v>
      </c>
      <c r="E51" s="75">
        <f>VLOOKUP(B51,Справочник!$A$2:$F$415,5,FALSE)</f>
        <v>0</v>
      </c>
      <c r="F51" s="75">
        <f>VLOOKUP(B51,Справочник!$A$2:$F$415,6,FALSE)</f>
        <v>0</v>
      </c>
      <c r="H51" s="278" t="str">
        <f t="shared" si="1"/>
        <v>"Penson Group"</v>
      </c>
      <c r="I51" s="488">
        <v>6120</v>
      </c>
      <c r="J51" s="443">
        <v>8740.4</v>
      </c>
      <c r="K51" s="444"/>
      <c r="L51" s="75">
        <f>VLOOKUP(I51,Справочник!$A$2:$F$415,5,FALSE)</f>
        <v>0</v>
      </c>
      <c r="M51" s="75">
        <f>VLOOKUP(I51,Справочник!$A$2:$F$415,6,FALSE)</f>
        <v>0</v>
      </c>
    </row>
    <row r="52" spans="1:13">
      <c r="A52" s="278" t="str">
        <f t="shared" si="0"/>
        <v>"Penson Group"</v>
      </c>
      <c r="B52" s="488">
        <v>7210</v>
      </c>
      <c r="C52" s="444"/>
      <c r="D52" s="443">
        <v>26805463.940000001</v>
      </c>
      <c r="E52" s="75" t="str">
        <f>VLOOKUP(B52,Справочник!$A$2:$F$415,5,FALSE)</f>
        <v>прочие поступления</v>
      </c>
      <c r="F52" s="75" t="str">
        <f>VLOOKUP(B52,Справочник!$A$2:$F$415,6,FALSE)</f>
        <v>прочие выплаты</v>
      </c>
      <c r="H52" s="278" t="str">
        <f t="shared" si="1"/>
        <v>"Penson Group"</v>
      </c>
      <c r="I52" s="488">
        <v>6200</v>
      </c>
      <c r="J52" s="443">
        <v>7733.73</v>
      </c>
      <c r="K52" s="444"/>
      <c r="L52" s="75">
        <f>VLOOKUP(I52,Справочник!$A$2:$F$415,5,FALSE)</f>
        <v>0</v>
      </c>
      <c r="M52" s="75">
        <f>VLOOKUP(I52,Справочник!$A$2:$F$415,6,FALSE)</f>
        <v>0</v>
      </c>
    </row>
    <row r="53" spans="1:13">
      <c r="A53" s="278" t="str">
        <f t="shared" si="0"/>
        <v>"Penson Group"</v>
      </c>
      <c r="B53" s="488">
        <v>7400</v>
      </c>
      <c r="C53" s="444"/>
      <c r="D53" s="443">
        <v>358466.8</v>
      </c>
      <c r="E53" s="75">
        <f>VLOOKUP(B53,Справочник!$A$2:$F$415,5,FALSE)</f>
        <v>0</v>
      </c>
      <c r="F53" s="75">
        <f>VLOOKUP(B53,Справочник!$A$2:$F$415,6,FALSE)</f>
        <v>0</v>
      </c>
      <c r="H53" s="278" t="str">
        <f t="shared" si="1"/>
        <v>"Penson Group"</v>
      </c>
      <c r="I53" s="488">
        <v>6250</v>
      </c>
      <c r="J53" s="456">
        <v>831.52</v>
      </c>
      <c r="K53" s="444"/>
      <c r="L53" s="75" t="str">
        <f>VLOOKUP(I53,Справочник!$A$2:$F$415,5,FALSE)</f>
        <v>прочие поступления</v>
      </c>
      <c r="M53" s="75" t="str">
        <f>VLOOKUP(I53,Справочник!$A$2:$F$415,6,FALSE)</f>
        <v>прочие выплаты</v>
      </c>
    </row>
    <row r="54" spans="1:13">
      <c r="A54" s="278" t="str">
        <f t="shared" si="0"/>
        <v>"Penson Group"</v>
      </c>
      <c r="B54" s="488">
        <v>7430</v>
      </c>
      <c r="C54" s="444"/>
      <c r="D54" s="443">
        <v>123958.46</v>
      </c>
      <c r="E54" s="75" t="str">
        <f>VLOOKUP(B54,Справочник!$A$2:$F$415,5,FALSE)</f>
        <v>прочие поступления</v>
      </c>
      <c r="F54" s="75" t="str">
        <f>VLOOKUP(B54,Справочник!$A$2:$F$415,6,FALSE)</f>
        <v>прочие выплаты</v>
      </c>
      <c r="H54" s="278" t="str">
        <f t="shared" si="1"/>
        <v>"Penson Group"</v>
      </c>
      <c r="I54" s="488">
        <v>6280</v>
      </c>
      <c r="J54" s="443">
        <v>6902.21</v>
      </c>
      <c r="K54" s="444"/>
      <c r="L54" s="75" t="str">
        <f>VLOOKUP(I54,Справочник!$A$2:$F$415,5,FALSE)</f>
        <v>прочие поступления</v>
      </c>
      <c r="M54" s="75">
        <f>VLOOKUP(I54,Справочник!$A$2:$F$415,6,FALSE)</f>
        <v>0</v>
      </c>
    </row>
    <row r="55" spans="1:13">
      <c r="A55" s="278" t="str">
        <f t="shared" si="0"/>
        <v>"Penson Group"</v>
      </c>
      <c r="B55" s="488">
        <v>7470</v>
      </c>
      <c r="C55" s="444"/>
      <c r="D55" s="443">
        <v>234508.34</v>
      </c>
      <c r="E55" s="75" t="str">
        <f>VLOOKUP(B55,Справочник!$A$2:$F$415,5,FALSE)</f>
        <v>прочие поступления</v>
      </c>
      <c r="F55" s="75" t="str">
        <f>VLOOKUP(B55,Справочник!$A$2:$F$415,6,FALSE)</f>
        <v>прочие выплаты</v>
      </c>
      <c r="H55" s="278" t="str">
        <f t="shared" si="1"/>
        <v>"Penson Group"</v>
      </c>
      <c r="I55" s="488">
        <v>7200</v>
      </c>
      <c r="J55" s="443">
        <v>877639.4</v>
      </c>
      <c r="K55" s="443">
        <v>35850340.75</v>
      </c>
      <c r="L55" s="75">
        <f>VLOOKUP(I55,Справочник!$A$2:$F$415,5,FALSE)</f>
        <v>0</v>
      </c>
      <c r="M55" s="75">
        <f>VLOOKUP(I55,Справочник!$A$2:$F$415,6,FALSE)</f>
        <v>0</v>
      </c>
    </row>
    <row r="56" spans="1:13">
      <c r="A56" s="278" t="str">
        <f t="shared" si="0"/>
        <v>"Penson Group"</v>
      </c>
      <c r="B56" s="459" t="s">
        <v>608</v>
      </c>
      <c r="C56" s="490">
        <v>2611566332.8999996</v>
      </c>
      <c r="D56" s="490">
        <v>2624170346.8000002</v>
      </c>
      <c r="E56" s="75" t="e">
        <f>VLOOKUP(B56,Справочник!$A$2:$F$415,5,FALSE)</f>
        <v>#N/A</v>
      </c>
      <c r="F56" s="75" t="e">
        <f>VLOOKUP(B56,Справочник!$A$2:$F$415,6,FALSE)</f>
        <v>#N/A</v>
      </c>
      <c r="H56" s="278" t="str">
        <f t="shared" si="1"/>
        <v>"Penson Group"</v>
      </c>
      <c r="I56" s="488">
        <v>7210</v>
      </c>
      <c r="J56" s="443">
        <v>877639.4</v>
      </c>
      <c r="K56" s="443">
        <v>35850340.75</v>
      </c>
      <c r="L56" s="75" t="str">
        <f>VLOOKUP(I56,Справочник!$A$2:$F$415,5,FALSE)</f>
        <v>прочие поступления</v>
      </c>
      <c r="M56" s="75" t="str">
        <f>VLOOKUP(I56,Справочник!$A$2:$F$415,6,FALSE)</f>
        <v>прочие выплаты</v>
      </c>
    </row>
    <row r="57" spans="1:13" ht="24">
      <c r="A57" s="278" t="str">
        <f t="shared" si="0"/>
        <v>"Penson Group"</v>
      </c>
      <c r="B57" s="459" t="s">
        <v>698</v>
      </c>
      <c r="C57" s="490">
        <v>702802768.25</v>
      </c>
      <c r="D57" s="409"/>
      <c r="E57" s="75" t="e">
        <f>VLOOKUP(B57,Справочник!$A$2:$F$415,5,FALSE)</f>
        <v>#N/A</v>
      </c>
      <c r="F57" s="75" t="e">
        <f>VLOOKUP(B57,Справочник!$A$2:$F$415,6,FALSE)</f>
        <v>#N/A</v>
      </c>
      <c r="H57" s="278" t="str">
        <f t="shared" si="1"/>
        <v>"Penson Group"</v>
      </c>
      <c r="I57" s="488">
        <v>7400</v>
      </c>
      <c r="J57" s="444"/>
      <c r="K57" s="443">
        <v>125026.51</v>
      </c>
      <c r="L57" s="75">
        <f>VLOOKUP(I57,Справочник!$A$2:$F$415,5,FALSE)</f>
        <v>0</v>
      </c>
      <c r="M57" s="75">
        <f>VLOOKUP(I57,Справочник!$A$2:$F$415,6,FALSE)</f>
        <v>0</v>
      </c>
    </row>
    <row r="58" spans="1:13">
      <c r="A58" s="278" t="str">
        <f t="shared" si="0"/>
        <v>"Penson Group"</v>
      </c>
      <c r="B58" s="406"/>
      <c r="C58" s="407"/>
      <c r="D58" s="409"/>
      <c r="E58" s="75">
        <f>VLOOKUP(B58,Справочник!$A$2:$F$415,5,FALSE)</f>
        <v>0</v>
      </c>
      <c r="F58" s="75">
        <f>VLOOKUP(B58,Справочник!$A$2:$F$415,6,FALSE)</f>
        <v>0</v>
      </c>
      <c r="H58" s="278" t="str">
        <f t="shared" si="1"/>
        <v>"Penson Group"</v>
      </c>
      <c r="I58" s="488">
        <v>7470</v>
      </c>
      <c r="J58" s="444"/>
      <c r="K58" s="443">
        <v>125026.51</v>
      </c>
      <c r="L58" s="75" t="str">
        <f>VLOOKUP(I58,Справочник!$A$2:$F$415,5,FALSE)</f>
        <v>прочие поступления</v>
      </c>
      <c r="M58" s="75" t="str">
        <f>VLOOKUP(I58,Справочник!$A$2:$F$415,6,FALSE)</f>
        <v>прочие выплаты</v>
      </c>
    </row>
    <row r="59" spans="1:13">
      <c r="A59" s="278" t="str">
        <f t="shared" si="0"/>
        <v>"Penson Group"</v>
      </c>
      <c r="B59" s="406"/>
      <c r="C59" s="408"/>
      <c r="D59" s="407"/>
      <c r="E59" s="75">
        <f>VLOOKUP(B59,Справочник!$A$2:$F$415,5,FALSE)</f>
        <v>0</v>
      </c>
      <c r="F59" s="75">
        <f>VLOOKUP(B59,Справочник!$A$2:$F$415,6,FALSE)</f>
        <v>0</v>
      </c>
      <c r="H59" s="278" t="str">
        <f t="shared" si="1"/>
        <v>"Penson Group"</v>
      </c>
      <c r="I59" s="489" t="s">
        <v>608</v>
      </c>
      <c r="J59" s="490">
        <v>4740702052.3899994</v>
      </c>
      <c r="K59" s="490">
        <v>4851963154.6800003</v>
      </c>
      <c r="L59" s="75" t="e">
        <f>VLOOKUP(I59,Справочник!$A$2:$F$415,5,FALSE)</f>
        <v>#N/A</v>
      </c>
      <c r="M59" s="75" t="e">
        <f>VLOOKUP(I59,Справочник!$A$2:$F$415,6,FALSE)</f>
        <v>#N/A</v>
      </c>
    </row>
    <row r="60" spans="1:13" ht="24">
      <c r="A60" s="278" t="str">
        <f t="shared" si="0"/>
        <v>"Penson Group"</v>
      </c>
      <c r="B60" s="406"/>
      <c r="C60" s="408"/>
      <c r="D60" s="407"/>
      <c r="E60" s="75">
        <f>VLOOKUP(B60,Справочник!$A$2:$F$415,5,FALSE)</f>
        <v>0</v>
      </c>
      <c r="F60" s="75">
        <f>VLOOKUP(B60,Справочник!$A$2:$F$415,6,FALSE)</f>
        <v>0</v>
      </c>
      <c r="H60" s="278" t="str">
        <f t="shared" si="1"/>
        <v>"Penson Group"</v>
      </c>
      <c r="I60" s="459" t="s">
        <v>698</v>
      </c>
      <c r="J60" s="490">
        <v>715406782.14999998</v>
      </c>
      <c r="K60" s="407"/>
      <c r="L60" s="75" t="e">
        <f>VLOOKUP(I60,Справочник!$A$2:$F$415,5,FALSE)</f>
        <v>#N/A</v>
      </c>
      <c r="M60" s="75" t="e">
        <f>VLOOKUP(I60,Справочник!$A$2:$F$415,6,FALSE)</f>
        <v>#N/A</v>
      </c>
    </row>
    <row r="61" spans="1:13">
      <c r="A61" s="278" t="str">
        <f t="shared" si="0"/>
        <v>"Penson Group"</v>
      </c>
      <c r="B61" s="406"/>
      <c r="C61" s="408"/>
      <c r="D61" s="407"/>
      <c r="E61" s="75">
        <f>VLOOKUP(B61,Справочник!$A$2:$F$415,5,FALSE)</f>
        <v>0</v>
      </c>
      <c r="F61" s="75">
        <f>VLOOKUP(B61,Справочник!$A$2:$F$415,6,FALSE)</f>
        <v>0</v>
      </c>
      <c r="H61" s="278" t="str">
        <f t="shared" si="1"/>
        <v>"Penson Group"</v>
      </c>
      <c r="I61" s="406"/>
      <c r="J61" s="408"/>
      <c r="K61" s="407"/>
      <c r="L61" s="75">
        <f>VLOOKUP(I61,Справочник!$A$2:$F$415,5,FALSE)</f>
        <v>0</v>
      </c>
      <c r="M61" s="75">
        <f>VLOOKUP(I61,Справочник!$A$2:$F$415,6,FALSE)</f>
        <v>0</v>
      </c>
    </row>
    <row r="62" spans="1:13">
      <c r="A62" s="278" t="str">
        <f t="shared" si="0"/>
        <v>"Penson Group"</v>
      </c>
      <c r="B62" s="406"/>
      <c r="C62" s="408"/>
      <c r="D62" s="407"/>
      <c r="E62" s="75">
        <f>VLOOKUP(B62,Справочник!$A$2:$F$415,5,FALSE)</f>
        <v>0</v>
      </c>
      <c r="F62" s="75">
        <f>VLOOKUP(B62,Справочник!$A$2:$F$415,6,FALSE)</f>
        <v>0</v>
      </c>
      <c r="H62" s="278" t="str">
        <f t="shared" si="1"/>
        <v>"Penson Group"</v>
      </c>
      <c r="I62" s="406"/>
      <c r="J62" s="408"/>
      <c r="K62" s="407"/>
      <c r="L62" s="75">
        <f>VLOOKUP(I62,Справочник!$A$2:$F$415,5,FALSE)</f>
        <v>0</v>
      </c>
      <c r="M62" s="75">
        <f>VLOOKUP(I62,Справочник!$A$2:$F$415,6,FALSE)</f>
        <v>0</v>
      </c>
    </row>
    <row r="63" spans="1:13">
      <c r="A63" s="278" t="str">
        <f t="shared" si="0"/>
        <v>"Penson Group"</v>
      </c>
      <c r="B63" s="403"/>
      <c r="C63" s="404"/>
      <c r="D63" s="404"/>
      <c r="E63" s="75"/>
      <c r="F63" s="75"/>
      <c r="H63" s="278" t="str">
        <f t="shared" si="1"/>
        <v>"Penson Group"</v>
      </c>
      <c r="I63" s="403"/>
      <c r="J63" s="404"/>
      <c r="K63" s="404"/>
      <c r="L63" s="75">
        <f>VLOOKUP(I63,Справочник!$A$2:$F$415,5,FALSE)</f>
        <v>0</v>
      </c>
      <c r="M63" s="75">
        <f>VLOOKUP(I63,Справочник!$A$2:$F$415,6,FALSE)</f>
        <v>0</v>
      </c>
    </row>
    <row r="64" spans="1:13">
      <c r="A64" s="278" t="str">
        <f t="shared" si="0"/>
        <v>"Penson Group"</v>
      </c>
      <c r="B64" s="403"/>
      <c r="C64" s="404"/>
      <c r="D64" s="405"/>
      <c r="E64" s="75"/>
      <c r="F64" s="75"/>
      <c r="H64" s="278" t="str">
        <f t="shared" si="1"/>
        <v>"Penson Group"</v>
      </c>
      <c r="I64" s="403"/>
      <c r="J64" s="404"/>
      <c r="K64" s="405"/>
      <c r="L64" s="75">
        <f>VLOOKUP(I64,Справочник!$A$2:$F$415,5,FALSE)</f>
        <v>0</v>
      </c>
      <c r="M64" s="75">
        <f>VLOOKUP(I64,Справочник!$A$2:$F$415,6,FALSE)</f>
        <v>0</v>
      </c>
    </row>
    <row r="65" spans="1:13">
      <c r="A65" s="278" t="str">
        <f t="shared" si="0"/>
        <v>"Penson Group"</v>
      </c>
      <c r="B65" s="381"/>
      <c r="C65" s="382"/>
      <c r="D65" s="382"/>
      <c r="E65" s="75">
        <f>VLOOKUP(B65,Справочник!$A$2:$F$415,5,FALSE)</f>
        <v>0</v>
      </c>
      <c r="F65" s="75">
        <f>VLOOKUP(B65,Справочник!$A$2:$F$415,6,FALSE)</f>
        <v>0</v>
      </c>
      <c r="H65" s="278" t="str">
        <f t="shared" si="1"/>
        <v>"Penson Group"</v>
      </c>
      <c r="I65" s="381"/>
      <c r="J65" s="382"/>
      <c r="K65" s="383"/>
      <c r="L65" s="75">
        <f>VLOOKUP(I65,Справочник!$A$2:$F$415,5,FALSE)</f>
        <v>0</v>
      </c>
      <c r="M65" s="75">
        <f>VLOOKUP(I65,Справочник!$A$2:$F$415,6,FALSE)</f>
        <v>0</v>
      </c>
    </row>
    <row r="66" spans="1:13">
      <c r="A66" s="278" t="str">
        <f t="shared" si="0"/>
        <v>"Penson Group"</v>
      </c>
      <c r="B66" s="381"/>
      <c r="C66" s="382"/>
      <c r="D66" s="383"/>
      <c r="E66" s="75">
        <f>VLOOKUP(B66,Справочник!$A$2:$F$415,5,FALSE)</f>
        <v>0</v>
      </c>
      <c r="F66" s="75">
        <f>VLOOKUP(B66,Справочник!$A$2:$F$415,6,FALSE)</f>
        <v>0</v>
      </c>
      <c r="H66" s="278" t="str">
        <f t="shared" si="1"/>
        <v>"Penson Group"</v>
      </c>
      <c r="I66" s="381"/>
      <c r="J66" s="382"/>
      <c r="K66" s="383"/>
      <c r="L66" s="75">
        <f>VLOOKUP(I66,Справочник!$A$2:$F$415,5,FALSE)</f>
        <v>0</v>
      </c>
      <c r="M66" s="75">
        <f>VLOOKUP(I66,Справочник!$A$2:$F$415,6,FALSE)</f>
        <v>0</v>
      </c>
    </row>
    <row r="67" spans="1:13">
      <c r="A67" s="278" t="str">
        <f t="shared" si="0"/>
        <v>"Penson Group"</v>
      </c>
      <c r="B67" s="381"/>
      <c r="C67" s="382"/>
      <c r="D67" s="383"/>
      <c r="E67" s="75">
        <f>VLOOKUP(B67,Справочник!$A$2:$F$415,5,FALSE)</f>
        <v>0</v>
      </c>
      <c r="F67" s="75">
        <f>VLOOKUP(B67,Справочник!$A$2:$F$415,6,FALSE)</f>
        <v>0</v>
      </c>
      <c r="H67" s="278" t="str">
        <f t="shared" si="1"/>
        <v>"Penson Group"</v>
      </c>
      <c r="I67" s="381"/>
      <c r="J67" s="384"/>
      <c r="K67" s="383"/>
      <c r="L67" s="75">
        <f>VLOOKUP(I67,Справочник!$A$2:$F$415,5,FALSE)</f>
        <v>0</v>
      </c>
      <c r="M67" s="75">
        <f>VLOOKUP(I67,Справочник!$A$2:$F$415,6,FALSE)</f>
        <v>0</v>
      </c>
    </row>
    <row r="68" spans="1:13">
      <c r="A68" s="278" t="str">
        <f t="shared" si="0"/>
        <v>"Penson Group"</v>
      </c>
      <c r="B68" s="381"/>
      <c r="C68" s="382"/>
      <c r="D68" s="383"/>
      <c r="E68" s="75">
        <f>VLOOKUP(B68,Справочник!$A$2:$F$415,5,FALSE)</f>
        <v>0</v>
      </c>
      <c r="F68" s="75">
        <f>VLOOKUP(B68,Справочник!$A$2:$F$415,6,FALSE)</f>
        <v>0</v>
      </c>
      <c r="H68" s="278" t="str">
        <f t="shared" si="1"/>
        <v>"Penson Group"</v>
      </c>
      <c r="I68" s="381"/>
      <c r="J68" s="383"/>
      <c r="K68" s="382"/>
      <c r="L68" s="75">
        <f>VLOOKUP(I68,Справочник!$A$2:$F$415,5,FALSE)</f>
        <v>0</v>
      </c>
      <c r="M68" s="75">
        <f>VLOOKUP(I68,Справочник!$A$2:$F$415,6,FALSE)</f>
        <v>0</v>
      </c>
    </row>
    <row r="69" spans="1:13">
      <c r="A69" s="278" t="str">
        <f t="shared" si="0"/>
        <v>"Penson Group"</v>
      </c>
      <c r="B69" s="381"/>
      <c r="C69" s="382"/>
      <c r="D69" s="383"/>
      <c r="E69" s="75">
        <f>VLOOKUP(B69,Справочник!$A$2:$F$415,5,FALSE)</f>
        <v>0</v>
      </c>
      <c r="F69" s="75">
        <f>VLOOKUP(B69,Справочник!$A$2:$F$415,6,FALSE)</f>
        <v>0</v>
      </c>
      <c r="H69" s="278" t="str">
        <f t="shared" si="1"/>
        <v>"Penson Group"</v>
      </c>
      <c r="I69" s="381"/>
      <c r="J69" s="383"/>
      <c r="K69" s="382"/>
      <c r="L69" s="75">
        <f>VLOOKUP(I69,Справочник!$A$2:$F$415,5,FALSE)</f>
        <v>0</v>
      </c>
      <c r="M69" s="75">
        <f>VLOOKUP(I69,Справочник!$A$2:$F$415,6,FALSE)</f>
        <v>0</v>
      </c>
    </row>
    <row r="70" spans="1:13">
      <c r="A70" s="278" t="str">
        <f t="shared" si="0"/>
        <v>"Penson Group"</v>
      </c>
      <c r="B70" s="381"/>
      <c r="C70" s="382"/>
      <c r="D70" s="384"/>
      <c r="E70" s="75">
        <f>VLOOKUP(B70,Справочник!$A$2:$F$415,5,FALSE)</f>
        <v>0</v>
      </c>
      <c r="F70" s="75">
        <f>VLOOKUP(B70,Справочник!$A$2:$F$415,6,FALSE)</f>
        <v>0</v>
      </c>
      <c r="H70" s="278" t="str">
        <f t="shared" si="1"/>
        <v>"Penson Group"</v>
      </c>
      <c r="I70" s="381"/>
      <c r="J70" s="383"/>
      <c r="K70" s="382"/>
      <c r="L70" s="75">
        <f>VLOOKUP(I70,Справочник!$A$2:$F$415,5,FALSE)</f>
        <v>0</v>
      </c>
      <c r="M70" s="75">
        <f>VLOOKUP(I70,Справочник!$A$2:$F$415,6,FALSE)</f>
        <v>0</v>
      </c>
    </row>
    <row r="71" spans="1:13">
      <c r="A71" s="278" t="str">
        <f t="shared" si="0"/>
        <v>"Penson Group"</v>
      </c>
      <c r="B71" s="381"/>
      <c r="C71" s="382"/>
      <c r="D71" s="384"/>
      <c r="E71" s="75">
        <f>VLOOKUP(B71,Справочник!$A$2:$F$415,5,FALSE)</f>
        <v>0</v>
      </c>
      <c r="F71" s="75">
        <f>VLOOKUP(B71,Справочник!$A$2:$F$415,6,FALSE)</f>
        <v>0</v>
      </c>
      <c r="H71" s="278" t="str">
        <f t="shared" si="1"/>
        <v>"Penson Group"</v>
      </c>
      <c r="I71" s="381"/>
      <c r="J71" s="383"/>
      <c r="K71" s="382"/>
      <c r="L71" s="75">
        <f>VLOOKUP(I71,Справочник!$A$2:$F$415,5,FALSE)</f>
        <v>0</v>
      </c>
      <c r="M71" s="75">
        <f>VLOOKUP(I71,Справочник!$A$2:$F$415,6,FALSE)</f>
        <v>0</v>
      </c>
    </row>
    <row r="72" spans="1:13">
      <c r="A72" s="278" t="str">
        <f t="shared" si="0"/>
        <v>"Penson Group"</v>
      </c>
      <c r="B72" s="381"/>
      <c r="C72" s="382"/>
      <c r="D72" s="383"/>
      <c r="E72" s="75">
        <f>VLOOKUP(B72,Справочник!$A$2:$F$415,5,FALSE)</f>
        <v>0</v>
      </c>
      <c r="F72" s="75">
        <f>VLOOKUP(B72,Справочник!$A$2:$F$415,6,FALSE)</f>
        <v>0</v>
      </c>
      <c r="H72" s="278" t="str">
        <f t="shared" si="1"/>
        <v>"Penson Group"</v>
      </c>
      <c r="I72" s="381"/>
      <c r="J72" s="383"/>
      <c r="K72" s="382"/>
      <c r="L72" s="75">
        <f>VLOOKUP(I72,Справочник!$A$2:$F$415,5,FALSE)</f>
        <v>0</v>
      </c>
      <c r="M72" s="75">
        <f>VLOOKUP(I72,Справочник!$A$2:$F$415,6,FALSE)</f>
        <v>0</v>
      </c>
    </row>
    <row r="73" spans="1:13">
      <c r="A73" s="278" t="str">
        <f t="shared" si="0"/>
        <v>"Penson Group"</v>
      </c>
      <c r="B73" s="381"/>
      <c r="C73" s="383"/>
      <c r="D73" s="382"/>
      <c r="E73" s="75">
        <f>VLOOKUP(B73,Справочник!$A$2:$F$415,5,FALSE)</f>
        <v>0</v>
      </c>
      <c r="F73" s="75">
        <f>VLOOKUP(B73,Справочник!$A$2:$F$415,6,FALSE)</f>
        <v>0</v>
      </c>
      <c r="H73" s="278" t="str">
        <f t="shared" si="1"/>
        <v>"Penson Group"</v>
      </c>
      <c r="I73" s="279"/>
      <c r="J73" s="280"/>
      <c r="K73" s="239"/>
      <c r="L73" s="75">
        <f>VLOOKUP(I73,Справочник!$A$2:$F$415,5,FALSE)</f>
        <v>0</v>
      </c>
      <c r="M73" s="75">
        <f>VLOOKUP(I73,Справочник!$A$2:$F$415,6,FALSE)</f>
        <v>0</v>
      </c>
    </row>
    <row r="74" spans="1:13">
      <c r="A74" s="278" t="str">
        <f t="shared" ref="A74:A77" si="2">A73</f>
        <v>"Penson Group"</v>
      </c>
      <c r="B74" s="381"/>
      <c r="C74" s="383"/>
      <c r="D74" s="382"/>
      <c r="E74" s="75">
        <f>VLOOKUP(B74,Справочник!$A$2:$F$415,5,FALSE)</f>
        <v>0</v>
      </c>
      <c r="F74" s="75">
        <f>VLOOKUP(B74,Справочник!$A$2:$F$415,6,FALSE)</f>
        <v>0</v>
      </c>
      <c r="H74" s="278" t="str">
        <f t="shared" ref="H74:H77" si="3">H73</f>
        <v>"Penson Group"</v>
      </c>
      <c r="I74" s="279"/>
      <c r="J74" s="238"/>
      <c r="K74" s="239"/>
      <c r="L74" s="75">
        <f>VLOOKUP(I74,Справочник!$A$2:$F$415,5,FALSE)</f>
        <v>0</v>
      </c>
      <c r="M74" s="75">
        <f>VLOOKUP(I74,Справочник!$A$2:$F$415,6,FALSE)</f>
        <v>0</v>
      </c>
    </row>
    <row r="75" spans="1:13">
      <c r="A75" s="278" t="str">
        <f t="shared" si="2"/>
        <v>"Penson Group"</v>
      </c>
      <c r="B75" s="381"/>
      <c r="C75" s="383"/>
      <c r="D75" s="382"/>
      <c r="E75" s="75">
        <f>VLOOKUP(B75,Справочник!$A$2:$F$415,5,FALSE)</f>
        <v>0</v>
      </c>
      <c r="F75" s="75">
        <f>VLOOKUP(B75,Справочник!$A$2:$F$415,6,FALSE)</f>
        <v>0</v>
      </c>
      <c r="H75" s="278" t="str">
        <f t="shared" si="3"/>
        <v>"Penson Group"</v>
      </c>
      <c r="I75" s="279"/>
      <c r="J75" s="238"/>
      <c r="K75" s="281"/>
      <c r="L75" s="75">
        <f>VLOOKUP(I75,Справочник!$A$2:$F$415,5,FALSE)</f>
        <v>0</v>
      </c>
      <c r="M75" s="75">
        <f>VLOOKUP(I75,Справочник!$A$2:$F$415,6,FALSE)</f>
        <v>0</v>
      </c>
    </row>
    <row r="76" spans="1:13">
      <c r="A76" s="278" t="str">
        <f t="shared" si="2"/>
        <v>"Penson Group"</v>
      </c>
      <c r="B76" s="381"/>
      <c r="C76" s="383"/>
      <c r="D76" s="382"/>
      <c r="E76" s="75">
        <f>VLOOKUP(B76,Справочник!$A$2:$F$415,5,FALSE)</f>
        <v>0</v>
      </c>
      <c r="F76" s="75">
        <f>VLOOKUP(B76,Справочник!$A$2:$F$415,6,FALSE)</f>
        <v>0</v>
      </c>
      <c r="H76" s="278" t="str">
        <f t="shared" si="3"/>
        <v>"Penson Group"</v>
      </c>
      <c r="I76" s="279"/>
      <c r="J76" s="280"/>
      <c r="K76" s="239"/>
      <c r="L76" s="75">
        <f>VLOOKUP(I76,Справочник!$A$2:$F$415,5,FALSE)</f>
        <v>0</v>
      </c>
      <c r="M76" s="75">
        <f>VLOOKUP(I76,Справочник!$A$2:$F$415,6,FALSE)</f>
        <v>0</v>
      </c>
    </row>
    <row r="77" spans="1:13" ht="15.75" thickBot="1">
      <c r="A77" s="278" t="str">
        <f t="shared" si="2"/>
        <v>"Penson Group"</v>
      </c>
      <c r="B77" s="381"/>
      <c r="C77" s="383"/>
      <c r="D77" s="382"/>
      <c r="E77" s="75">
        <f>VLOOKUP(B77,Справочник!$A$2:$F$415,5,FALSE)</f>
        <v>0</v>
      </c>
      <c r="F77" s="75">
        <f>VLOOKUP(B77,Справочник!$A$2:$F$415,6,FALSE)</f>
        <v>0</v>
      </c>
      <c r="H77" s="278" t="str">
        <f t="shared" si="3"/>
        <v>"Penson Group"</v>
      </c>
      <c r="I77" s="279"/>
      <c r="J77" s="280"/>
      <c r="K77" s="239"/>
      <c r="L77" s="75">
        <f>VLOOKUP(I77,Справочник!$A$2:$F$415,5,FALSE)</f>
        <v>0</v>
      </c>
      <c r="M77" s="75">
        <f>VLOOKUP(I77,Справочник!$A$2:$F$415,6,FALSE)</f>
        <v>0</v>
      </c>
    </row>
    <row r="78" spans="1:13">
      <c r="A78" s="282" t="s">
        <v>696</v>
      </c>
      <c r="B78" s="283"/>
      <c r="C78" s="385"/>
      <c r="D78" s="385"/>
      <c r="E78" s="75"/>
      <c r="F78" s="75"/>
      <c r="H78" s="282" t="s">
        <v>696</v>
      </c>
      <c r="I78" s="283"/>
      <c r="J78" s="385"/>
      <c r="K78" s="385"/>
      <c r="L78" s="75"/>
      <c r="M78" s="75"/>
    </row>
    <row r="79" spans="1:13" ht="15.75" thickBot="1">
      <c r="A79" s="284"/>
      <c r="B79" s="285"/>
      <c r="C79" s="385"/>
      <c r="D79" s="386"/>
      <c r="H79" s="284"/>
      <c r="I79" s="285"/>
      <c r="J79" s="385"/>
      <c r="K79" s="386"/>
      <c r="L79" s="75"/>
      <c r="M79" s="75"/>
    </row>
    <row r="80" spans="1:13">
      <c r="C80" s="467">
        <f>SUBTOTAL(9,C16:C77)</f>
        <v>4841778000.3099995</v>
      </c>
      <c r="D80" s="467">
        <f>SUBTOTAL(9,D16:D77)</f>
        <v>4202831878.7600002</v>
      </c>
      <c r="J80" s="467">
        <f>SUBTOTAL(9,J17:J72)</f>
        <v>7663956642.1999989</v>
      </c>
      <c r="K80" s="467">
        <f>SUBTOTAL(9,K17:K72)</f>
        <v>7229676179.9200001</v>
      </c>
    </row>
    <row r="81" spans="3:10">
      <c r="C81" s="387">
        <f>C80+C8-D80</f>
        <v>1354352903.6999989</v>
      </c>
      <c r="J81" s="387">
        <f>J80+J8-K80</f>
        <v>1260948346.7199993</v>
      </c>
    </row>
    <row r="83" spans="3:10">
      <c r="C83" s="467">
        <v>763116289.57999992</v>
      </c>
      <c r="D83" s="537">
        <f>SUBTOTAL(9,D17:D55)</f>
        <v>1551034623.96</v>
      </c>
    </row>
    <row r="84" spans="3:10">
      <c r="C84" s="387">
        <f>C8+C83-D83</f>
        <v>-72511552.230000019</v>
      </c>
    </row>
  </sheetData>
  <autoFilter ref="A7:M696"/>
  <mergeCells count="4">
    <mergeCell ref="A3:C3"/>
    <mergeCell ref="H3:J3"/>
    <mergeCell ref="A4:C4"/>
    <mergeCell ref="H4:J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56"/>
  <sheetViews>
    <sheetView topLeftCell="A187" workbookViewId="0">
      <selection activeCell="E226" sqref="E226:F226"/>
    </sheetView>
  </sheetViews>
  <sheetFormatPr defaultRowHeight="15"/>
  <cols>
    <col min="2" max="2" width="64.140625" customWidth="1"/>
    <col min="3" max="3" width="32" style="11" customWidth="1"/>
    <col min="4" max="4" width="11.28515625" style="221" customWidth="1"/>
    <col min="5" max="5" width="24.7109375" style="222" customWidth="1"/>
    <col min="6" max="6" width="25.42578125" style="388" customWidth="1"/>
    <col min="7" max="16384" width="9.140625" style="223"/>
  </cols>
  <sheetData>
    <row r="1" spans="1:6">
      <c r="A1" s="5" t="s">
        <v>77</v>
      </c>
      <c r="B1" s="5" t="s">
        <v>78</v>
      </c>
      <c r="D1" s="221" t="s">
        <v>679</v>
      </c>
      <c r="E1" s="218" t="s">
        <v>650</v>
      </c>
      <c r="F1" s="219" t="s">
        <v>651</v>
      </c>
    </row>
    <row r="2" spans="1:6">
      <c r="A2" s="7">
        <v>0</v>
      </c>
      <c r="B2" s="6" t="s">
        <v>79</v>
      </c>
    </row>
    <row r="3" spans="1:6">
      <c r="A3" s="9">
        <v>1000</v>
      </c>
      <c r="B3" s="8" t="s">
        <v>72</v>
      </c>
    </row>
    <row r="4" spans="1:6" ht="15" customHeight="1">
      <c r="A4" s="10">
        <v>1010</v>
      </c>
      <c r="B4" s="6" t="s">
        <v>80</v>
      </c>
      <c r="C4" s="11" t="s">
        <v>390</v>
      </c>
    </row>
    <row r="5" spans="1:6">
      <c r="A5" s="9">
        <v>1020</v>
      </c>
      <c r="B5" s="8" t="s">
        <v>81</v>
      </c>
    </row>
    <row r="6" spans="1:6">
      <c r="A6" s="10">
        <v>1021</v>
      </c>
      <c r="B6" s="6" t="s">
        <v>81</v>
      </c>
      <c r="C6" s="11" t="s">
        <v>390</v>
      </c>
    </row>
    <row r="7" spans="1:6">
      <c r="A7" s="10">
        <v>1022</v>
      </c>
      <c r="B7" s="6" t="s">
        <v>82</v>
      </c>
      <c r="C7" s="11" t="s">
        <v>390</v>
      </c>
    </row>
    <row r="8" spans="1:6">
      <c r="A8" s="10">
        <v>1030</v>
      </c>
      <c r="B8" s="6" t="s">
        <v>83</v>
      </c>
      <c r="C8" s="11" t="s">
        <v>390</v>
      </c>
    </row>
    <row r="9" spans="1:6">
      <c r="A9" s="69">
        <v>1040</v>
      </c>
      <c r="B9" s="70" t="s">
        <v>84</v>
      </c>
      <c r="C9" s="220" t="s">
        <v>390</v>
      </c>
    </row>
    <row r="10" spans="1:6">
      <c r="A10" s="67">
        <v>1041</v>
      </c>
      <c r="B10" s="68" t="s">
        <v>563</v>
      </c>
      <c r="C10" s="11" t="s">
        <v>390</v>
      </c>
    </row>
    <row r="11" spans="1:6">
      <c r="A11" s="10">
        <v>1050</v>
      </c>
      <c r="B11" s="6" t="s">
        <v>85</v>
      </c>
      <c r="C11" s="11" t="s">
        <v>390</v>
      </c>
    </row>
    <row r="12" spans="1:6">
      <c r="A12" s="10">
        <v>1060</v>
      </c>
      <c r="B12" s="6" t="s">
        <v>86</v>
      </c>
      <c r="C12" s="11" t="s">
        <v>390</v>
      </c>
    </row>
    <row r="13" spans="1:6">
      <c r="A13" s="9">
        <v>1100</v>
      </c>
      <c r="B13" s="8" t="s">
        <v>87</v>
      </c>
    </row>
    <row r="14" spans="1:6">
      <c r="A14" s="9">
        <v>1110</v>
      </c>
      <c r="B14" s="8" t="s">
        <v>88</v>
      </c>
      <c r="C14" s="11" t="s">
        <v>395</v>
      </c>
      <c r="E14" s="389" t="s">
        <v>682</v>
      </c>
      <c r="F14" s="389" t="s">
        <v>506</v>
      </c>
    </row>
    <row r="15" spans="1:6">
      <c r="A15" s="10">
        <v>1111</v>
      </c>
      <c r="B15" s="6" t="s">
        <v>88</v>
      </c>
      <c r="C15" s="11" t="s">
        <v>395</v>
      </c>
      <c r="E15" s="389" t="s">
        <v>682</v>
      </c>
      <c r="F15" s="389" t="s">
        <v>506</v>
      </c>
    </row>
    <row r="16" spans="1:6">
      <c r="A16" s="10">
        <v>1112</v>
      </c>
      <c r="B16" s="6" t="s">
        <v>88</v>
      </c>
      <c r="C16" s="11" t="s">
        <v>395</v>
      </c>
    </row>
    <row r="17" spans="1:6">
      <c r="A17" s="10">
        <v>1120</v>
      </c>
      <c r="B17" s="6" t="s">
        <v>89</v>
      </c>
      <c r="C17" s="11" t="s">
        <v>652</v>
      </c>
    </row>
    <row r="18" spans="1:6">
      <c r="A18" s="10">
        <v>1130</v>
      </c>
      <c r="B18" s="6" t="s">
        <v>90</v>
      </c>
      <c r="C18" s="11" t="s">
        <v>653</v>
      </c>
    </row>
    <row r="19" spans="1:6">
      <c r="A19" s="10">
        <v>1140</v>
      </c>
      <c r="B19" s="6" t="s">
        <v>91</v>
      </c>
      <c r="C19" s="11" t="s">
        <v>395</v>
      </c>
    </row>
    <row r="20" spans="1:6">
      <c r="A20" s="10">
        <v>1150</v>
      </c>
      <c r="B20" s="6" t="s">
        <v>92</v>
      </c>
      <c r="C20" s="11" t="s">
        <v>395</v>
      </c>
    </row>
    <row r="21" spans="1:6">
      <c r="A21" s="9">
        <v>1200</v>
      </c>
      <c r="B21" s="8" t="s">
        <v>93</v>
      </c>
    </row>
    <row r="22" spans="1:6">
      <c r="A22" s="69">
        <v>1210</v>
      </c>
      <c r="B22" s="70" t="s">
        <v>94</v>
      </c>
      <c r="C22" s="220" t="s">
        <v>396</v>
      </c>
      <c r="D22" s="221" t="s">
        <v>680</v>
      </c>
      <c r="E22" s="390" t="s">
        <v>463</v>
      </c>
      <c r="F22" s="390" t="s">
        <v>476</v>
      </c>
    </row>
    <row r="23" spans="1:6">
      <c r="A23" s="67">
        <v>1211</v>
      </c>
      <c r="B23" s="68" t="s">
        <v>94</v>
      </c>
      <c r="C23" s="11" t="s">
        <v>396</v>
      </c>
      <c r="D23" s="221" t="s">
        <v>680</v>
      </c>
      <c r="E23" s="390" t="s">
        <v>463</v>
      </c>
      <c r="F23" s="390" t="s">
        <v>476</v>
      </c>
    </row>
    <row r="24" spans="1:6">
      <c r="A24" s="10">
        <v>1220</v>
      </c>
      <c r="B24" s="6" t="s">
        <v>95</v>
      </c>
      <c r="C24" s="11" t="s">
        <v>396</v>
      </c>
      <c r="D24" s="221" t="s">
        <v>680</v>
      </c>
      <c r="E24" s="390" t="s">
        <v>464</v>
      </c>
      <c r="F24" s="390" t="s">
        <v>476</v>
      </c>
    </row>
    <row r="25" spans="1:6">
      <c r="A25" s="10">
        <v>1230</v>
      </c>
      <c r="B25" s="6" t="s">
        <v>96</v>
      </c>
      <c r="C25" s="11" t="s">
        <v>396</v>
      </c>
      <c r="D25" s="221" t="s">
        <v>680</v>
      </c>
      <c r="E25" s="390" t="s">
        <v>464</v>
      </c>
      <c r="F25" s="390" t="s">
        <v>476</v>
      </c>
    </row>
    <row r="26" spans="1:6">
      <c r="A26" s="10">
        <v>1240</v>
      </c>
      <c r="B26" s="6" t="s">
        <v>97</v>
      </c>
      <c r="C26" s="11" t="s">
        <v>396</v>
      </c>
      <c r="D26" s="221" t="s">
        <v>680</v>
      </c>
      <c r="E26" s="390" t="s">
        <v>464</v>
      </c>
      <c r="F26" s="390" t="s">
        <v>476</v>
      </c>
    </row>
    <row r="27" spans="1:6">
      <c r="A27" s="9">
        <v>1250</v>
      </c>
      <c r="B27" s="8" t="s">
        <v>98</v>
      </c>
      <c r="E27" s="390"/>
      <c r="F27" s="390"/>
    </row>
    <row r="28" spans="1:6">
      <c r="A28" s="10">
        <v>1251</v>
      </c>
      <c r="B28" s="6" t="s">
        <v>99</v>
      </c>
      <c r="C28" s="11" t="s">
        <v>396</v>
      </c>
      <c r="D28" s="221" t="s">
        <v>680</v>
      </c>
      <c r="E28" s="390" t="s">
        <v>468</v>
      </c>
      <c r="F28" s="390" t="s">
        <v>476</v>
      </c>
    </row>
    <row r="29" spans="1:6">
      <c r="A29" s="10">
        <v>1252</v>
      </c>
      <c r="B29" s="6" t="s">
        <v>100</v>
      </c>
      <c r="C29" s="11" t="s">
        <v>396</v>
      </c>
      <c r="D29" s="221" t="s">
        <v>680</v>
      </c>
      <c r="E29" s="390" t="s">
        <v>468</v>
      </c>
      <c r="F29" s="390" t="s">
        <v>476</v>
      </c>
    </row>
    <row r="30" spans="1:6">
      <c r="A30" s="10">
        <v>1253</v>
      </c>
      <c r="B30" s="6" t="s">
        <v>101</v>
      </c>
      <c r="C30" s="11" t="s">
        <v>396</v>
      </c>
      <c r="D30" s="221" t="s">
        <v>680</v>
      </c>
      <c r="E30" s="390" t="s">
        <v>468</v>
      </c>
      <c r="F30" s="390" t="s">
        <v>476</v>
      </c>
    </row>
    <row r="31" spans="1:6">
      <c r="A31" s="10">
        <v>1254</v>
      </c>
      <c r="B31" s="6" t="s">
        <v>102</v>
      </c>
      <c r="C31" s="11" t="s">
        <v>396</v>
      </c>
      <c r="D31" s="221" t="s">
        <v>680</v>
      </c>
      <c r="E31" s="390" t="s">
        <v>468</v>
      </c>
      <c r="F31" s="390" t="s">
        <v>476</v>
      </c>
    </row>
    <row r="32" spans="1:6">
      <c r="A32" s="10">
        <v>1260</v>
      </c>
      <c r="B32" s="6" t="s">
        <v>103</v>
      </c>
      <c r="C32" s="11" t="s">
        <v>396</v>
      </c>
      <c r="D32" s="221" t="s">
        <v>680</v>
      </c>
      <c r="E32" s="390" t="s">
        <v>463</v>
      </c>
      <c r="F32" s="390" t="s">
        <v>476</v>
      </c>
    </row>
    <row r="33" spans="1:6">
      <c r="A33" s="10">
        <v>1270</v>
      </c>
      <c r="B33" s="6" t="s">
        <v>104</v>
      </c>
      <c r="C33" s="11" t="s">
        <v>396</v>
      </c>
      <c r="D33" s="221" t="s">
        <v>680</v>
      </c>
      <c r="E33" s="390" t="s">
        <v>467</v>
      </c>
      <c r="F33" s="390" t="s">
        <v>476</v>
      </c>
    </row>
    <row r="34" spans="1:6">
      <c r="A34" s="9">
        <v>1280</v>
      </c>
      <c r="B34" s="8" t="s">
        <v>105</v>
      </c>
      <c r="E34" s="390"/>
      <c r="F34" s="390"/>
    </row>
    <row r="35" spans="1:6">
      <c r="A35" s="10">
        <v>1281</v>
      </c>
      <c r="B35" s="6" t="s">
        <v>106</v>
      </c>
      <c r="C35" s="11" t="s">
        <v>396</v>
      </c>
      <c r="D35" s="221" t="s">
        <v>680</v>
      </c>
      <c r="E35" s="390" t="s">
        <v>468</v>
      </c>
      <c r="F35" s="390" t="s">
        <v>476</v>
      </c>
    </row>
    <row r="36" spans="1:6">
      <c r="A36" s="10">
        <v>1282</v>
      </c>
      <c r="B36" s="6" t="s">
        <v>107</v>
      </c>
      <c r="C36" s="11" t="s">
        <v>396</v>
      </c>
      <c r="D36" s="221" t="s">
        <v>680</v>
      </c>
      <c r="E36" s="390" t="s">
        <v>468</v>
      </c>
      <c r="F36" s="390" t="s">
        <v>476</v>
      </c>
    </row>
    <row r="37" spans="1:6">
      <c r="A37" s="10">
        <v>1283</v>
      </c>
      <c r="B37" s="6" t="s">
        <v>108</v>
      </c>
      <c r="C37" s="11" t="s">
        <v>396</v>
      </c>
      <c r="D37" s="221" t="s">
        <v>680</v>
      </c>
      <c r="E37" s="390" t="s">
        <v>468</v>
      </c>
      <c r="F37" s="390" t="s">
        <v>476</v>
      </c>
    </row>
    <row r="38" spans="1:6">
      <c r="A38" s="10">
        <v>1284</v>
      </c>
      <c r="B38" s="6" t="s">
        <v>105</v>
      </c>
      <c r="C38" s="11" t="s">
        <v>396</v>
      </c>
      <c r="D38" s="221" t="s">
        <v>680</v>
      </c>
      <c r="E38" s="390" t="s">
        <v>468</v>
      </c>
      <c r="F38" s="390" t="s">
        <v>476</v>
      </c>
    </row>
    <row r="39" spans="1:6">
      <c r="A39" s="10">
        <v>1290</v>
      </c>
      <c r="B39" s="6" t="s">
        <v>109</v>
      </c>
      <c r="C39" s="11" t="s">
        <v>396</v>
      </c>
      <c r="D39" s="221" t="s">
        <v>680</v>
      </c>
      <c r="E39" s="390" t="s">
        <v>468</v>
      </c>
      <c r="F39" s="390" t="s">
        <v>476</v>
      </c>
    </row>
    <row r="40" spans="1:6">
      <c r="A40" s="9">
        <v>1300</v>
      </c>
      <c r="B40" s="8" t="s">
        <v>110</v>
      </c>
    </row>
    <row r="41" spans="1:6">
      <c r="A41" s="69">
        <v>1310</v>
      </c>
      <c r="B41" s="70" t="s">
        <v>111</v>
      </c>
      <c r="C41" s="220"/>
    </row>
    <row r="42" spans="1:6">
      <c r="A42" s="401">
        <v>1310</v>
      </c>
      <c r="B42" s="402" t="s">
        <v>111</v>
      </c>
      <c r="C42" s="11" t="s">
        <v>110</v>
      </c>
    </row>
    <row r="43" spans="1:6">
      <c r="A43" s="67">
        <v>1311</v>
      </c>
      <c r="B43" s="68" t="s">
        <v>111</v>
      </c>
      <c r="C43" s="11" t="s">
        <v>110</v>
      </c>
    </row>
    <row r="44" spans="1:6">
      <c r="A44" s="399">
        <v>1312</v>
      </c>
      <c r="B44" s="400" t="s">
        <v>566</v>
      </c>
      <c r="C44" s="11" t="s">
        <v>110</v>
      </c>
    </row>
    <row r="45" spans="1:6">
      <c r="A45" s="67">
        <v>1313</v>
      </c>
      <c r="B45" s="68" t="s">
        <v>564</v>
      </c>
      <c r="C45" s="11" t="s">
        <v>110</v>
      </c>
    </row>
    <row r="46" spans="1:6">
      <c r="A46" s="67">
        <v>1316</v>
      </c>
      <c r="B46" s="68" t="s">
        <v>565</v>
      </c>
      <c r="C46" s="11" t="s">
        <v>110</v>
      </c>
    </row>
    <row r="47" spans="1:6">
      <c r="A47" s="67">
        <v>1318</v>
      </c>
      <c r="B47" s="68" t="s">
        <v>566</v>
      </c>
      <c r="C47" s="11" t="s">
        <v>110</v>
      </c>
    </row>
    <row r="48" spans="1:6">
      <c r="A48" s="67">
        <v>1321</v>
      </c>
      <c r="B48" s="68" t="s">
        <v>112</v>
      </c>
      <c r="C48" s="11" t="s">
        <v>110</v>
      </c>
    </row>
    <row r="49" spans="1:6">
      <c r="A49" s="399">
        <v>1330</v>
      </c>
      <c r="B49" s="400" t="s">
        <v>113</v>
      </c>
      <c r="C49" s="11" t="s">
        <v>110</v>
      </c>
    </row>
    <row r="50" spans="1:6">
      <c r="A50" s="67">
        <v>1331</v>
      </c>
      <c r="B50" s="68" t="s">
        <v>567</v>
      </c>
      <c r="C50" s="11" t="s">
        <v>110</v>
      </c>
    </row>
    <row r="51" spans="1:6">
      <c r="A51" s="10">
        <v>1320</v>
      </c>
      <c r="B51" s="6" t="s">
        <v>112</v>
      </c>
      <c r="C51" s="11" t="s">
        <v>110</v>
      </c>
    </row>
    <row r="52" spans="1:6">
      <c r="A52" s="10">
        <v>1330</v>
      </c>
      <c r="B52" s="6" t="s">
        <v>113</v>
      </c>
      <c r="C52" s="11" t="s">
        <v>110</v>
      </c>
    </row>
    <row r="53" spans="1:6">
      <c r="A53" s="9">
        <v>1340</v>
      </c>
      <c r="B53" s="8" t="s">
        <v>114</v>
      </c>
    </row>
    <row r="54" spans="1:6">
      <c r="A54" s="10">
        <v>1341</v>
      </c>
      <c r="B54" s="6" t="s">
        <v>115</v>
      </c>
      <c r="C54" s="11" t="s">
        <v>110</v>
      </c>
    </row>
    <row r="55" spans="1:6">
      <c r="A55" s="10">
        <v>1342</v>
      </c>
      <c r="B55" s="6" t="s">
        <v>116</v>
      </c>
      <c r="C55" s="11" t="s">
        <v>110</v>
      </c>
    </row>
    <row r="56" spans="1:6">
      <c r="A56" s="10">
        <v>1343</v>
      </c>
      <c r="B56" s="6" t="s">
        <v>117</v>
      </c>
      <c r="C56" s="11" t="s">
        <v>110</v>
      </c>
    </row>
    <row r="57" spans="1:6">
      <c r="A57" s="9">
        <v>1350</v>
      </c>
      <c r="B57" s="8" t="s">
        <v>118</v>
      </c>
      <c r="C57" s="11" t="s">
        <v>110</v>
      </c>
    </row>
    <row r="58" spans="1:6">
      <c r="A58" s="10">
        <v>1351</v>
      </c>
      <c r="B58" s="6" t="s">
        <v>119</v>
      </c>
      <c r="C58" s="11" t="s">
        <v>110</v>
      </c>
    </row>
    <row r="59" spans="1:6">
      <c r="A59" s="9">
        <v>1360</v>
      </c>
      <c r="B59" s="8" t="s">
        <v>120</v>
      </c>
    </row>
    <row r="60" spans="1:6">
      <c r="A60" s="10">
        <v>1361</v>
      </c>
      <c r="B60" s="6" t="s">
        <v>121</v>
      </c>
      <c r="C60" s="11" t="s">
        <v>110</v>
      </c>
    </row>
    <row r="61" spans="1:6">
      <c r="A61" s="10">
        <v>1362</v>
      </c>
      <c r="B61" s="6" t="s">
        <v>122</v>
      </c>
      <c r="C61" s="11" t="s">
        <v>110</v>
      </c>
    </row>
    <row r="62" spans="1:6">
      <c r="A62" s="10">
        <v>1363</v>
      </c>
      <c r="B62" s="6" t="s">
        <v>123</v>
      </c>
      <c r="C62" s="11" t="s">
        <v>110</v>
      </c>
    </row>
    <row r="63" spans="1:6">
      <c r="A63" s="9">
        <v>1400</v>
      </c>
      <c r="B63" s="8" t="s">
        <v>11</v>
      </c>
      <c r="E63" s="390"/>
      <c r="F63" s="390"/>
    </row>
    <row r="64" spans="1:6">
      <c r="A64" s="10">
        <v>1410</v>
      </c>
      <c r="B64" s="6" t="s">
        <v>74</v>
      </c>
      <c r="C64" s="11" t="s">
        <v>314</v>
      </c>
      <c r="D64" s="221" t="s">
        <v>680</v>
      </c>
      <c r="E64" s="390" t="s">
        <v>468</v>
      </c>
      <c r="F64" s="390" t="s">
        <v>475</v>
      </c>
    </row>
    <row r="65" spans="1:6">
      <c r="A65" s="10">
        <v>1420</v>
      </c>
      <c r="B65" s="6" t="s">
        <v>124</v>
      </c>
      <c r="C65" s="11" t="s">
        <v>13</v>
      </c>
      <c r="D65" s="221" t="s">
        <v>680</v>
      </c>
      <c r="E65" s="390" t="s">
        <v>468</v>
      </c>
      <c r="F65" s="390" t="s">
        <v>476</v>
      </c>
    </row>
    <row r="66" spans="1:6">
      <c r="A66" s="10">
        <v>1430</v>
      </c>
      <c r="B66" s="6" t="s">
        <v>125</v>
      </c>
      <c r="C66" s="11" t="s">
        <v>13</v>
      </c>
      <c r="D66" s="221" t="s">
        <v>680</v>
      </c>
      <c r="E66" s="390" t="s">
        <v>468</v>
      </c>
      <c r="F66" s="390" t="s">
        <v>476</v>
      </c>
    </row>
    <row r="67" spans="1:6">
      <c r="A67" s="9">
        <v>1500</v>
      </c>
      <c r="B67" s="8" t="s">
        <v>126</v>
      </c>
    </row>
    <row r="68" spans="1:6">
      <c r="A68" s="10">
        <v>1510</v>
      </c>
      <c r="B68" s="6" t="s">
        <v>126</v>
      </c>
      <c r="C68" s="11" t="s">
        <v>391</v>
      </c>
    </row>
    <row r="69" spans="1:6">
      <c r="A69" s="10">
        <v>1520</v>
      </c>
      <c r="B69" s="6" t="s">
        <v>127</v>
      </c>
      <c r="C69" s="11" t="s">
        <v>391</v>
      </c>
    </row>
    <row r="70" spans="1:6">
      <c r="A70" s="9">
        <v>1600</v>
      </c>
      <c r="B70" s="8" t="s">
        <v>13</v>
      </c>
    </row>
    <row r="71" spans="1:6">
      <c r="A71" s="69">
        <v>1610</v>
      </c>
      <c r="B71" s="70" t="s">
        <v>128</v>
      </c>
      <c r="C71" s="220" t="s">
        <v>13</v>
      </c>
      <c r="D71" s="221" t="s">
        <v>680</v>
      </c>
      <c r="E71" s="390" t="s">
        <v>468</v>
      </c>
      <c r="F71" s="390" t="s">
        <v>471</v>
      </c>
    </row>
    <row r="72" spans="1:6">
      <c r="A72" s="67">
        <v>1611</v>
      </c>
      <c r="B72" s="68" t="s">
        <v>568</v>
      </c>
      <c r="C72" s="11" t="s">
        <v>13</v>
      </c>
      <c r="D72" s="221" t="s">
        <v>680</v>
      </c>
      <c r="E72" s="390" t="s">
        <v>468</v>
      </c>
      <c r="F72" s="390" t="s">
        <v>471</v>
      </c>
    </row>
    <row r="73" spans="1:6">
      <c r="A73" s="67">
        <v>1612</v>
      </c>
      <c r="B73" s="68" t="s">
        <v>569</v>
      </c>
      <c r="C73" s="11" t="s">
        <v>13</v>
      </c>
      <c r="D73" s="221" t="s">
        <v>680</v>
      </c>
      <c r="E73" s="390" t="s">
        <v>468</v>
      </c>
      <c r="F73" s="390" t="s">
        <v>471</v>
      </c>
    </row>
    <row r="74" spans="1:6">
      <c r="A74" s="69">
        <v>1620</v>
      </c>
      <c r="B74" s="70" t="s">
        <v>129</v>
      </c>
      <c r="C74" s="220" t="s">
        <v>13</v>
      </c>
      <c r="D74" s="221" t="s">
        <v>680</v>
      </c>
      <c r="E74" s="390" t="s">
        <v>468</v>
      </c>
      <c r="F74" s="390" t="s">
        <v>476</v>
      </c>
    </row>
    <row r="75" spans="1:6">
      <c r="A75" s="67">
        <v>1621</v>
      </c>
      <c r="B75" s="68" t="s">
        <v>570</v>
      </c>
      <c r="C75" s="11" t="s">
        <v>13</v>
      </c>
      <c r="D75" s="221" t="s">
        <v>680</v>
      </c>
      <c r="E75" s="390" t="s">
        <v>468</v>
      </c>
      <c r="F75" s="390" t="s">
        <v>476</v>
      </c>
    </row>
    <row r="76" spans="1:6">
      <c r="A76" s="67">
        <v>1622</v>
      </c>
      <c r="B76" s="68" t="s">
        <v>571</v>
      </c>
      <c r="C76" s="11" t="s">
        <v>13</v>
      </c>
      <c r="D76" s="221" t="s">
        <v>680</v>
      </c>
      <c r="E76" s="390" t="s">
        <v>466</v>
      </c>
      <c r="F76" s="390" t="s">
        <v>476</v>
      </c>
    </row>
    <row r="77" spans="1:6">
      <c r="A77" s="67">
        <v>1623</v>
      </c>
      <c r="B77" s="68" t="s">
        <v>572</v>
      </c>
      <c r="C77" s="11" t="s">
        <v>13</v>
      </c>
      <c r="D77" s="221" t="s">
        <v>680</v>
      </c>
      <c r="E77" s="390" t="s">
        <v>466</v>
      </c>
      <c r="F77" s="390" t="s">
        <v>476</v>
      </c>
    </row>
    <row r="78" spans="1:6">
      <c r="A78" s="67">
        <v>1625</v>
      </c>
      <c r="B78" s="68" t="s">
        <v>573</v>
      </c>
      <c r="C78" s="11" t="s">
        <v>13</v>
      </c>
      <c r="D78" s="221" t="s">
        <v>680</v>
      </c>
      <c r="E78" s="390" t="s">
        <v>466</v>
      </c>
      <c r="F78" s="390" t="s">
        <v>476</v>
      </c>
    </row>
    <row r="79" spans="1:6">
      <c r="A79" s="67">
        <v>1626</v>
      </c>
      <c r="B79" s="68" t="s">
        <v>574</v>
      </c>
      <c r="C79" s="11" t="s">
        <v>13</v>
      </c>
      <c r="D79" s="221" t="s">
        <v>680</v>
      </c>
      <c r="E79" s="390" t="s">
        <v>468</v>
      </c>
      <c r="F79" s="390" t="s">
        <v>476</v>
      </c>
    </row>
    <row r="80" spans="1:6">
      <c r="A80" s="67">
        <v>1627</v>
      </c>
      <c r="B80" s="68" t="s">
        <v>575</v>
      </c>
      <c r="C80" s="11" t="s">
        <v>13</v>
      </c>
      <c r="D80" s="221" t="s">
        <v>680</v>
      </c>
      <c r="E80" s="390" t="s">
        <v>468</v>
      </c>
      <c r="F80" s="390" t="s">
        <v>476</v>
      </c>
    </row>
    <row r="81" spans="1:6">
      <c r="A81" s="67">
        <v>1628</v>
      </c>
      <c r="B81" s="68" t="s">
        <v>576</v>
      </c>
      <c r="C81" s="11" t="s">
        <v>13</v>
      </c>
      <c r="D81" s="221" t="s">
        <v>680</v>
      </c>
      <c r="E81" s="390" t="s">
        <v>468</v>
      </c>
      <c r="F81" s="390" t="s">
        <v>476</v>
      </c>
    </row>
    <row r="82" spans="1:6">
      <c r="A82" s="10">
        <v>1630</v>
      </c>
      <c r="B82" s="6" t="s">
        <v>13</v>
      </c>
      <c r="C82" s="11" t="s">
        <v>13</v>
      </c>
      <c r="D82" s="221" t="s">
        <v>680</v>
      </c>
      <c r="E82" s="390" t="s">
        <v>468</v>
      </c>
      <c r="F82" s="390" t="s">
        <v>476</v>
      </c>
    </row>
    <row r="83" spans="1:6">
      <c r="A83" s="9">
        <v>2000</v>
      </c>
      <c r="B83" s="8" t="s">
        <v>17</v>
      </c>
    </row>
    <row r="84" spans="1:6">
      <c r="A84" s="9">
        <v>2010</v>
      </c>
      <c r="B84" s="8" t="s">
        <v>130</v>
      </c>
    </row>
    <row r="85" spans="1:6">
      <c r="A85" s="10">
        <v>2011</v>
      </c>
      <c r="B85" s="6" t="s">
        <v>130</v>
      </c>
      <c r="C85" s="11" t="s">
        <v>402</v>
      </c>
      <c r="D85" s="221" t="s">
        <v>686</v>
      </c>
      <c r="E85" s="390" t="s">
        <v>682</v>
      </c>
      <c r="F85" s="390" t="s">
        <v>506</v>
      </c>
    </row>
    <row r="86" spans="1:6">
      <c r="A86" s="10">
        <v>2012</v>
      </c>
      <c r="B86" s="6" t="s">
        <v>131</v>
      </c>
      <c r="C86" s="11" t="s">
        <v>402</v>
      </c>
      <c r="D86" s="221" t="s">
        <v>686</v>
      </c>
      <c r="E86" s="390" t="s">
        <v>682</v>
      </c>
      <c r="F86" s="390" t="s">
        <v>506</v>
      </c>
    </row>
    <row r="87" spans="1:6">
      <c r="A87" s="10">
        <v>2020</v>
      </c>
      <c r="B87" s="6" t="s">
        <v>132</v>
      </c>
      <c r="C87" s="11" t="s">
        <v>394</v>
      </c>
    </row>
    <row r="88" spans="1:6">
      <c r="A88" s="10">
        <v>2030</v>
      </c>
      <c r="B88" s="6" t="s">
        <v>133</v>
      </c>
      <c r="C88" s="11" t="s">
        <v>391</v>
      </c>
    </row>
    <row r="89" spans="1:6">
      <c r="A89" s="69">
        <v>2040</v>
      </c>
      <c r="B89" s="70" t="s">
        <v>134</v>
      </c>
    </row>
    <row r="90" spans="1:6">
      <c r="A90" s="67">
        <v>2041</v>
      </c>
      <c r="B90" s="68" t="s">
        <v>17</v>
      </c>
      <c r="C90" s="11" t="s">
        <v>391</v>
      </c>
      <c r="D90" s="221" t="s">
        <v>686</v>
      </c>
      <c r="E90" s="390" t="s">
        <v>682</v>
      </c>
      <c r="F90" s="390" t="s">
        <v>506</v>
      </c>
    </row>
    <row r="91" spans="1:6">
      <c r="A91" s="9">
        <v>2100</v>
      </c>
      <c r="B91" s="8" t="s">
        <v>15</v>
      </c>
    </row>
    <row r="92" spans="1:6">
      <c r="A92" s="10">
        <v>2110</v>
      </c>
      <c r="B92" s="6" t="s">
        <v>135</v>
      </c>
      <c r="C92" s="11" t="s">
        <v>403</v>
      </c>
      <c r="D92" s="221" t="s">
        <v>680</v>
      </c>
      <c r="E92" s="390" t="s">
        <v>463</v>
      </c>
      <c r="F92" s="390" t="s">
        <v>476</v>
      </c>
    </row>
    <row r="93" spans="1:6">
      <c r="A93" s="10">
        <v>2120</v>
      </c>
      <c r="B93" s="6" t="s">
        <v>136</v>
      </c>
      <c r="C93" s="11" t="s">
        <v>403</v>
      </c>
    </row>
    <row r="94" spans="1:6">
      <c r="A94" s="10">
        <v>2130</v>
      </c>
      <c r="B94" s="6" t="s">
        <v>137</v>
      </c>
      <c r="C94" s="11" t="s">
        <v>403</v>
      </c>
    </row>
    <row r="95" spans="1:6">
      <c r="A95" s="10">
        <v>2140</v>
      </c>
      <c r="B95" s="6" t="s">
        <v>138</v>
      </c>
      <c r="C95" s="11" t="s">
        <v>403</v>
      </c>
    </row>
    <row r="96" spans="1:6">
      <c r="A96" s="9">
        <v>2150</v>
      </c>
      <c r="B96" s="8" t="s">
        <v>139</v>
      </c>
    </row>
    <row r="97" spans="1:6">
      <c r="A97" s="10">
        <v>2151</v>
      </c>
      <c r="B97" s="6" t="s">
        <v>140</v>
      </c>
      <c r="C97" s="11" t="s">
        <v>403</v>
      </c>
    </row>
    <row r="98" spans="1:6">
      <c r="A98" s="10">
        <v>2152</v>
      </c>
      <c r="B98" s="6" t="s">
        <v>100</v>
      </c>
      <c r="C98" s="11" t="s">
        <v>403</v>
      </c>
    </row>
    <row r="99" spans="1:6">
      <c r="A99" s="10">
        <v>2153</v>
      </c>
      <c r="B99" s="6" t="s">
        <v>141</v>
      </c>
      <c r="C99" s="11" t="s">
        <v>403</v>
      </c>
    </row>
    <row r="100" spans="1:6">
      <c r="A100" s="10">
        <v>2154</v>
      </c>
      <c r="B100" s="6" t="s">
        <v>142</v>
      </c>
      <c r="C100" s="11" t="s">
        <v>403</v>
      </c>
    </row>
    <row r="101" spans="1:6">
      <c r="A101" s="10">
        <v>2160</v>
      </c>
      <c r="B101" s="6" t="s">
        <v>143</v>
      </c>
      <c r="C101" s="11" t="s">
        <v>403</v>
      </c>
    </row>
    <row r="102" spans="1:6">
      <c r="A102" s="10">
        <v>2170</v>
      </c>
      <c r="B102" s="6" t="s">
        <v>144</v>
      </c>
      <c r="C102" s="11" t="s">
        <v>403</v>
      </c>
    </row>
    <row r="103" spans="1:6">
      <c r="A103" s="9">
        <v>2180</v>
      </c>
      <c r="B103" s="8" t="s">
        <v>145</v>
      </c>
    </row>
    <row r="104" spans="1:6">
      <c r="A104" s="10">
        <v>2181</v>
      </c>
      <c r="B104" s="6" t="s">
        <v>106</v>
      </c>
      <c r="C104" s="11" t="s">
        <v>403</v>
      </c>
      <c r="D104" s="221" t="s">
        <v>680</v>
      </c>
      <c r="E104" s="390" t="s">
        <v>463</v>
      </c>
      <c r="F104" s="390" t="s">
        <v>476</v>
      </c>
    </row>
    <row r="105" spans="1:6">
      <c r="A105" s="10">
        <v>2182</v>
      </c>
      <c r="B105" s="6" t="s">
        <v>146</v>
      </c>
      <c r="C105" s="11" t="s">
        <v>403</v>
      </c>
      <c r="D105" s="221" t="s">
        <v>680</v>
      </c>
      <c r="E105" s="390" t="s">
        <v>463</v>
      </c>
      <c r="F105" s="390" t="s">
        <v>476</v>
      </c>
    </row>
    <row r="106" spans="1:6">
      <c r="A106" s="10">
        <v>2183</v>
      </c>
      <c r="B106" s="6" t="s">
        <v>108</v>
      </c>
      <c r="C106" s="11" t="s">
        <v>403</v>
      </c>
      <c r="D106" s="221" t="s">
        <v>680</v>
      </c>
      <c r="E106" s="390" t="s">
        <v>463</v>
      </c>
      <c r="F106" s="390" t="s">
        <v>476</v>
      </c>
    </row>
    <row r="107" spans="1:6">
      <c r="A107" s="10">
        <v>2184</v>
      </c>
      <c r="B107" s="6" t="s">
        <v>145</v>
      </c>
      <c r="C107" s="11" t="s">
        <v>403</v>
      </c>
      <c r="D107" s="221" t="s">
        <v>680</v>
      </c>
      <c r="E107" s="390" t="s">
        <v>463</v>
      </c>
      <c r="F107" s="390" t="s">
        <v>476</v>
      </c>
    </row>
    <row r="108" spans="1:6">
      <c r="A108" s="9">
        <v>2200</v>
      </c>
      <c r="B108" s="8" t="s">
        <v>147</v>
      </c>
    </row>
    <row r="109" spans="1:6">
      <c r="A109" s="10">
        <v>2210</v>
      </c>
      <c r="B109" s="6" t="s">
        <v>148</v>
      </c>
      <c r="C109" s="11" t="s">
        <v>148</v>
      </c>
      <c r="D109" s="221" t="s">
        <v>685</v>
      </c>
      <c r="E109" s="389" t="s">
        <v>485</v>
      </c>
      <c r="F109" s="389" t="s">
        <v>502</v>
      </c>
    </row>
    <row r="110" spans="1:6">
      <c r="A110" s="9">
        <v>2300</v>
      </c>
      <c r="B110" s="8" t="s">
        <v>149</v>
      </c>
    </row>
    <row r="111" spans="1:6">
      <c r="A111" s="10">
        <v>2310</v>
      </c>
      <c r="B111" s="6" t="s">
        <v>149</v>
      </c>
      <c r="C111" s="11" t="s">
        <v>19</v>
      </c>
    </row>
    <row r="112" spans="1:6">
      <c r="A112" s="10">
        <v>2320</v>
      </c>
      <c r="B112" s="6" t="s">
        <v>150</v>
      </c>
      <c r="C112" s="11" t="s">
        <v>19</v>
      </c>
    </row>
    <row r="113" spans="1:3">
      <c r="A113" s="10">
        <v>2330</v>
      </c>
      <c r="B113" s="6" t="s">
        <v>151</v>
      </c>
      <c r="C113" s="11" t="s">
        <v>19</v>
      </c>
    </row>
    <row r="114" spans="1:3">
      <c r="A114" s="9">
        <v>2400</v>
      </c>
      <c r="B114" s="8" t="s">
        <v>21</v>
      </c>
    </row>
    <row r="115" spans="1:3">
      <c r="A115" s="69">
        <v>2410</v>
      </c>
      <c r="B115" s="70" t="s">
        <v>21</v>
      </c>
      <c r="C115" s="220" t="s">
        <v>21</v>
      </c>
    </row>
    <row r="116" spans="1:3">
      <c r="A116" s="67">
        <v>2412</v>
      </c>
      <c r="B116" s="68" t="s">
        <v>577</v>
      </c>
      <c r="C116" s="11" t="s">
        <v>21</v>
      </c>
    </row>
    <row r="117" spans="1:3">
      <c r="A117" s="67">
        <v>2413</v>
      </c>
      <c r="B117" s="68" t="s">
        <v>578</v>
      </c>
      <c r="C117" s="11" t="s">
        <v>21</v>
      </c>
    </row>
    <row r="118" spans="1:3">
      <c r="A118" s="67">
        <v>2414</v>
      </c>
      <c r="B118" s="68" t="s">
        <v>579</v>
      </c>
      <c r="C118" s="11" t="s">
        <v>21</v>
      </c>
    </row>
    <row r="119" spans="1:3" ht="24">
      <c r="A119" s="67">
        <v>2415</v>
      </c>
      <c r="B119" s="68" t="s">
        <v>580</v>
      </c>
      <c r="C119" s="11" t="s">
        <v>21</v>
      </c>
    </row>
    <row r="120" spans="1:3">
      <c r="A120" s="67">
        <v>2416</v>
      </c>
      <c r="B120" s="68" t="s">
        <v>581</v>
      </c>
      <c r="C120" s="11" t="s">
        <v>21</v>
      </c>
    </row>
    <row r="121" spans="1:3">
      <c r="A121" s="67">
        <v>2417</v>
      </c>
      <c r="B121" s="68" t="s">
        <v>582</v>
      </c>
      <c r="C121" s="11" t="s">
        <v>21</v>
      </c>
    </row>
    <row r="122" spans="1:3">
      <c r="A122" s="69">
        <v>2420</v>
      </c>
      <c r="B122" s="70" t="s">
        <v>152</v>
      </c>
      <c r="C122" s="220" t="s">
        <v>21</v>
      </c>
    </row>
    <row r="123" spans="1:3">
      <c r="A123" s="67">
        <v>2421</v>
      </c>
      <c r="B123" s="68" t="s">
        <v>583</v>
      </c>
      <c r="C123" s="11" t="s">
        <v>21</v>
      </c>
    </row>
    <row r="124" spans="1:3">
      <c r="A124" s="67">
        <v>2422</v>
      </c>
      <c r="B124" s="68" t="s">
        <v>584</v>
      </c>
      <c r="C124" s="11" t="s">
        <v>21</v>
      </c>
    </row>
    <row r="125" spans="1:3">
      <c r="A125" s="67">
        <v>2423</v>
      </c>
      <c r="B125" s="68" t="s">
        <v>585</v>
      </c>
      <c r="C125" s="11" t="s">
        <v>21</v>
      </c>
    </row>
    <row r="126" spans="1:3">
      <c r="A126" s="67">
        <v>2424</v>
      </c>
      <c r="B126" s="68" t="s">
        <v>586</v>
      </c>
      <c r="C126" s="11" t="s">
        <v>21</v>
      </c>
    </row>
    <row r="127" spans="1:3">
      <c r="A127" s="67">
        <v>2425</v>
      </c>
      <c r="B127" s="68" t="s">
        <v>587</v>
      </c>
      <c r="C127" s="11" t="s">
        <v>21</v>
      </c>
    </row>
    <row r="128" spans="1:3">
      <c r="A128" s="67">
        <v>2426</v>
      </c>
      <c r="B128" s="68" t="s">
        <v>588</v>
      </c>
      <c r="C128" s="11" t="s">
        <v>21</v>
      </c>
    </row>
    <row r="129" spans="1:3">
      <c r="A129" s="10">
        <v>2430</v>
      </c>
      <c r="B129" s="6" t="s">
        <v>153</v>
      </c>
      <c r="C129" s="11" t="s">
        <v>21</v>
      </c>
    </row>
    <row r="130" spans="1:3">
      <c r="A130" s="9">
        <v>2500</v>
      </c>
      <c r="B130" s="8" t="s">
        <v>154</v>
      </c>
    </row>
    <row r="131" spans="1:3">
      <c r="A131" s="10">
        <v>2510</v>
      </c>
      <c r="B131" s="6" t="s">
        <v>155</v>
      </c>
      <c r="C131" s="11" t="s">
        <v>154</v>
      </c>
    </row>
    <row r="132" spans="1:3">
      <c r="A132" s="10">
        <v>2520</v>
      </c>
      <c r="B132" s="6" t="s">
        <v>156</v>
      </c>
      <c r="C132" s="11" t="s">
        <v>154</v>
      </c>
    </row>
    <row r="133" spans="1:3">
      <c r="A133" s="9">
        <v>2600</v>
      </c>
      <c r="B133" s="8" t="s">
        <v>157</v>
      </c>
    </row>
    <row r="134" spans="1:3">
      <c r="A134" s="10">
        <v>2610</v>
      </c>
      <c r="B134" s="6" t="s">
        <v>157</v>
      </c>
      <c r="C134" s="11" t="s">
        <v>157</v>
      </c>
    </row>
    <row r="135" spans="1:3">
      <c r="A135" s="10">
        <v>2620</v>
      </c>
      <c r="B135" s="6" t="s">
        <v>158</v>
      </c>
      <c r="C135" s="11" t="s">
        <v>157</v>
      </c>
    </row>
    <row r="136" spans="1:3">
      <c r="A136" s="10">
        <v>2630</v>
      </c>
      <c r="B136" s="6" t="s">
        <v>159</v>
      </c>
      <c r="C136" s="11" t="s">
        <v>157</v>
      </c>
    </row>
    <row r="137" spans="1:3">
      <c r="A137" s="9">
        <v>2700</v>
      </c>
      <c r="B137" s="8" t="s">
        <v>75</v>
      </c>
    </row>
    <row r="138" spans="1:3">
      <c r="A138" s="10">
        <v>2710</v>
      </c>
      <c r="B138" s="6" t="s">
        <v>27</v>
      </c>
      <c r="C138" s="11" t="s">
        <v>358</v>
      </c>
    </row>
    <row r="139" spans="1:3">
      <c r="A139" s="10">
        <v>2720</v>
      </c>
      <c r="B139" s="6" t="s">
        <v>160</v>
      </c>
      <c r="C139" s="11" t="s">
        <v>358</v>
      </c>
    </row>
    <row r="140" spans="1:3">
      <c r="A140" s="69">
        <v>2730</v>
      </c>
      <c r="B140" s="70" t="s">
        <v>161</v>
      </c>
      <c r="C140" s="220" t="s">
        <v>75</v>
      </c>
    </row>
    <row r="141" spans="1:3">
      <c r="A141" s="67">
        <v>2731</v>
      </c>
      <c r="B141" s="68" t="s">
        <v>589</v>
      </c>
      <c r="C141" s="11" t="s">
        <v>75</v>
      </c>
    </row>
    <row r="142" spans="1:3">
      <c r="A142" s="67">
        <v>2732</v>
      </c>
      <c r="B142" s="68" t="s">
        <v>161</v>
      </c>
      <c r="C142" s="11" t="s">
        <v>75</v>
      </c>
    </row>
    <row r="143" spans="1:3">
      <c r="A143" s="67">
        <v>2741</v>
      </c>
      <c r="B143" s="68" t="s">
        <v>590</v>
      </c>
      <c r="C143" s="11" t="s">
        <v>75</v>
      </c>
    </row>
    <row r="144" spans="1:3">
      <c r="A144" s="10">
        <v>2740</v>
      </c>
      <c r="B144" s="6" t="s">
        <v>162</v>
      </c>
      <c r="C144" s="11" t="s">
        <v>75</v>
      </c>
    </row>
    <row r="145" spans="1:6">
      <c r="A145" s="10">
        <v>2750</v>
      </c>
      <c r="B145" s="6" t="s">
        <v>163</v>
      </c>
      <c r="C145" s="11" t="s">
        <v>75</v>
      </c>
    </row>
    <row r="146" spans="1:6">
      <c r="A146" s="9">
        <v>2800</v>
      </c>
      <c r="B146" s="8" t="s">
        <v>164</v>
      </c>
    </row>
    <row r="147" spans="1:6">
      <c r="A147" s="10">
        <v>2810</v>
      </c>
      <c r="B147" s="6" t="s">
        <v>165</v>
      </c>
      <c r="C147" s="11" t="s">
        <v>164</v>
      </c>
    </row>
    <row r="148" spans="1:6">
      <c r="A148" s="9">
        <v>2900</v>
      </c>
      <c r="B148" s="8" t="s">
        <v>166</v>
      </c>
    </row>
    <row r="149" spans="1:6">
      <c r="A149" s="69">
        <v>2910</v>
      </c>
      <c r="B149" s="70" t="s">
        <v>167</v>
      </c>
      <c r="C149" s="220" t="s">
        <v>166</v>
      </c>
    </row>
    <row r="150" spans="1:6">
      <c r="A150" s="67">
        <v>2913</v>
      </c>
      <c r="B150" s="68" t="s">
        <v>591</v>
      </c>
      <c r="C150" s="11" t="s">
        <v>166</v>
      </c>
      <c r="D150" s="221" t="s">
        <v>680</v>
      </c>
      <c r="E150" s="390" t="s">
        <v>468</v>
      </c>
      <c r="F150" s="390" t="s">
        <v>471</v>
      </c>
    </row>
    <row r="151" spans="1:6">
      <c r="A151" s="10">
        <v>2920</v>
      </c>
      <c r="B151" s="6" t="s">
        <v>168</v>
      </c>
      <c r="C151" s="11" t="s">
        <v>166</v>
      </c>
    </row>
    <row r="152" spans="1:6">
      <c r="A152" s="9">
        <v>2930</v>
      </c>
      <c r="B152" s="8" t="s">
        <v>23</v>
      </c>
    </row>
    <row r="153" spans="1:6">
      <c r="A153" s="10">
        <v>2931</v>
      </c>
      <c r="B153" s="6" t="s">
        <v>23</v>
      </c>
      <c r="C153" s="11" t="s">
        <v>166</v>
      </c>
    </row>
    <row r="154" spans="1:6">
      <c r="A154" s="10">
        <v>2932</v>
      </c>
      <c r="B154" s="6" t="s">
        <v>169</v>
      </c>
      <c r="C154" s="11" t="s">
        <v>166</v>
      </c>
    </row>
    <row r="155" spans="1:6">
      <c r="A155" s="10">
        <v>2933</v>
      </c>
      <c r="B155" s="6" t="s">
        <v>170</v>
      </c>
      <c r="C155" s="11" t="s">
        <v>166</v>
      </c>
    </row>
    <row r="156" spans="1:6">
      <c r="A156" s="10">
        <v>2940</v>
      </c>
      <c r="B156" s="6" t="s">
        <v>166</v>
      </c>
      <c r="C156" s="11" t="s">
        <v>166</v>
      </c>
    </row>
    <row r="157" spans="1:6">
      <c r="A157" s="9">
        <v>3000</v>
      </c>
      <c r="B157" s="8" t="s">
        <v>171</v>
      </c>
    </row>
    <row r="158" spans="1:6">
      <c r="A158" s="10">
        <v>3010</v>
      </c>
      <c r="B158" s="6" t="s">
        <v>172</v>
      </c>
      <c r="C158" s="11" t="s">
        <v>41</v>
      </c>
    </row>
    <row r="159" spans="1:6">
      <c r="A159" s="10">
        <v>3020</v>
      </c>
      <c r="B159" s="6" t="s">
        <v>173</v>
      </c>
      <c r="C159" s="11" t="s">
        <v>41</v>
      </c>
      <c r="D159" s="221" t="s">
        <v>686</v>
      </c>
      <c r="E159" s="389" t="s">
        <v>515</v>
      </c>
      <c r="F159" s="389" t="s">
        <v>520</v>
      </c>
    </row>
    <row r="160" spans="1:6">
      <c r="A160" s="10">
        <v>3030</v>
      </c>
      <c r="B160" s="6" t="s">
        <v>174</v>
      </c>
      <c r="C160" s="11" t="s">
        <v>176</v>
      </c>
      <c r="E160" s="389" t="s">
        <v>683</v>
      </c>
      <c r="F160" s="389" t="s">
        <v>684</v>
      </c>
    </row>
    <row r="161" spans="1:6">
      <c r="A161" s="10">
        <v>3040</v>
      </c>
      <c r="B161" s="6" t="s">
        <v>175</v>
      </c>
      <c r="C161" s="11" t="s">
        <v>176</v>
      </c>
      <c r="D161" s="221" t="s">
        <v>686</v>
      </c>
      <c r="E161" s="389" t="s">
        <v>683</v>
      </c>
      <c r="F161" s="389" t="s">
        <v>684</v>
      </c>
    </row>
    <row r="162" spans="1:6">
      <c r="A162" s="10">
        <v>3050</v>
      </c>
      <c r="B162" s="6" t="s">
        <v>176</v>
      </c>
      <c r="C162" s="11" t="s">
        <v>41</v>
      </c>
      <c r="D162" s="221" t="s">
        <v>686</v>
      </c>
      <c r="E162" s="389" t="s">
        <v>683</v>
      </c>
      <c r="F162" s="389" t="s">
        <v>684</v>
      </c>
    </row>
    <row r="163" spans="1:6">
      <c r="A163" s="9">
        <v>3100</v>
      </c>
      <c r="B163" s="8" t="s">
        <v>33</v>
      </c>
      <c r="E163" s="390"/>
      <c r="F163" s="390"/>
    </row>
    <row r="164" spans="1:6">
      <c r="A164" s="10">
        <v>3110</v>
      </c>
      <c r="B164" s="6" t="s">
        <v>177</v>
      </c>
      <c r="C164" s="11" t="s">
        <v>409</v>
      </c>
      <c r="D164" s="221" t="s">
        <v>680</v>
      </c>
      <c r="E164" s="390" t="s">
        <v>468</v>
      </c>
      <c r="F164" s="390" t="s">
        <v>475</v>
      </c>
    </row>
    <row r="165" spans="1:6">
      <c r="A165" s="10">
        <v>3120</v>
      </c>
      <c r="B165" s="6" t="s">
        <v>178</v>
      </c>
      <c r="C165" s="11" t="s">
        <v>209</v>
      </c>
      <c r="D165" s="221" t="s">
        <v>680</v>
      </c>
      <c r="E165" s="390" t="s">
        <v>468</v>
      </c>
      <c r="F165" s="390" t="s">
        <v>476</v>
      </c>
    </row>
    <row r="166" spans="1:6">
      <c r="A166" s="10">
        <v>3130</v>
      </c>
      <c r="B166" s="6" t="s">
        <v>124</v>
      </c>
      <c r="C166" s="11" t="s">
        <v>209</v>
      </c>
      <c r="D166" s="221" t="s">
        <v>680</v>
      </c>
      <c r="E166" s="390" t="s">
        <v>468</v>
      </c>
      <c r="F166" s="390" t="s">
        <v>476</v>
      </c>
    </row>
    <row r="167" spans="1:6">
      <c r="A167" s="10">
        <v>3140</v>
      </c>
      <c r="B167" s="6" t="s">
        <v>179</v>
      </c>
      <c r="C167" s="11" t="s">
        <v>209</v>
      </c>
      <c r="D167" s="221" t="s">
        <v>680</v>
      </c>
      <c r="E167" s="390" t="s">
        <v>468</v>
      </c>
      <c r="F167" s="390" t="s">
        <v>476</v>
      </c>
    </row>
    <row r="168" spans="1:6">
      <c r="A168" s="10">
        <v>3150</v>
      </c>
      <c r="B168" s="6" t="s">
        <v>180</v>
      </c>
      <c r="C168" s="11" t="s">
        <v>209</v>
      </c>
      <c r="D168" s="221" t="s">
        <v>680</v>
      </c>
      <c r="E168" s="390" t="s">
        <v>468</v>
      </c>
      <c r="F168" s="390" t="s">
        <v>476</v>
      </c>
    </row>
    <row r="169" spans="1:6">
      <c r="A169" s="10">
        <v>3160</v>
      </c>
      <c r="B169" s="6" t="s">
        <v>181</v>
      </c>
      <c r="C169" s="11" t="s">
        <v>209</v>
      </c>
      <c r="D169" s="221" t="s">
        <v>680</v>
      </c>
      <c r="E169" s="390" t="s">
        <v>468</v>
      </c>
      <c r="F169" s="390" t="s">
        <v>476</v>
      </c>
    </row>
    <row r="170" spans="1:6">
      <c r="A170" s="10">
        <v>3170</v>
      </c>
      <c r="B170" s="6" t="s">
        <v>182</v>
      </c>
      <c r="C170" s="11" t="s">
        <v>209</v>
      </c>
      <c r="D170" s="221" t="s">
        <v>680</v>
      </c>
      <c r="E170" s="390" t="s">
        <v>468</v>
      </c>
      <c r="F170" s="390" t="s">
        <v>476</v>
      </c>
    </row>
    <row r="171" spans="1:6">
      <c r="A171" s="10">
        <v>3180</v>
      </c>
      <c r="B171" s="6" t="s">
        <v>183</v>
      </c>
      <c r="C171" s="11" t="s">
        <v>209</v>
      </c>
      <c r="D171" s="221" t="s">
        <v>680</v>
      </c>
      <c r="E171" s="390" t="s">
        <v>468</v>
      </c>
      <c r="F171" s="390" t="s">
        <v>476</v>
      </c>
    </row>
    <row r="172" spans="1:6">
      <c r="A172" s="10">
        <v>3190</v>
      </c>
      <c r="B172" s="6" t="s">
        <v>184</v>
      </c>
      <c r="C172" s="11" t="s">
        <v>209</v>
      </c>
      <c r="D172" s="221" t="s">
        <v>680</v>
      </c>
      <c r="E172" s="390" t="s">
        <v>468</v>
      </c>
      <c r="F172" s="390" t="s">
        <v>476</v>
      </c>
    </row>
    <row r="173" spans="1:6">
      <c r="A173" s="10">
        <v>3191</v>
      </c>
      <c r="B173" s="6" t="s">
        <v>184</v>
      </c>
      <c r="C173" s="11" t="s">
        <v>209</v>
      </c>
      <c r="D173" s="221" t="s">
        <v>680</v>
      </c>
      <c r="E173" s="390" t="s">
        <v>468</v>
      </c>
      <c r="F173" s="390" t="s">
        <v>476</v>
      </c>
    </row>
    <row r="174" spans="1:6">
      <c r="A174" s="10">
        <v>3192</v>
      </c>
      <c r="B174" s="6" t="s">
        <v>184</v>
      </c>
      <c r="C174" s="11" t="s">
        <v>209</v>
      </c>
      <c r="D174" s="221" t="s">
        <v>680</v>
      </c>
      <c r="E174" s="390" t="s">
        <v>468</v>
      </c>
      <c r="F174" s="390" t="s">
        <v>476</v>
      </c>
    </row>
    <row r="175" spans="1:6">
      <c r="A175" s="9">
        <v>3200</v>
      </c>
      <c r="B175" s="8" t="s">
        <v>185</v>
      </c>
      <c r="E175" s="390"/>
      <c r="F175" s="390"/>
    </row>
    <row r="176" spans="1:6">
      <c r="A176" s="10">
        <v>3210</v>
      </c>
      <c r="B176" s="6" t="s">
        <v>186</v>
      </c>
      <c r="C176" s="11" t="s">
        <v>209</v>
      </c>
      <c r="D176" s="221" t="s">
        <v>680</v>
      </c>
      <c r="E176" s="390" t="s">
        <v>468</v>
      </c>
      <c r="F176" s="390" t="s">
        <v>476</v>
      </c>
    </row>
    <row r="177" spans="1:6">
      <c r="A177" s="10">
        <v>3220</v>
      </c>
      <c r="B177" s="6" t="s">
        <v>187</v>
      </c>
      <c r="C177" s="11" t="s">
        <v>209</v>
      </c>
      <c r="D177" s="221" t="s">
        <v>680</v>
      </c>
      <c r="E177" s="390" t="s">
        <v>468</v>
      </c>
      <c r="F177" s="390" t="s">
        <v>476</v>
      </c>
    </row>
    <row r="178" spans="1:6">
      <c r="A178" s="69">
        <v>3230</v>
      </c>
      <c r="B178" s="70" t="s">
        <v>188</v>
      </c>
      <c r="C178" s="220" t="s">
        <v>209</v>
      </c>
      <c r="D178" s="221" t="s">
        <v>680</v>
      </c>
      <c r="E178" s="390" t="s">
        <v>468</v>
      </c>
      <c r="F178" s="390" t="s">
        <v>476</v>
      </c>
    </row>
    <row r="179" spans="1:6">
      <c r="A179" s="362">
        <v>3231</v>
      </c>
      <c r="B179" s="363" t="s">
        <v>719</v>
      </c>
      <c r="C179" s="11" t="s">
        <v>209</v>
      </c>
      <c r="D179" s="221" t="s">
        <v>680</v>
      </c>
      <c r="E179" s="390" t="s">
        <v>468</v>
      </c>
      <c r="F179" s="390" t="s">
        <v>476</v>
      </c>
    </row>
    <row r="180" spans="1:6">
      <c r="A180" s="362">
        <v>3234</v>
      </c>
      <c r="B180" s="363" t="s">
        <v>720</v>
      </c>
      <c r="C180" s="11" t="s">
        <v>209</v>
      </c>
      <c r="D180" s="221" t="s">
        <v>680</v>
      </c>
      <c r="E180" s="390" t="s">
        <v>468</v>
      </c>
      <c r="F180" s="390" t="s">
        <v>476</v>
      </c>
    </row>
    <row r="181" spans="1:6">
      <c r="A181" s="362">
        <v>3235</v>
      </c>
      <c r="B181" s="363" t="s">
        <v>721</v>
      </c>
      <c r="C181" s="11" t="s">
        <v>209</v>
      </c>
      <c r="D181" s="221" t="s">
        <v>680</v>
      </c>
      <c r="E181" s="390" t="s">
        <v>468</v>
      </c>
      <c r="F181" s="390" t="s">
        <v>476</v>
      </c>
    </row>
    <row r="182" spans="1:6">
      <c r="A182" s="362">
        <v>3236</v>
      </c>
      <c r="B182" s="363" t="s">
        <v>721</v>
      </c>
      <c r="C182" s="11" t="s">
        <v>209</v>
      </c>
      <c r="D182" s="221" t="s">
        <v>680</v>
      </c>
      <c r="E182" s="390" t="s">
        <v>468</v>
      </c>
      <c r="F182" s="390" t="s">
        <v>476</v>
      </c>
    </row>
    <row r="183" spans="1:6">
      <c r="A183" s="10">
        <v>3240</v>
      </c>
      <c r="B183" s="6" t="s">
        <v>189</v>
      </c>
      <c r="C183" s="11" t="s">
        <v>209</v>
      </c>
      <c r="D183" s="221" t="s">
        <v>680</v>
      </c>
      <c r="E183" s="390" t="s">
        <v>468</v>
      </c>
      <c r="F183" s="390" t="s">
        <v>476</v>
      </c>
    </row>
    <row r="184" spans="1:6">
      <c r="A184" s="9">
        <v>3300</v>
      </c>
      <c r="B184" s="8" t="s">
        <v>76</v>
      </c>
    </row>
    <row r="185" spans="1:6">
      <c r="A185" s="69">
        <v>3310</v>
      </c>
      <c r="B185" s="70" t="s">
        <v>190</v>
      </c>
      <c r="C185" s="220" t="s">
        <v>407</v>
      </c>
      <c r="D185" s="221" t="s">
        <v>680</v>
      </c>
      <c r="E185" s="390" t="s">
        <v>468</v>
      </c>
      <c r="F185" s="390" t="s">
        <v>470</v>
      </c>
    </row>
    <row r="186" spans="1:6">
      <c r="A186" s="67">
        <v>3311</v>
      </c>
      <c r="B186" s="68" t="s">
        <v>190</v>
      </c>
      <c r="C186" s="11" t="s">
        <v>407</v>
      </c>
      <c r="D186" s="221" t="s">
        <v>680</v>
      </c>
      <c r="E186" s="390" t="s">
        <v>468</v>
      </c>
      <c r="F186" s="390" t="s">
        <v>470</v>
      </c>
    </row>
    <row r="187" spans="1:6">
      <c r="A187" s="10">
        <v>3320</v>
      </c>
      <c r="B187" s="6" t="s">
        <v>191</v>
      </c>
      <c r="C187" s="11" t="s">
        <v>407</v>
      </c>
      <c r="D187" s="221" t="s">
        <v>680</v>
      </c>
      <c r="E187" s="390" t="s">
        <v>468</v>
      </c>
      <c r="F187" s="390" t="s">
        <v>476</v>
      </c>
    </row>
    <row r="188" spans="1:6">
      <c r="A188" s="10">
        <v>3331</v>
      </c>
      <c r="B188" s="6" t="s">
        <v>192</v>
      </c>
      <c r="C188" s="11" t="s">
        <v>407</v>
      </c>
      <c r="D188" s="221" t="s">
        <v>680</v>
      </c>
      <c r="E188" s="390" t="s">
        <v>468</v>
      </c>
      <c r="F188" s="390" t="s">
        <v>476</v>
      </c>
    </row>
    <row r="189" spans="1:6">
      <c r="A189" s="10">
        <v>3340</v>
      </c>
      <c r="B189" s="6" t="s">
        <v>193</v>
      </c>
      <c r="C189" s="11" t="s">
        <v>407</v>
      </c>
      <c r="D189" s="221" t="s">
        <v>680</v>
      </c>
      <c r="E189" s="390" t="s">
        <v>468</v>
      </c>
      <c r="F189" s="390" t="s">
        <v>476</v>
      </c>
    </row>
    <row r="190" spans="1:6">
      <c r="A190" s="10">
        <v>3350</v>
      </c>
      <c r="B190" s="6" t="s">
        <v>194</v>
      </c>
      <c r="C190" s="11" t="s">
        <v>410</v>
      </c>
      <c r="D190" s="221" t="s">
        <v>680</v>
      </c>
      <c r="E190" s="390" t="s">
        <v>468</v>
      </c>
      <c r="F190" s="390" t="s">
        <v>472</v>
      </c>
    </row>
    <row r="191" spans="1:6">
      <c r="A191" s="10">
        <v>3360</v>
      </c>
      <c r="B191" s="6" t="s">
        <v>195</v>
      </c>
      <c r="C191" s="11" t="s">
        <v>407</v>
      </c>
      <c r="D191" s="221" t="s">
        <v>680</v>
      </c>
      <c r="E191" s="390" t="s">
        <v>468</v>
      </c>
      <c r="F191" s="390" t="s">
        <v>470</v>
      </c>
    </row>
    <row r="192" spans="1:6">
      <c r="A192" s="10">
        <v>3370</v>
      </c>
      <c r="B192" s="6" t="s">
        <v>196</v>
      </c>
      <c r="C192" s="11" t="s">
        <v>407</v>
      </c>
      <c r="D192" s="221" t="s">
        <v>680</v>
      </c>
      <c r="E192" s="390" t="s">
        <v>468</v>
      </c>
      <c r="F192" s="390" t="s">
        <v>476</v>
      </c>
    </row>
    <row r="193" spans="1:6">
      <c r="A193" s="10">
        <v>3380</v>
      </c>
      <c r="B193" s="6" t="s">
        <v>197</v>
      </c>
      <c r="C193" s="11" t="s">
        <v>407</v>
      </c>
      <c r="D193" s="221" t="s">
        <v>680</v>
      </c>
      <c r="E193" s="390" t="s">
        <v>468</v>
      </c>
      <c r="F193" s="390" t="s">
        <v>473</v>
      </c>
    </row>
    <row r="194" spans="1:6">
      <c r="A194" s="9">
        <v>3390</v>
      </c>
      <c r="B194" s="8" t="s">
        <v>198</v>
      </c>
      <c r="E194" s="390"/>
      <c r="F194" s="390"/>
    </row>
    <row r="195" spans="1:6">
      <c r="A195" s="10">
        <v>3391</v>
      </c>
      <c r="B195" s="6" t="s">
        <v>199</v>
      </c>
      <c r="C195" s="11" t="s">
        <v>407</v>
      </c>
      <c r="D195" s="221" t="s">
        <v>680</v>
      </c>
      <c r="E195" s="390" t="s">
        <v>468</v>
      </c>
      <c r="F195" s="390" t="s">
        <v>476</v>
      </c>
    </row>
    <row r="196" spans="1:6">
      <c r="A196" s="10">
        <v>3392</v>
      </c>
      <c r="B196" s="6" t="s">
        <v>200</v>
      </c>
      <c r="C196" s="11" t="s">
        <v>407</v>
      </c>
      <c r="D196" s="221" t="s">
        <v>680</v>
      </c>
      <c r="E196" s="390" t="s">
        <v>468</v>
      </c>
      <c r="F196" s="390" t="s">
        <v>476</v>
      </c>
    </row>
    <row r="197" spans="1:6">
      <c r="A197" s="10">
        <v>3393</v>
      </c>
      <c r="B197" s="6" t="s">
        <v>201</v>
      </c>
      <c r="C197" s="11" t="s">
        <v>407</v>
      </c>
      <c r="D197" s="221" t="s">
        <v>680</v>
      </c>
      <c r="E197" s="390" t="s">
        <v>468</v>
      </c>
      <c r="F197" s="390" t="s">
        <v>476</v>
      </c>
    </row>
    <row r="198" spans="1:6">
      <c r="A198" s="10">
        <v>3394</v>
      </c>
      <c r="B198" s="6" t="s">
        <v>202</v>
      </c>
      <c r="C198" s="11" t="s">
        <v>407</v>
      </c>
      <c r="D198" s="221" t="s">
        <v>680</v>
      </c>
      <c r="E198" s="390" t="s">
        <v>468</v>
      </c>
      <c r="F198" s="390" t="s">
        <v>476</v>
      </c>
    </row>
    <row r="199" spans="1:6">
      <c r="A199" s="10">
        <v>3395</v>
      </c>
      <c r="B199" s="6" t="s">
        <v>203</v>
      </c>
      <c r="C199" s="11" t="s">
        <v>407</v>
      </c>
      <c r="D199" s="221" t="s">
        <v>680</v>
      </c>
      <c r="E199" s="390" t="s">
        <v>468</v>
      </c>
      <c r="F199" s="390" t="s">
        <v>476</v>
      </c>
    </row>
    <row r="200" spans="1:6">
      <c r="A200" s="10">
        <v>3396</v>
      </c>
      <c r="B200" s="6" t="s">
        <v>204</v>
      </c>
      <c r="C200" s="11" t="s">
        <v>407</v>
      </c>
      <c r="D200" s="221" t="s">
        <v>680</v>
      </c>
      <c r="E200" s="390" t="s">
        <v>468</v>
      </c>
      <c r="F200" s="390" t="s">
        <v>476</v>
      </c>
    </row>
    <row r="201" spans="1:6">
      <c r="A201" s="10">
        <v>3397</v>
      </c>
      <c r="B201" s="6" t="s">
        <v>198</v>
      </c>
      <c r="C201" s="11" t="s">
        <v>407</v>
      </c>
      <c r="D201" s="221" t="s">
        <v>680</v>
      </c>
      <c r="E201" s="390" t="s">
        <v>468</v>
      </c>
      <c r="F201" s="390" t="s">
        <v>476</v>
      </c>
    </row>
    <row r="202" spans="1:6">
      <c r="A202" s="10">
        <v>3398</v>
      </c>
      <c r="B202" s="6" t="s">
        <v>369</v>
      </c>
      <c r="C202" s="11" t="s">
        <v>407</v>
      </c>
      <c r="D202" s="221" t="s">
        <v>680</v>
      </c>
      <c r="E202" s="390" t="s">
        <v>468</v>
      </c>
      <c r="F202" s="390" t="s">
        <v>476</v>
      </c>
    </row>
    <row r="203" spans="1:6">
      <c r="A203" s="9">
        <v>3400</v>
      </c>
      <c r="B203" s="8" t="s">
        <v>39</v>
      </c>
    </row>
    <row r="204" spans="1:6">
      <c r="A204" s="10">
        <v>3410</v>
      </c>
      <c r="B204" s="6" t="s">
        <v>205</v>
      </c>
      <c r="C204" s="11" t="s">
        <v>408</v>
      </c>
    </row>
    <row r="205" spans="1:6">
      <c r="A205" s="10">
        <v>3420</v>
      </c>
      <c r="B205" s="6" t="s">
        <v>206</v>
      </c>
      <c r="C205" s="11" t="s">
        <v>408</v>
      </c>
    </row>
    <row r="206" spans="1:6">
      <c r="A206" s="10">
        <v>3430</v>
      </c>
      <c r="B206" s="6" t="s">
        <v>207</v>
      </c>
      <c r="C206" s="11" t="s">
        <v>408</v>
      </c>
    </row>
    <row r="207" spans="1:6">
      <c r="A207" s="10">
        <v>3440</v>
      </c>
      <c r="B207" s="6" t="s">
        <v>208</v>
      </c>
      <c r="C207" s="11" t="s">
        <v>408</v>
      </c>
    </row>
    <row r="208" spans="1:6">
      <c r="A208" s="9">
        <v>3500</v>
      </c>
      <c r="B208" s="8" t="s">
        <v>209</v>
      </c>
    </row>
    <row r="209" spans="1:6">
      <c r="A209" s="69">
        <v>3510</v>
      </c>
      <c r="B209" s="70" t="s">
        <v>210</v>
      </c>
      <c r="C209" s="220" t="s">
        <v>209</v>
      </c>
      <c r="D209" s="221" t="s">
        <v>680</v>
      </c>
      <c r="E209" s="390" t="s">
        <v>465</v>
      </c>
      <c r="F209" s="390" t="s">
        <v>476</v>
      </c>
    </row>
    <row r="210" spans="1:6">
      <c r="A210" s="67">
        <v>3512</v>
      </c>
      <c r="B210" s="68" t="s">
        <v>592</v>
      </c>
      <c r="C210" s="11" t="s">
        <v>209</v>
      </c>
      <c r="D210" s="221" t="s">
        <v>680</v>
      </c>
      <c r="E210" s="390" t="s">
        <v>465</v>
      </c>
      <c r="F210" s="390" t="s">
        <v>476</v>
      </c>
    </row>
    <row r="211" spans="1:6">
      <c r="A211" s="10">
        <v>3520</v>
      </c>
      <c r="B211" s="6" t="s">
        <v>211</v>
      </c>
      <c r="C211" s="11" t="s">
        <v>209</v>
      </c>
    </row>
    <row r="212" spans="1:6">
      <c r="A212" s="10">
        <v>3530</v>
      </c>
      <c r="B212" s="6" t="s">
        <v>212</v>
      </c>
      <c r="C212" s="11" t="s">
        <v>209</v>
      </c>
    </row>
    <row r="213" spans="1:6">
      <c r="A213" s="10">
        <v>3540</v>
      </c>
      <c r="B213" s="6" t="s">
        <v>209</v>
      </c>
      <c r="C213" s="11" t="s">
        <v>209</v>
      </c>
      <c r="E213" s="390" t="s">
        <v>465</v>
      </c>
      <c r="F213" s="390" t="s">
        <v>476</v>
      </c>
    </row>
    <row r="214" spans="1:6">
      <c r="A214" s="9">
        <v>4000</v>
      </c>
      <c r="B214" s="8" t="s">
        <v>213</v>
      </c>
    </row>
    <row r="215" spans="1:6">
      <c r="A215" s="10">
        <v>4010</v>
      </c>
      <c r="B215" s="6" t="s">
        <v>214</v>
      </c>
      <c r="C215" s="11" t="s">
        <v>562</v>
      </c>
      <c r="D215" s="221" t="s">
        <v>686</v>
      </c>
      <c r="E215" s="389" t="s">
        <v>515</v>
      </c>
      <c r="F215" s="389" t="s">
        <v>520</v>
      </c>
    </row>
    <row r="216" spans="1:6">
      <c r="A216" s="10">
        <v>4020</v>
      </c>
      <c r="B216" s="6" t="s">
        <v>215</v>
      </c>
      <c r="C216" s="11" t="s">
        <v>562</v>
      </c>
      <c r="D216" s="221" t="s">
        <v>686</v>
      </c>
      <c r="E216" s="389" t="s">
        <v>515</v>
      </c>
      <c r="F216" s="389" t="s">
        <v>520</v>
      </c>
    </row>
    <row r="217" spans="1:6">
      <c r="A217" s="69">
        <v>4030</v>
      </c>
      <c r="B217" s="70" t="s">
        <v>216</v>
      </c>
      <c r="E217" s="389"/>
      <c r="F217" s="389"/>
    </row>
    <row r="218" spans="1:6">
      <c r="A218" s="67">
        <v>4031</v>
      </c>
      <c r="B218" s="68" t="s">
        <v>593</v>
      </c>
      <c r="C218" s="11" t="s">
        <v>216</v>
      </c>
      <c r="D218" s="221" t="s">
        <v>686</v>
      </c>
      <c r="E218" s="389" t="s">
        <v>683</v>
      </c>
      <c r="F218" s="389" t="s">
        <v>684</v>
      </c>
    </row>
    <row r="219" spans="1:6">
      <c r="A219" s="67">
        <v>4032</v>
      </c>
      <c r="B219" s="68" t="s">
        <v>594</v>
      </c>
      <c r="C219" s="11" t="s">
        <v>216</v>
      </c>
      <c r="D219" s="221" t="s">
        <v>686</v>
      </c>
      <c r="E219" s="389" t="s">
        <v>683</v>
      </c>
      <c r="F219" s="389" t="s">
        <v>684</v>
      </c>
    </row>
    <row r="220" spans="1:6">
      <c r="A220" s="10">
        <v>4040</v>
      </c>
      <c r="B220" s="6" t="s">
        <v>217</v>
      </c>
      <c r="C220" s="11" t="s">
        <v>216</v>
      </c>
      <c r="D220" s="221" t="s">
        <v>686</v>
      </c>
      <c r="E220" s="389" t="s">
        <v>683</v>
      </c>
      <c r="F220" s="389" t="s">
        <v>684</v>
      </c>
    </row>
    <row r="221" spans="1:6">
      <c r="A221" s="9">
        <v>4100</v>
      </c>
      <c r="B221" s="8" t="s">
        <v>43</v>
      </c>
    </row>
    <row r="222" spans="1:6">
      <c r="A222" s="10">
        <v>4110</v>
      </c>
      <c r="B222" s="6" t="s">
        <v>218</v>
      </c>
      <c r="C222" s="11" t="s">
        <v>413</v>
      </c>
      <c r="D222" s="221" t="s">
        <v>680</v>
      </c>
      <c r="E222" s="390" t="s">
        <v>468</v>
      </c>
      <c r="F222" s="390" t="s">
        <v>470</v>
      </c>
    </row>
    <row r="223" spans="1:6">
      <c r="A223" s="10">
        <v>4120</v>
      </c>
      <c r="B223" s="6" t="s">
        <v>219</v>
      </c>
      <c r="C223" s="11" t="s">
        <v>413</v>
      </c>
    </row>
    <row r="224" spans="1:6">
      <c r="A224" s="10">
        <v>4130</v>
      </c>
      <c r="B224" s="6" t="s">
        <v>220</v>
      </c>
      <c r="C224" s="11" t="s">
        <v>413</v>
      </c>
    </row>
    <row r="225" spans="1:6">
      <c r="A225" s="10">
        <v>4140</v>
      </c>
      <c r="B225" s="6" t="s">
        <v>221</v>
      </c>
      <c r="C225" s="11" t="s">
        <v>413</v>
      </c>
    </row>
    <row r="226" spans="1:6">
      <c r="A226" s="10">
        <v>4150</v>
      </c>
      <c r="B226" s="6" t="s">
        <v>222</v>
      </c>
      <c r="C226" s="11" t="s">
        <v>413</v>
      </c>
      <c r="E226" s="389" t="s">
        <v>683</v>
      </c>
      <c r="F226" s="389" t="s">
        <v>689</v>
      </c>
    </row>
    <row r="227" spans="1:6">
      <c r="A227" s="10">
        <v>4160</v>
      </c>
      <c r="B227" s="6" t="s">
        <v>223</v>
      </c>
      <c r="C227" s="11" t="s">
        <v>413</v>
      </c>
      <c r="D227" s="221" t="s">
        <v>686</v>
      </c>
      <c r="E227" s="389" t="s">
        <v>683</v>
      </c>
      <c r="F227" s="389" t="s">
        <v>689</v>
      </c>
    </row>
    <row r="228" spans="1:6">
      <c r="A228" s="9">
        <v>4170</v>
      </c>
      <c r="B228" s="8" t="s">
        <v>224</v>
      </c>
    </row>
    <row r="229" spans="1:6">
      <c r="A229" s="10">
        <v>4171</v>
      </c>
      <c r="B229" s="6" t="s">
        <v>199</v>
      </c>
      <c r="C229" s="11" t="s">
        <v>413</v>
      </c>
    </row>
    <row r="230" spans="1:6">
      <c r="A230" s="10">
        <v>4172</v>
      </c>
      <c r="B230" s="6" t="s">
        <v>225</v>
      </c>
      <c r="C230" s="11" t="s">
        <v>413</v>
      </c>
    </row>
    <row r="231" spans="1:6">
      <c r="A231" s="10">
        <v>4173</v>
      </c>
      <c r="B231" s="6" t="s">
        <v>226</v>
      </c>
      <c r="C231" s="11" t="s">
        <v>413</v>
      </c>
    </row>
    <row r="232" spans="1:6">
      <c r="A232" s="10">
        <v>4174</v>
      </c>
      <c r="B232" s="6" t="s">
        <v>227</v>
      </c>
      <c r="C232" s="11" t="s">
        <v>413</v>
      </c>
    </row>
    <row r="233" spans="1:6">
      <c r="A233" s="10">
        <v>4175</v>
      </c>
      <c r="B233" s="6" t="s">
        <v>228</v>
      </c>
      <c r="C233" s="11" t="s">
        <v>413</v>
      </c>
    </row>
    <row r="234" spans="1:6">
      <c r="A234" s="10">
        <v>4176</v>
      </c>
      <c r="B234" s="6" t="s">
        <v>229</v>
      </c>
      <c r="C234" s="11" t="s">
        <v>413</v>
      </c>
    </row>
    <row r="235" spans="1:6">
      <c r="A235" s="10">
        <v>4177</v>
      </c>
      <c r="B235" s="6" t="s">
        <v>224</v>
      </c>
      <c r="C235" s="11" t="s">
        <v>413</v>
      </c>
    </row>
    <row r="236" spans="1:6">
      <c r="A236" s="9">
        <v>4200</v>
      </c>
      <c r="B236" s="8" t="s">
        <v>230</v>
      </c>
    </row>
    <row r="237" spans="1:6">
      <c r="A237" s="10">
        <v>4210</v>
      </c>
      <c r="B237" s="6" t="s">
        <v>231</v>
      </c>
      <c r="C237" s="11" t="s">
        <v>414</v>
      </c>
    </row>
    <row r="238" spans="1:6">
      <c r="A238" s="10">
        <v>4220</v>
      </c>
      <c r="B238" s="6" t="s">
        <v>232</v>
      </c>
      <c r="C238" s="11" t="s">
        <v>414</v>
      </c>
    </row>
    <row r="239" spans="1:6">
      <c r="A239" s="10">
        <v>4230</v>
      </c>
      <c r="B239" s="6" t="s">
        <v>233</v>
      </c>
      <c r="C239" s="11" t="s">
        <v>414</v>
      </c>
    </row>
    <row r="240" spans="1:6">
      <c r="A240" s="10">
        <v>4240</v>
      </c>
      <c r="B240" s="6" t="s">
        <v>234</v>
      </c>
      <c r="C240" s="11" t="s">
        <v>414</v>
      </c>
    </row>
    <row r="241" spans="1:6">
      <c r="A241" s="10">
        <v>4250</v>
      </c>
      <c r="B241" s="6" t="s">
        <v>235</v>
      </c>
      <c r="C241" s="11" t="s">
        <v>414</v>
      </c>
    </row>
    <row r="242" spans="1:6">
      <c r="A242" s="9">
        <v>4300</v>
      </c>
      <c r="B242" s="8" t="s">
        <v>73</v>
      </c>
    </row>
    <row r="243" spans="1:6">
      <c r="A243" s="10">
        <v>4310</v>
      </c>
      <c r="B243" s="6" t="s">
        <v>236</v>
      </c>
      <c r="C243" s="11" t="s">
        <v>73</v>
      </c>
    </row>
    <row r="244" spans="1:6">
      <c r="A244" s="9">
        <v>4400</v>
      </c>
      <c r="B244" s="8" t="s">
        <v>237</v>
      </c>
    </row>
    <row r="245" spans="1:6">
      <c r="A245" s="10">
        <v>4410</v>
      </c>
      <c r="B245" s="6" t="s">
        <v>238</v>
      </c>
      <c r="C245" s="11" t="s">
        <v>237</v>
      </c>
      <c r="D245" s="221" t="s">
        <v>680</v>
      </c>
      <c r="E245" s="390" t="s">
        <v>465</v>
      </c>
      <c r="F245" s="390" t="s">
        <v>476</v>
      </c>
    </row>
    <row r="246" spans="1:6">
      <c r="A246" s="10">
        <v>4420</v>
      </c>
      <c r="B246" s="6" t="s">
        <v>239</v>
      </c>
      <c r="C246" s="11" t="s">
        <v>237</v>
      </c>
    </row>
    <row r="247" spans="1:6">
      <c r="A247" s="10">
        <v>4430</v>
      </c>
      <c r="B247" s="6" t="s">
        <v>237</v>
      </c>
      <c r="C247" s="11" t="s">
        <v>237</v>
      </c>
    </row>
    <row r="248" spans="1:6">
      <c r="A248" s="9">
        <v>5000</v>
      </c>
      <c r="B248" s="8" t="s">
        <v>45</v>
      </c>
    </row>
    <row r="249" spans="1:6">
      <c r="A249" s="10">
        <v>5010</v>
      </c>
      <c r="B249" s="6" t="s">
        <v>240</v>
      </c>
      <c r="C249" s="11" t="s">
        <v>416</v>
      </c>
      <c r="D249" s="221" t="s">
        <v>686</v>
      </c>
      <c r="E249" s="389" t="s">
        <v>513</v>
      </c>
      <c r="F249" s="389" t="s">
        <v>522</v>
      </c>
    </row>
    <row r="250" spans="1:6">
      <c r="A250" s="10">
        <v>5020</v>
      </c>
      <c r="B250" s="6" t="s">
        <v>241</v>
      </c>
      <c r="C250" s="11" t="s">
        <v>416</v>
      </c>
      <c r="D250" s="221" t="s">
        <v>686</v>
      </c>
      <c r="E250" s="389" t="s">
        <v>513</v>
      </c>
      <c r="F250" s="389" t="s">
        <v>522</v>
      </c>
    </row>
    <row r="251" spans="1:6">
      <c r="A251" s="69">
        <v>5030</v>
      </c>
      <c r="B251" s="70" t="s">
        <v>242</v>
      </c>
      <c r="C251" s="220" t="s">
        <v>416</v>
      </c>
      <c r="D251" s="221" t="s">
        <v>686</v>
      </c>
      <c r="E251" s="389" t="s">
        <v>513</v>
      </c>
      <c r="F251" s="389" t="s">
        <v>522</v>
      </c>
    </row>
    <row r="252" spans="1:6">
      <c r="A252" s="67">
        <v>5031</v>
      </c>
      <c r="B252" s="68" t="s">
        <v>242</v>
      </c>
      <c r="C252" s="11" t="s">
        <v>416</v>
      </c>
      <c r="D252" s="221" t="s">
        <v>686</v>
      </c>
      <c r="E252" s="389" t="s">
        <v>513</v>
      </c>
      <c r="F252" s="389" t="s">
        <v>522</v>
      </c>
    </row>
    <row r="253" spans="1:6">
      <c r="A253" s="9">
        <v>5100</v>
      </c>
      <c r="B253" s="8" t="s">
        <v>243</v>
      </c>
    </row>
    <row r="254" spans="1:6">
      <c r="A254" s="10">
        <v>5110</v>
      </c>
      <c r="B254" s="6" t="s">
        <v>243</v>
      </c>
      <c r="C254" s="11" t="s">
        <v>416</v>
      </c>
      <c r="D254" s="221" t="s">
        <v>686</v>
      </c>
      <c r="E254" s="389" t="s">
        <v>513</v>
      </c>
      <c r="F254" s="389" t="s">
        <v>522</v>
      </c>
    </row>
    <row r="255" spans="1:6">
      <c r="A255" s="9">
        <v>5200</v>
      </c>
      <c r="B255" s="8" t="s">
        <v>244</v>
      </c>
    </row>
    <row r="256" spans="1:6">
      <c r="A256" s="10">
        <v>5210</v>
      </c>
      <c r="B256" s="6" t="s">
        <v>244</v>
      </c>
      <c r="C256" s="11" t="s">
        <v>244</v>
      </c>
    </row>
    <row r="257" spans="1:6">
      <c r="A257" s="9">
        <v>5300</v>
      </c>
      <c r="B257" s="8" t="s">
        <v>245</v>
      </c>
    </row>
    <row r="258" spans="1:6">
      <c r="A258" s="10">
        <v>5310</v>
      </c>
      <c r="B258" s="6" t="s">
        <v>245</v>
      </c>
      <c r="C258" s="11" t="s">
        <v>245</v>
      </c>
    </row>
    <row r="259" spans="1:6">
      <c r="A259" s="9">
        <v>5400</v>
      </c>
      <c r="B259" s="8" t="s">
        <v>246</v>
      </c>
    </row>
    <row r="260" spans="1:6">
      <c r="A260" s="10">
        <v>5410</v>
      </c>
      <c r="B260" s="6" t="s">
        <v>247</v>
      </c>
      <c r="C260" s="11" t="s">
        <v>246</v>
      </c>
    </row>
    <row r="261" spans="1:6">
      <c r="A261" s="10">
        <v>5420</v>
      </c>
      <c r="B261" s="6" t="s">
        <v>248</v>
      </c>
      <c r="C261" s="11" t="s">
        <v>246</v>
      </c>
    </row>
    <row r="262" spans="1:6">
      <c r="A262" s="10">
        <v>5430</v>
      </c>
      <c r="B262" s="6" t="s">
        <v>249</v>
      </c>
      <c r="C262" s="11" t="s">
        <v>246</v>
      </c>
    </row>
    <row r="263" spans="1:6">
      <c r="A263" s="10">
        <v>5440</v>
      </c>
      <c r="B263" s="6" t="s">
        <v>250</v>
      </c>
      <c r="C263" s="11" t="s">
        <v>246</v>
      </c>
    </row>
    <row r="264" spans="1:6">
      <c r="A264" s="10">
        <v>5450</v>
      </c>
      <c r="B264" s="6" t="s">
        <v>251</v>
      </c>
      <c r="C264" s="11" t="s">
        <v>246</v>
      </c>
    </row>
    <row r="265" spans="1:6">
      <c r="A265" s="10">
        <v>5460</v>
      </c>
      <c r="B265" s="6" t="s">
        <v>252</v>
      </c>
      <c r="C265" s="11" t="s">
        <v>246</v>
      </c>
    </row>
    <row r="266" spans="1:6">
      <c r="A266" s="9">
        <v>5500</v>
      </c>
      <c r="B266" s="8" t="s">
        <v>253</v>
      </c>
    </row>
    <row r="267" spans="1:6">
      <c r="A267" s="10">
        <v>5510</v>
      </c>
      <c r="B267" s="6" t="s">
        <v>254</v>
      </c>
      <c r="C267" s="11" t="s">
        <v>368</v>
      </c>
      <c r="D267" s="221" t="s">
        <v>680</v>
      </c>
      <c r="E267" s="390" t="s">
        <v>468</v>
      </c>
      <c r="F267" s="390" t="s">
        <v>476</v>
      </c>
    </row>
    <row r="268" spans="1:6">
      <c r="A268" s="69">
        <v>5520</v>
      </c>
      <c r="B268" s="70" t="s">
        <v>255</v>
      </c>
      <c r="C268" s="220" t="s">
        <v>368</v>
      </c>
    </row>
    <row r="269" spans="1:6">
      <c r="A269" s="67">
        <v>5521</v>
      </c>
      <c r="B269" s="68" t="s">
        <v>255</v>
      </c>
      <c r="C269" s="11" t="s">
        <v>368</v>
      </c>
    </row>
    <row r="270" spans="1:6">
      <c r="A270" s="9">
        <v>5600</v>
      </c>
      <c r="B270" s="8" t="s">
        <v>256</v>
      </c>
    </row>
    <row r="271" spans="1:6">
      <c r="A271" s="10">
        <v>5610</v>
      </c>
      <c r="B271" s="6" t="s">
        <v>256</v>
      </c>
      <c r="C271" s="11" t="s">
        <v>368</v>
      </c>
    </row>
    <row r="272" spans="1:6">
      <c r="A272" s="9">
        <v>6000</v>
      </c>
      <c r="B272" s="8" t="s">
        <v>257</v>
      </c>
    </row>
    <row r="273" spans="1:6">
      <c r="A273" s="69">
        <v>6010</v>
      </c>
      <c r="B273" s="70" t="s">
        <v>257</v>
      </c>
      <c r="C273" s="220" t="s">
        <v>425</v>
      </c>
      <c r="D273" s="221" t="s">
        <v>680</v>
      </c>
      <c r="E273" s="390" t="s">
        <v>468</v>
      </c>
      <c r="F273" s="390" t="s">
        <v>476</v>
      </c>
    </row>
    <row r="274" spans="1:6">
      <c r="A274" s="67">
        <v>6011</v>
      </c>
      <c r="B274" s="68" t="s">
        <v>595</v>
      </c>
      <c r="C274" s="11" t="s">
        <v>425</v>
      </c>
    </row>
    <row r="275" spans="1:6">
      <c r="A275" s="67">
        <v>6012</v>
      </c>
      <c r="B275" s="68" t="s">
        <v>596</v>
      </c>
      <c r="C275" s="11" t="s">
        <v>425</v>
      </c>
    </row>
    <row r="276" spans="1:6">
      <c r="A276" s="67">
        <v>6013</v>
      </c>
      <c r="B276" s="68" t="s">
        <v>597</v>
      </c>
      <c r="C276" s="11" t="s">
        <v>425</v>
      </c>
    </row>
    <row r="277" spans="1:6">
      <c r="A277" s="73">
        <v>6014</v>
      </c>
      <c r="B277" s="74"/>
      <c r="C277" s="11" t="s">
        <v>425</v>
      </c>
    </row>
    <row r="278" spans="1:6">
      <c r="A278" s="10">
        <v>6020</v>
      </c>
      <c r="B278" s="6" t="s">
        <v>258</v>
      </c>
      <c r="C278" s="11" t="s">
        <v>425</v>
      </c>
    </row>
    <row r="279" spans="1:6">
      <c r="A279" s="10">
        <v>6030</v>
      </c>
      <c r="B279" s="6" t="s">
        <v>259</v>
      </c>
      <c r="C279" s="11" t="s">
        <v>425</v>
      </c>
    </row>
    <row r="280" spans="1:6">
      <c r="A280" s="9">
        <v>6100</v>
      </c>
      <c r="B280" s="8" t="s">
        <v>71</v>
      </c>
    </row>
    <row r="281" spans="1:6">
      <c r="A281" s="10">
        <v>6110</v>
      </c>
      <c r="B281" s="6" t="s">
        <v>260</v>
      </c>
      <c r="C281" s="11" t="s">
        <v>63</v>
      </c>
      <c r="E281" s="222" t="s">
        <v>687</v>
      </c>
    </row>
    <row r="282" spans="1:6">
      <c r="A282" s="10">
        <v>6120</v>
      </c>
      <c r="B282" s="6" t="s">
        <v>261</v>
      </c>
      <c r="C282" s="11" t="s">
        <v>63</v>
      </c>
    </row>
    <row r="283" spans="1:6">
      <c r="A283" s="10">
        <v>6130</v>
      </c>
      <c r="B283" s="6" t="s">
        <v>262</v>
      </c>
      <c r="C283" s="11" t="s">
        <v>63</v>
      </c>
    </row>
    <row r="284" spans="1:6">
      <c r="A284" s="10">
        <v>6140</v>
      </c>
      <c r="B284" s="6" t="s">
        <v>263</v>
      </c>
      <c r="C284" s="11" t="s">
        <v>63</v>
      </c>
    </row>
    <row r="285" spans="1:6">
      <c r="A285" s="10">
        <v>6150</v>
      </c>
      <c r="B285" s="6" t="s">
        <v>264</v>
      </c>
      <c r="C285" s="11" t="s">
        <v>63</v>
      </c>
    </row>
    <row r="286" spans="1:6">
      <c r="A286" s="10">
        <v>6160</v>
      </c>
      <c r="B286" s="6" t="s">
        <v>265</v>
      </c>
      <c r="C286" s="11" t="s">
        <v>63</v>
      </c>
    </row>
    <row r="287" spans="1:6">
      <c r="A287" s="9">
        <v>6200</v>
      </c>
      <c r="B287" s="8" t="s">
        <v>266</v>
      </c>
    </row>
    <row r="288" spans="1:6">
      <c r="A288" s="10">
        <v>6210</v>
      </c>
      <c r="B288" s="6" t="s">
        <v>267</v>
      </c>
      <c r="C288" s="11" t="s">
        <v>267</v>
      </c>
    </row>
    <row r="289" spans="1:6">
      <c r="A289" s="10">
        <v>6212</v>
      </c>
      <c r="B289" s="363" t="s">
        <v>722</v>
      </c>
      <c r="C289" s="11" t="s">
        <v>266</v>
      </c>
    </row>
    <row r="290" spans="1:6">
      <c r="A290" s="10">
        <v>6213</v>
      </c>
      <c r="B290" s="363" t="s">
        <v>723</v>
      </c>
      <c r="C290" s="11" t="s">
        <v>266</v>
      </c>
    </row>
    <row r="291" spans="1:6">
      <c r="A291" s="10">
        <v>6220</v>
      </c>
      <c r="B291" s="6" t="s">
        <v>268</v>
      </c>
      <c r="C291" s="11" t="s">
        <v>266</v>
      </c>
    </row>
    <row r="292" spans="1:6">
      <c r="A292" s="10">
        <v>6230</v>
      </c>
      <c r="B292" s="6" t="s">
        <v>269</v>
      </c>
      <c r="C292" s="11" t="s">
        <v>266</v>
      </c>
    </row>
    <row r="293" spans="1:6">
      <c r="A293" s="10">
        <v>6240</v>
      </c>
      <c r="B293" s="6" t="s">
        <v>270</v>
      </c>
      <c r="C293" s="11" t="s">
        <v>266</v>
      </c>
    </row>
    <row r="294" spans="1:6">
      <c r="A294" s="10">
        <v>6250</v>
      </c>
      <c r="B294" s="6" t="s">
        <v>271</v>
      </c>
      <c r="C294" s="11" t="s">
        <v>271</v>
      </c>
      <c r="D294" s="221" t="s">
        <v>680</v>
      </c>
      <c r="E294" s="389" t="s">
        <v>468</v>
      </c>
      <c r="F294" s="389" t="s">
        <v>476</v>
      </c>
    </row>
    <row r="295" spans="1:6">
      <c r="A295" s="10">
        <v>6260</v>
      </c>
      <c r="B295" s="6" t="s">
        <v>272</v>
      </c>
      <c r="C295" s="11" t="s">
        <v>272</v>
      </c>
    </row>
    <row r="296" spans="1:6">
      <c r="A296" s="10">
        <v>6270</v>
      </c>
      <c r="B296" s="6" t="s">
        <v>273</v>
      </c>
      <c r="C296" s="11" t="s">
        <v>266</v>
      </c>
    </row>
    <row r="297" spans="1:6">
      <c r="A297" s="69">
        <v>6280</v>
      </c>
      <c r="B297" s="70" t="s">
        <v>266</v>
      </c>
      <c r="C297" s="220" t="s">
        <v>266</v>
      </c>
      <c r="D297" s="221" t="s">
        <v>680</v>
      </c>
      <c r="E297" s="389" t="s">
        <v>468</v>
      </c>
    </row>
    <row r="298" spans="1:6">
      <c r="A298" s="67">
        <v>6282</v>
      </c>
      <c r="B298" s="68" t="s">
        <v>598</v>
      </c>
      <c r="C298" s="11" t="s">
        <v>266</v>
      </c>
    </row>
    <row r="299" spans="1:6">
      <c r="A299" s="67">
        <v>6287</v>
      </c>
      <c r="B299" s="68" t="s">
        <v>266</v>
      </c>
      <c r="C299" s="11" t="s">
        <v>266</v>
      </c>
    </row>
    <row r="300" spans="1:6">
      <c r="A300" s="9">
        <v>6300</v>
      </c>
      <c r="B300" s="8" t="s">
        <v>274</v>
      </c>
    </row>
    <row r="301" spans="1:6">
      <c r="A301" s="10">
        <v>6310</v>
      </c>
      <c r="B301" s="6" t="s">
        <v>275</v>
      </c>
      <c r="C301" s="11" t="s">
        <v>435</v>
      </c>
    </row>
    <row r="302" spans="1:6">
      <c r="A302" s="9">
        <v>6400</v>
      </c>
      <c r="B302" s="8" t="s">
        <v>276</v>
      </c>
    </row>
    <row r="303" spans="1:6">
      <c r="A303" s="10">
        <v>6410</v>
      </c>
      <c r="B303" s="6" t="s">
        <v>277</v>
      </c>
      <c r="C303" s="11" t="s">
        <v>429</v>
      </c>
    </row>
    <row r="304" spans="1:6">
      <c r="A304" s="10">
        <v>6420</v>
      </c>
      <c r="B304" s="6" t="s">
        <v>278</v>
      </c>
      <c r="C304" s="11" t="s">
        <v>429</v>
      </c>
    </row>
    <row r="305" spans="1:6">
      <c r="A305" s="9">
        <v>7000</v>
      </c>
      <c r="B305" s="8" t="s">
        <v>279</v>
      </c>
    </row>
    <row r="306" spans="1:6">
      <c r="A306" s="69">
        <v>7010</v>
      </c>
      <c r="B306" s="70" t="s">
        <v>279</v>
      </c>
      <c r="C306" s="220" t="s">
        <v>426</v>
      </c>
      <c r="D306" s="221" t="s">
        <v>680</v>
      </c>
      <c r="E306" s="390" t="s">
        <v>468</v>
      </c>
      <c r="F306" s="390" t="s">
        <v>476</v>
      </c>
    </row>
    <row r="307" spans="1:6">
      <c r="A307" s="67">
        <v>7011</v>
      </c>
      <c r="B307" s="68" t="s">
        <v>599</v>
      </c>
      <c r="C307" s="11" t="s">
        <v>426</v>
      </c>
    </row>
    <row r="308" spans="1:6">
      <c r="A308" s="67">
        <v>7012</v>
      </c>
      <c r="B308" s="68" t="s">
        <v>600</v>
      </c>
      <c r="C308" s="11" t="s">
        <v>426</v>
      </c>
    </row>
    <row r="309" spans="1:6">
      <c r="A309" s="67">
        <v>7013</v>
      </c>
      <c r="B309" s="68" t="s">
        <v>601</v>
      </c>
      <c r="C309" s="11" t="s">
        <v>426</v>
      </c>
    </row>
    <row r="310" spans="1:6">
      <c r="A310" s="9">
        <v>7100</v>
      </c>
      <c r="B310" s="8" t="s">
        <v>280</v>
      </c>
    </row>
    <row r="311" spans="1:6">
      <c r="A311" s="69">
        <v>7110</v>
      </c>
      <c r="B311" s="70" t="s">
        <v>280</v>
      </c>
      <c r="C311" s="220" t="s">
        <v>57</v>
      </c>
    </row>
    <row r="312" spans="1:6">
      <c r="A312" s="67">
        <v>7111</v>
      </c>
      <c r="B312" s="68" t="s">
        <v>602</v>
      </c>
      <c r="C312" s="11" t="s">
        <v>57</v>
      </c>
    </row>
    <row r="313" spans="1:6">
      <c r="A313" s="67">
        <v>7112</v>
      </c>
      <c r="B313" s="363" t="s">
        <v>724</v>
      </c>
      <c r="C313" s="11" t="s">
        <v>57</v>
      </c>
    </row>
    <row r="314" spans="1:6">
      <c r="A314" s="9">
        <v>7200</v>
      </c>
      <c r="B314" s="8" t="s">
        <v>55</v>
      </c>
    </row>
    <row r="315" spans="1:6">
      <c r="A315" s="69">
        <v>7210</v>
      </c>
      <c r="B315" s="70" t="s">
        <v>55</v>
      </c>
      <c r="C315" s="11" t="s">
        <v>55</v>
      </c>
      <c r="D315" s="221" t="s">
        <v>680</v>
      </c>
      <c r="E315" s="390" t="s">
        <v>468</v>
      </c>
      <c r="F315" s="390" t="s">
        <v>476</v>
      </c>
    </row>
    <row r="316" spans="1:6">
      <c r="A316" s="10">
        <v>7211</v>
      </c>
      <c r="B316" s="6" t="s">
        <v>370</v>
      </c>
      <c r="C316" s="11" t="s">
        <v>55</v>
      </c>
      <c r="D316" s="221" t="s">
        <v>680</v>
      </c>
      <c r="E316" s="390" t="s">
        <v>468</v>
      </c>
      <c r="F316" s="390" t="s">
        <v>476</v>
      </c>
    </row>
    <row r="317" spans="1:6">
      <c r="A317" s="10">
        <v>7212</v>
      </c>
      <c r="B317" s="6" t="s">
        <v>370</v>
      </c>
      <c r="C317" s="11" t="s">
        <v>55</v>
      </c>
    </row>
    <row r="318" spans="1:6">
      <c r="A318" s="9">
        <v>7300</v>
      </c>
      <c r="B318" s="8" t="s">
        <v>281</v>
      </c>
    </row>
    <row r="319" spans="1:6">
      <c r="A319" s="69">
        <v>7310</v>
      </c>
      <c r="B319" s="70" t="s">
        <v>282</v>
      </c>
      <c r="C319" s="220" t="s">
        <v>65</v>
      </c>
    </row>
    <row r="320" spans="1:6">
      <c r="A320" s="67">
        <v>7311</v>
      </c>
      <c r="B320" s="68" t="s">
        <v>603</v>
      </c>
      <c r="C320" s="11" t="s">
        <v>65</v>
      </c>
    </row>
    <row r="321" spans="1:6">
      <c r="A321" s="67">
        <v>7313</v>
      </c>
      <c r="B321" s="68" t="s">
        <v>604</v>
      </c>
      <c r="C321" s="11" t="s">
        <v>65</v>
      </c>
    </row>
    <row r="322" spans="1:6">
      <c r="A322" s="10">
        <v>7320</v>
      </c>
      <c r="B322" s="6" t="s">
        <v>283</v>
      </c>
      <c r="C322" s="11" t="s">
        <v>65</v>
      </c>
    </row>
    <row r="323" spans="1:6">
      <c r="A323" s="10">
        <v>7330</v>
      </c>
      <c r="B323" s="6" t="s">
        <v>284</v>
      </c>
      <c r="C323" s="11" t="s">
        <v>65</v>
      </c>
    </row>
    <row r="324" spans="1:6">
      <c r="A324" s="10">
        <v>7340</v>
      </c>
      <c r="B324" s="6" t="s">
        <v>285</v>
      </c>
      <c r="C324" s="11" t="s">
        <v>65</v>
      </c>
    </row>
    <row r="325" spans="1:6">
      <c r="A325" s="9">
        <v>7400</v>
      </c>
      <c r="B325" s="8" t="s">
        <v>286</v>
      </c>
    </row>
    <row r="326" spans="1:6">
      <c r="A326" s="10">
        <v>7410</v>
      </c>
      <c r="B326" s="6" t="s">
        <v>287</v>
      </c>
      <c r="C326" s="11" t="s">
        <v>287</v>
      </c>
    </row>
    <row r="327" spans="1:6">
      <c r="A327" s="10">
        <v>7412</v>
      </c>
      <c r="B327" s="363" t="s">
        <v>725</v>
      </c>
      <c r="C327" s="11" t="s">
        <v>286</v>
      </c>
    </row>
    <row r="328" spans="1:6">
      <c r="A328" s="10">
        <v>7416</v>
      </c>
      <c r="B328" s="363" t="s">
        <v>726</v>
      </c>
      <c r="C328" s="11" t="s">
        <v>286</v>
      </c>
    </row>
    <row r="329" spans="1:6">
      <c r="A329" s="10">
        <v>7420</v>
      </c>
      <c r="B329" s="6" t="s">
        <v>288</v>
      </c>
      <c r="C329" s="11" t="s">
        <v>286</v>
      </c>
    </row>
    <row r="330" spans="1:6">
      <c r="A330" s="10">
        <v>7430</v>
      </c>
      <c r="B330" s="6" t="s">
        <v>289</v>
      </c>
      <c r="C330" s="11" t="s">
        <v>289</v>
      </c>
      <c r="D330" s="221" t="s">
        <v>680</v>
      </c>
      <c r="E330" s="389" t="s">
        <v>468</v>
      </c>
      <c r="F330" s="389" t="s">
        <v>476</v>
      </c>
    </row>
    <row r="331" spans="1:6">
      <c r="A331" s="10">
        <v>7440</v>
      </c>
      <c r="B331" s="6" t="s">
        <v>290</v>
      </c>
      <c r="C331" s="11" t="s">
        <v>286</v>
      </c>
    </row>
    <row r="332" spans="1:6">
      <c r="A332" s="10">
        <v>7450</v>
      </c>
      <c r="B332" s="6" t="s">
        <v>291</v>
      </c>
      <c r="C332" s="11" t="s">
        <v>291</v>
      </c>
    </row>
    <row r="333" spans="1:6">
      <c r="A333" s="10">
        <v>7460</v>
      </c>
      <c r="B333" s="6" t="s">
        <v>292</v>
      </c>
      <c r="C333" s="11" t="s">
        <v>286</v>
      </c>
    </row>
    <row r="334" spans="1:6">
      <c r="A334" s="10">
        <v>7470</v>
      </c>
      <c r="B334" s="6" t="s">
        <v>286</v>
      </c>
      <c r="C334" s="11" t="s">
        <v>286</v>
      </c>
      <c r="D334" s="221" t="s">
        <v>680</v>
      </c>
      <c r="E334" s="389" t="s">
        <v>468</v>
      </c>
      <c r="F334" s="389" t="s">
        <v>476</v>
      </c>
    </row>
    <row r="335" spans="1:6">
      <c r="A335" s="9">
        <v>7500</v>
      </c>
      <c r="B335" s="8" t="s">
        <v>293</v>
      </c>
    </row>
    <row r="336" spans="1:6">
      <c r="A336" s="10">
        <v>7510</v>
      </c>
      <c r="B336" s="6" t="s">
        <v>293</v>
      </c>
      <c r="C336" s="11" t="s">
        <v>435</v>
      </c>
    </row>
    <row r="337" spans="1:3">
      <c r="A337" s="9">
        <v>7600</v>
      </c>
      <c r="B337" s="8" t="s">
        <v>294</v>
      </c>
    </row>
    <row r="338" spans="1:3">
      <c r="A338" s="10">
        <v>7610</v>
      </c>
      <c r="B338" s="6" t="s">
        <v>295</v>
      </c>
      <c r="C338" s="11" t="s">
        <v>429</v>
      </c>
    </row>
    <row r="339" spans="1:3">
      <c r="A339" s="10">
        <v>7620</v>
      </c>
      <c r="B339" s="6" t="s">
        <v>296</v>
      </c>
      <c r="C339" s="11" t="s">
        <v>429</v>
      </c>
    </row>
    <row r="340" spans="1:3">
      <c r="A340" s="9">
        <v>7700</v>
      </c>
      <c r="B340" s="8" t="s">
        <v>297</v>
      </c>
    </row>
    <row r="341" spans="1:3">
      <c r="A341" s="10">
        <v>7710</v>
      </c>
      <c r="B341" s="6" t="s">
        <v>297</v>
      </c>
      <c r="C341" s="11" t="s">
        <v>433</v>
      </c>
    </row>
    <row r="342" spans="1:3">
      <c r="A342" s="9">
        <v>8100</v>
      </c>
      <c r="B342" s="8" t="s">
        <v>115</v>
      </c>
    </row>
    <row r="343" spans="1:3">
      <c r="A343" s="10">
        <v>8111</v>
      </c>
      <c r="B343" s="6" t="s">
        <v>115</v>
      </c>
      <c r="C343" s="11" t="s">
        <v>426</v>
      </c>
    </row>
    <row r="344" spans="1:3">
      <c r="A344" s="10">
        <v>8120</v>
      </c>
      <c r="B344" s="6" t="s">
        <v>298</v>
      </c>
    </row>
    <row r="345" spans="1:3">
      <c r="A345" s="9">
        <v>8200</v>
      </c>
      <c r="B345" s="8" t="s">
        <v>116</v>
      </c>
    </row>
    <row r="346" spans="1:3">
      <c r="A346" s="10">
        <v>8210</v>
      </c>
      <c r="B346" s="6" t="s">
        <v>116</v>
      </c>
    </row>
    <row r="347" spans="1:3">
      <c r="A347" s="9">
        <v>8300</v>
      </c>
      <c r="B347" s="8" t="s">
        <v>117</v>
      </c>
    </row>
    <row r="348" spans="1:3">
      <c r="A348" s="10">
        <v>8310</v>
      </c>
      <c r="B348" s="6" t="s">
        <v>117</v>
      </c>
    </row>
    <row r="349" spans="1:3">
      <c r="A349" s="9">
        <v>8400</v>
      </c>
      <c r="B349" s="8" t="s">
        <v>299</v>
      </c>
    </row>
    <row r="350" spans="1:3">
      <c r="A350" s="10">
        <v>8410</v>
      </c>
      <c r="B350" s="6" t="s">
        <v>299</v>
      </c>
    </row>
    <row r="351" spans="1:3">
      <c r="A351" s="9">
        <v>9010</v>
      </c>
      <c r="B351" s="8" t="s">
        <v>300</v>
      </c>
    </row>
    <row r="352" spans="1:3">
      <c r="A352" s="10">
        <v>9011</v>
      </c>
      <c r="B352" s="6" t="s">
        <v>300</v>
      </c>
    </row>
    <row r="353" spans="1:2">
      <c r="A353" s="10">
        <v>9012</v>
      </c>
      <c r="B353" s="6" t="s">
        <v>301</v>
      </c>
    </row>
    <row r="354" spans="1:2">
      <c r="A354" s="9">
        <v>9020</v>
      </c>
      <c r="B354" s="8" t="s">
        <v>302</v>
      </c>
    </row>
    <row r="355" spans="1:2">
      <c r="A355" s="10">
        <v>9021</v>
      </c>
      <c r="B355" s="6" t="s">
        <v>303</v>
      </c>
    </row>
    <row r="356" spans="1:2">
      <c r="A356" s="10">
        <v>9022</v>
      </c>
      <c r="B356" s="6" t="s">
        <v>304</v>
      </c>
    </row>
  </sheetData>
  <autoFilter ref="A1:M302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E28" sqref="E28"/>
    </sheetView>
  </sheetViews>
  <sheetFormatPr defaultRowHeight="15"/>
  <cols>
    <col min="1" max="1" width="2.140625" style="66" customWidth="1"/>
    <col min="2" max="2" width="36" style="66" bestFit="1" customWidth="1"/>
    <col min="3" max="3" width="12.28515625" style="66" bestFit="1" customWidth="1"/>
    <col min="4" max="4" width="6.7109375" style="66" bestFit="1" customWidth="1"/>
    <col min="5" max="5" width="11.28515625" style="66" bestFit="1" customWidth="1"/>
    <col min="6" max="6" width="9.85546875" style="66" bestFit="1" customWidth="1"/>
    <col min="7" max="7" width="12.28515625" style="66" bestFit="1" customWidth="1"/>
    <col min="8" max="8" width="6.7109375" style="66" bestFit="1" customWidth="1"/>
    <col min="9" max="16384" width="9.140625" style="135"/>
  </cols>
  <sheetData>
    <row r="1" spans="1:8" s="66" customFormat="1">
      <c r="A1" s="198"/>
      <c r="B1" s="240" t="s">
        <v>649</v>
      </c>
      <c r="C1" s="201"/>
      <c r="D1" s="201"/>
      <c r="E1" s="201"/>
      <c r="F1" s="201"/>
      <c r="G1" s="201"/>
      <c r="H1" s="201"/>
    </row>
    <row r="2" spans="1:8" s="66" customFormat="1">
      <c r="A2" s="198"/>
      <c r="B2" s="684" t="s">
        <v>667</v>
      </c>
      <c r="C2" s="684"/>
      <c r="D2" s="684"/>
      <c r="E2" s="684"/>
      <c r="F2" s="684"/>
      <c r="G2" s="684"/>
      <c r="H2" s="684"/>
    </row>
    <row r="3" spans="1:8" s="66" customFormat="1">
      <c r="A3" s="199"/>
      <c r="B3" s="685" t="s">
        <v>697</v>
      </c>
      <c r="C3" s="685"/>
      <c r="D3" s="685"/>
      <c r="E3" s="685"/>
      <c r="F3" s="685"/>
      <c r="G3" s="685"/>
      <c r="H3" s="685"/>
    </row>
    <row r="4" spans="1:8" s="66" customFormat="1" ht="15" customHeight="1">
      <c r="A4" s="136"/>
      <c r="B4" s="686" t="s">
        <v>668</v>
      </c>
      <c r="C4" s="686"/>
      <c r="D4" s="686"/>
      <c r="E4" s="686"/>
      <c r="F4" s="686"/>
      <c r="G4" s="686"/>
      <c r="H4" s="686"/>
    </row>
    <row r="5" spans="1:8" s="66" customFormat="1">
      <c r="A5" s="136"/>
      <c r="B5" s="687" t="s">
        <v>359</v>
      </c>
      <c r="C5" s="687"/>
      <c r="D5" s="687"/>
      <c r="E5" s="687"/>
      <c r="F5" s="687"/>
      <c r="G5" s="687"/>
      <c r="H5" s="687"/>
    </row>
    <row r="6" spans="1:8" s="66" customFormat="1" ht="15.75" thickBot="1">
      <c r="A6" s="200"/>
      <c r="B6" s="201"/>
      <c r="C6" s="201"/>
      <c r="D6" s="201"/>
      <c r="E6" s="201"/>
      <c r="F6" s="201"/>
      <c r="G6" s="201"/>
      <c r="H6" s="201"/>
    </row>
    <row r="7" spans="1:8" s="204" customFormat="1" ht="15" customHeight="1">
      <c r="A7" s="202"/>
      <c r="B7" s="203" t="s">
        <v>669</v>
      </c>
      <c r="C7" s="688" t="s">
        <v>361</v>
      </c>
      <c r="D7" s="688"/>
      <c r="E7" s="689" t="s">
        <v>362</v>
      </c>
      <c r="F7" s="689"/>
      <c r="G7" s="690" t="s">
        <v>363</v>
      </c>
      <c r="H7" s="690"/>
    </row>
    <row r="8" spans="1:8" s="66" customFormat="1" ht="15.75" thickBot="1">
      <c r="A8" s="205"/>
      <c r="B8" s="206"/>
      <c r="C8" s="207" t="s">
        <v>364</v>
      </c>
      <c r="D8" s="207" t="s">
        <v>365</v>
      </c>
      <c r="E8" s="208" t="s">
        <v>364</v>
      </c>
      <c r="F8" s="208" t="s">
        <v>365</v>
      </c>
      <c r="G8" s="208" t="s">
        <v>364</v>
      </c>
      <c r="H8" s="209" t="s">
        <v>365</v>
      </c>
    </row>
    <row r="9" spans="1:8">
      <c r="A9" s="210"/>
      <c r="B9" s="241" t="s">
        <v>649</v>
      </c>
      <c r="C9" s="242">
        <v>72299358.069999993</v>
      </c>
      <c r="D9" s="243"/>
      <c r="E9" s="242">
        <v>420624.62</v>
      </c>
      <c r="F9" s="242">
        <v>73499.88</v>
      </c>
      <c r="G9" s="242">
        <v>72646482.810000002</v>
      </c>
      <c r="H9" s="244"/>
    </row>
    <row r="10" spans="1:8">
      <c r="A10" s="211"/>
      <c r="B10" s="245" t="s">
        <v>670</v>
      </c>
      <c r="C10" s="246">
        <v>66858211.960000001</v>
      </c>
      <c r="D10" s="247"/>
      <c r="E10" s="246">
        <v>383628</v>
      </c>
      <c r="F10" s="247"/>
      <c r="G10" s="246">
        <v>67241839.959999993</v>
      </c>
      <c r="H10" s="248"/>
    </row>
    <row r="11" spans="1:8">
      <c r="A11" s="212"/>
      <c r="B11" s="249" t="s">
        <v>671</v>
      </c>
      <c r="C11" s="250">
        <v>2281268.04</v>
      </c>
      <c r="D11" s="251"/>
      <c r="E11" s="251"/>
      <c r="F11" s="251"/>
      <c r="G11" s="250">
        <v>2281268.04</v>
      </c>
      <c r="H11" s="252"/>
    </row>
    <row r="12" spans="1:8">
      <c r="A12" s="212"/>
      <c r="B12" s="249" t="s">
        <v>672</v>
      </c>
      <c r="C12" s="250">
        <v>40799271.060000002</v>
      </c>
      <c r="D12" s="251"/>
      <c r="E12" s="251"/>
      <c r="F12" s="251"/>
      <c r="G12" s="250">
        <v>40799271.060000002</v>
      </c>
      <c r="H12" s="252"/>
    </row>
    <row r="13" spans="1:8">
      <c r="A13" s="212"/>
      <c r="B13" s="249" t="s">
        <v>673</v>
      </c>
      <c r="C13" s="250">
        <v>23777672.859999999</v>
      </c>
      <c r="D13" s="251"/>
      <c r="E13" s="250">
        <v>383628</v>
      </c>
      <c r="F13" s="251"/>
      <c r="G13" s="250">
        <v>24161300.859999999</v>
      </c>
      <c r="H13" s="252"/>
    </row>
    <row r="14" spans="1:8">
      <c r="A14" s="211"/>
      <c r="B14" s="245" t="s">
        <v>674</v>
      </c>
      <c r="C14" s="246">
        <v>5441146.1100000003</v>
      </c>
      <c r="D14" s="247"/>
      <c r="E14" s="246">
        <v>36996.620000000003</v>
      </c>
      <c r="F14" s="246">
        <v>73499.88</v>
      </c>
      <c r="G14" s="246">
        <v>5404642.8499999996</v>
      </c>
      <c r="H14" s="248"/>
    </row>
    <row r="15" spans="1:8">
      <c r="A15" s="212"/>
      <c r="B15" s="249" t="s">
        <v>671</v>
      </c>
      <c r="C15" s="250">
        <v>555903.9</v>
      </c>
      <c r="D15" s="251"/>
      <c r="E15" s="250">
        <v>3429.64</v>
      </c>
      <c r="F15" s="250">
        <v>8140.69</v>
      </c>
      <c r="G15" s="250">
        <v>551192.85</v>
      </c>
      <c r="H15" s="252"/>
    </row>
    <row r="16" spans="1:8">
      <c r="A16" s="212"/>
      <c r="B16" s="249" t="s">
        <v>675</v>
      </c>
      <c r="C16" s="250">
        <v>850026.28</v>
      </c>
      <c r="D16" s="251"/>
      <c r="E16" s="250">
        <v>5244.23</v>
      </c>
      <c r="F16" s="250">
        <v>12447.85</v>
      </c>
      <c r="G16" s="250">
        <v>842822.66</v>
      </c>
      <c r="H16" s="252"/>
    </row>
    <row r="17" spans="1:8">
      <c r="A17" s="212"/>
      <c r="B17" s="249" t="s">
        <v>676</v>
      </c>
      <c r="C17" s="250">
        <v>936295.5</v>
      </c>
      <c r="D17" s="251"/>
      <c r="E17" s="250">
        <v>9203.98</v>
      </c>
      <c r="F17" s="250">
        <v>7530.53</v>
      </c>
      <c r="G17" s="250">
        <v>937968.95</v>
      </c>
      <c r="H17" s="252"/>
    </row>
    <row r="18" spans="1:8" ht="15.75" thickBot="1">
      <c r="A18" s="212"/>
      <c r="B18" s="249" t="s">
        <v>676</v>
      </c>
      <c r="C18" s="250">
        <v>3098920.43</v>
      </c>
      <c r="D18" s="251"/>
      <c r="E18" s="250">
        <v>19118.77</v>
      </c>
      <c r="F18" s="250">
        <v>45380.81</v>
      </c>
      <c r="G18" s="250">
        <v>3072658.39</v>
      </c>
      <c r="H18" s="252"/>
    </row>
    <row r="19" spans="1:8" ht="15.75" thickBot="1">
      <c r="A19" s="136"/>
      <c r="B19" s="213" t="s">
        <v>615</v>
      </c>
      <c r="C19" s="214">
        <v>72299358.069999993</v>
      </c>
      <c r="D19" s="215"/>
      <c r="E19" s="214">
        <v>420624.62</v>
      </c>
      <c r="F19" s="214">
        <v>73499.88</v>
      </c>
      <c r="G19" s="214">
        <v>72646482.810000002</v>
      </c>
      <c r="H19" s="216"/>
    </row>
    <row r="20" spans="1:8" s="66" customFormat="1">
      <c r="A20" s="200"/>
      <c r="B20" s="217"/>
      <c r="C20" s="217"/>
      <c r="D20" s="217"/>
      <c r="E20" s="217"/>
      <c r="F20" s="217"/>
      <c r="G20" s="217"/>
      <c r="H20" s="217"/>
    </row>
  </sheetData>
  <mergeCells count="7">
    <mergeCell ref="B2:H2"/>
    <mergeCell ref="B3:H3"/>
    <mergeCell ref="B4:H4"/>
    <mergeCell ref="B5:H5"/>
    <mergeCell ref="C7:D7"/>
    <mergeCell ref="E7:F7"/>
    <mergeCell ref="G7:H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/>
  </sheetViews>
  <sheetFormatPr defaultRowHeight="12.75"/>
  <cols>
    <col min="1" max="1" width="2.28515625" style="108" customWidth="1"/>
    <col min="2" max="2" width="59" style="108" customWidth="1"/>
    <col min="3" max="3" width="14.140625" style="108" customWidth="1"/>
    <col min="4" max="4" width="1.85546875" style="108" customWidth="1"/>
    <col min="5" max="5" width="13.28515625" style="108" customWidth="1"/>
    <col min="6" max="6" width="10" style="108" bestFit="1" customWidth="1"/>
    <col min="7" max="7" width="11.85546875" style="108" customWidth="1"/>
    <col min="8" max="16384" width="9.140625" style="108"/>
  </cols>
  <sheetData>
    <row r="1" spans="1:7" ht="15.75">
      <c r="A1" s="107" t="s">
        <v>322</v>
      </c>
    </row>
    <row r="2" spans="1:7" ht="15" customHeight="1">
      <c r="B2" s="109"/>
      <c r="C2" s="110">
        <v>40451</v>
      </c>
      <c r="D2" s="109"/>
      <c r="E2" s="111">
        <v>2009</v>
      </c>
    </row>
    <row r="3" spans="1:7" ht="15" customHeight="1">
      <c r="B3" s="112" t="s">
        <v>630</v>
      </c>
      <c r="C3" s="113">
        <v>6556</v>
      </c>
      <c r="D3" s="114"/>
      <c r="E3" s="113">
        <v>6556</v>
      </c>
    </row>
    <row r="4" spans="1:7" ht="16.5" customHeight="1">
      <c r="B4" s="112" t="s">
        <v>631</v>
      </c>
      <c r="C4" s="115">
        <v>110484</v>
      </c>
      <c r="E4" s="115">
        <v>110484</v>
      </c>
    </row>
    <row r="5" spans="1:7" ht="24.75" customHeight="1" thickBot="1">
      <c r="B5" s="116"/>
      <c r="C5" s="117">
        <f>SUM(C3:C4)</f>
        <v>117040</v>
      </c>
      <c r="D5" s="118"/>
      <c r="E5" s="117">
        <v>117040</v>
      </c>
    </row>
    <row r="6" spans="1:7" ht="13.5" thickTop="1"/>
    <row r="7" spans="1:7" ht="15.75">
      <c r="B7" s="107" t="s">
        <v>632</v>
      </c>
    </row>
    <row r="8" spans="1:7" ht="15.75">
      <c r="A8" s="107"/>
      <c r="C8" s="119">
        <v>40451</v>
      </c>
      <c r="D8" s="120"/>
      <c r="E8" s="121">
        <v>2009</v>
      </c>
    </row>
    <row r="9" spans="1:7" ht="18" customHeight="1">
      <c r="A9" s="107"/>
      <c r="B9" s="122" t="s">
        <v>633</v>
      </c>
      <c r="C9" s="123">
        <f>E14</f>
        <v>117040</v>
      </c>
      <c r="E9" s="124">
        <v>116944</v>
      </c>
    </row>
    <row r="10" spans="1:7" ht="18" customHeight="1">
      <c r="A10" s="107"/>
      <c r="B10" s="122" t="s">
        <v>634</v>
      </c>
      <c r="C10" s="124" t="s">
        <v>635</v>
      </c>
      <c r="E10" s="124" t="s">
        <v>635</v>
      </c>
    </row>
    <row r="11" spans="1:7" ht="15.75">
      <c r="A11" s="107"/>
      <c r="B11" s="122" t="s">
        <v>636</v>
      </c>
      <c r="C11" s="124" t="s">
        <v>635</v>
      </c>
      <c r="E11" s="123" t="s">
        <v>635</v>
      </c>
    </row>
    <row r="12" spans="1:7" ht="15.75">
      <c r="A12" s="107"/>
      <c r="B12" s="122" t="s">
        <v>637</v>
      </c>
      <c r="C12" s="124"/>
      <c r="E12" s="123">
        <v>1294</v>
      </c>
    </row>
    <row r="13" spans="1:7" ht="15.75">
      <c r="A13" s="107"/>
      <c r="B13" s="122" t="s">
        <v>638</v>
      </c>
      <c r="C13" s="115"/>
      <c r="E13" s="123">
        <v>-1198</v>
      </c>
    </row>
    <row r="14" spans="1:7" s="125" customFormat="1" ht="26.25" customHeight="1" thickBot="1">
      <c r="B14" s="126" t="s">
        <v>639</v>
      </c>
      <c r="C14" s="127">
        <f>SUM(C9:C13)</f>
        <v>117040</v>
      </c>
      <c r="E14" s="128">
        <f>SUM(E9:E13)</f>
        <v>117040</v>
      </c>
      <c r="G14" s="125" t="s">
        <v>640</v>
      </c>
    </row>
    <row r="15" spans="1:7" ht="13.5" thickTop="1">
      <c r="G15" s="129" t="s">
        <v>641</v>
      </c>
    </row>
    <row r="16" spans="1:7" ht="45.75" customHeight="1">
      <c r="B16" s="691" t="s">
        <v>642</v>
      </c>
      <c r="C16" s="691"/>
      <c r="D16" s="691"/>
      <c r="E16" s="691"/>
    </row>
    <row r="17" spans="2:5" ht="44.25" customHeight="1">
      <c r="B17" s="691" t="s">
        <v>643</v>
      </c>
      <c r="C17" s="691"/>
      <c r="D17" s="691"/>
      <c r="E17" s="691"/>
    </row>
    <row r="18" spans="2:5" ht="40.5" customHeight="1">
      <c r="B18" s="691"/>
      <c r="C18" s="691"/>
      <c r="D18" s="691"/>
      <c r="E18" s="691"/>
    </row>
    <row r="20" spans="2:5" s="122" customFormat="1" ht="15">
      <c r="B20" s="130" t="s">
        <v>644</v>
      </c>
    </row>
    <row r="21" spans="2:5" s="109" customFormat="1" ht="35.25" customHeight="1">
      <c r="C21" s="110">
        <v>40451</v>
      </c>
      <c r="D21" s="131"/>
      <c r="E21" s="111">
        <v>2009</v>
      </c>
    </row>
    <row r="22" spans="2:5" s="122" customFormat="1" ht="15">
      <c r="B22" s="122" t="s">
        <v>645</v>
      </c>
      <c r="C22" s="132"/>
      <c r="D22" s="132"/>
      <c r="E22" s="132">
        <v>180</v>
      </c>
    </row>
    <row r="23" spans="2:5" s="122" customFormat="1" ht="15.75" thickBot="1">
      <c r="B23" s="122" t="s">
        <v>646</v>
      </c>
      <c r="C23" s="133"/>
      <c r="D23" s="132"/>
      <c r="E23" s="133">
        <f>79+88</f>
        <v>167</v>
      </c>
    </row>
    <row r="24" spans="2:5" s="122" customFormat="1" ht="15.75" thickTop="1">
      <c r="C24" s="132"/>
      <c r="D24" s="132"/>
      <c r="E24" s="132"/>
    </row>
    <row r="25" spans="2:5">
      <c r="C25" s="134"/>
      <c r="D25" s="134"/>
      <c r="E25" s="134"/>
    </row>
    <row r="29" spans="2:5">
      <c r="B29" s="129" t="s">
        <v>647</v>
      </c>
    </row>
    <row r="30" spans="2:5" ht="93" customHeight="1">
      <c r="B30" s="692" t="s">
        <v>648</v>
      </c>
      <c r="C30" s="692"/>
      <c r="D30" s="692"/>
      <c r="E30" s="692"/>
    </row>
  </sheetData>
  <mergeCells count="4">
    <mergeCell ref="B16:E16"/>
    <mergeCell ref="B17:E17"/>
    <mergeCell ref="B18:E18"/>
    <mergeCell ref="B30:E30"/>
  </mergeCells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B7" sqref="B7:F7"/>
    </sheetView>
  </sheetViews>
  <sheetFormatPr defaultRowHeight="12"/>
  <cols>
    <col min="1" max="1" width="1.85546875" style="80" customWidth="1"/>
    <col min="2" max="2" width="22.7109375" style="80" customWidth="1"/>
    <col min="3" max="3" width="8.85546875" style="80" bestFit="1" customWidth="1"/>
    <col min="4" max="4" width="0.85546875" style="81" customWidth="1"/>
    <col min="5" max="5" width="9" style="80" customWidth="1"/>
    <col min="6" max="6" width="0.85546875" style="81" customWidth="1"/>
    <col min="7" max="7" width="9.7109375" style="80" customWidth="1"/>
    <col min="8" max="8" width="0.85546875" style="81" customWidth="1"/>
    <col min="9" max="9" width="9.42578125" style="80" customWidth="1"/>
    <col min="10" max="10" width="1" style="81" customWidth="1"/>
    <col min="11" max="11" width="8.7109375" style="80" customWidth="1"/>
    <col min="12" max="12" width="1.28515625" style="81" customWidth="1"/>
    <col min="13" max="13" width="8.85546875" style="80" bestFit="1" customWidth="1"/>
    <col min="14" max="14" width="9.140625" style="80"/>
    <col min="15" max="15" width="25.85546875" style="80" customWidth="1"/>
    <col min="16" max="16384" width="9.140625" style="80"/>
  </cols>
  <sheetData>
    <row r="1" spans="1:15">
      <c r="A1" s="79" t="s">
        <v>21</v>
      </c>
    </row>
    <row r="2" spans="1:15">
      <c r="A2" s="79"/>
    </row>
    <row r="3" spans="1:15">
      <c r="A3" s="79"/>
      <c r="B3" s="80" t="s">
        <v>609</v>
      </c>
    </row>
    <row r="4" spans="1:15">
      <c r="A4" s="79"/>
    </row>
    <row r="5" spans="1:15" s="82" customFormat="1" ht="36">
      <c r="C5" s="83" t="s">
        <v>610</v>
      </c>
      <c r="D5" s="84"/>
      <c r="E5" s="83" t="s">
        <v>611</v>
      </c>
      <c r="F5" s="84"/>
      <c r="G5" s="83" t="s">
        <v>612</v>
      </c>
      <c r="H5" s="84"/>
      <c r="I5" s="83" t="s">
        <v>613</v>
      </c>
      <c r="J5" s="84"/>
      <c r="K5" s="83" t="s">
        <v>614</v>
      </c>
      <c r="L5" s="84"/>
      <c r="M5" s="83" t="s">
        <v>615</v>
      </c>
    </row>
    <row r="6" spans="1:15" s="85" customFormat="1" ht="25.5" customHeight="1">
      <c r="B6" s="86" t="s">
        <v>616</v>
      </c>
      <c r="D6" s="87"/>
      <c r="F6" s="87"/>
      <c r="H6" s="87"/>
      <c r="J6" s="87"/>
      <c r="L6" s="87"/>
      <c r="O6" s="86"/>
    </row>
    <row r="7" spans="1:15" ht="21" customHeight="1">
      <c r="B7" s="80" t="s">
        <v>617</v>
      </c>
      <c r="C7" s="88">
        <f>'[1]13.1'!B16/1000</f>
        <v>120789.106</v>
      </c>
      <c r="D7" s="89"/>
      <c r="E7" s="88">
        <f>'[1]13.1'!F16/1000</f>
        <v>4774.6995700000007</v>
      </c>
      <c r="F7" s="89"/>
      <c r="G7" s="88">
        <f>'[1]13.1'!J16/1000</f>
        <v>20881.49437</v>
      </c>
      <c r="H7" s="89"/>
      <c r="I7" s="88">
        <f>'[1]13.1'!N16/1000</f>
        <v>10004.56</v>
      </c>
      <c r="J7" s="89"/>
      <c r="K7" s="88">
        <f>'[1]13.1'!R16/1000</f>
        <v>35709.554689999997</v>
      </c>
      <c r="L7" s="89"/>
      <c r="M7" s="88">
        <f>SUM(C7:K7)</f>
        <v>192159.41462999998</v>
      </c>
      <c r="O7" s="90"/>
    </row>
    <row r="8" spans="1:15" s="85" customFormat="1">
      <c r="B8" s="85" t="s">
        <v>618</v>
      </c>
      <c r="C8" s="91"/>
      <c r="D8" s="92"/>
      <c r="E8" s="91"/>
      <c r="F8" s="92"/>
      <c r="G8" s="91">
        <f>'[1]13.1'!J17/1000</f>
        <v>29903.499600000003</v>
      </c>
      <c r="H8" s="92"/>
      <c r="I8" s="91">
        <f>'[1]13.1'!N17/1000</f>
        <v>5124</v>
      </c>
      <c r="J8" s="92"/>
      <c r="K8" s="91">
        <f>'[1]13.1'!R17/1000</f>
        <v>44414.671170000001</v>
      </c>
      <c r="L8" s="92"/>
      <c r="M8" s="91">
        <f>SUM(C8:K8)</f>
        <v>79442.170769999997</v>
      </c>
      <c r="O8" s="93"/>
    </row>
    <row r="9" spans="1:15" s="85" customFormat="1">
      <c r="B9" s="85" t="s">
        <v>619</v>
      </c>
      <c r="C9" s="91"/>
      <c r="D9" s="92"/>
      <c r="E9" s="91"/>
      <c r="F9" s="92"/>
      <c r="G9" s="91"/>
      <c r="H9" s="92"/>
      <c r="I9" s="94">
        <f>'[1]13.1'!N18/1000</f>
        <v>-10004.56</v>
      </c>
      <c r="J9" s="92"/>
      <c r="K9" s="91"/>
      <c r="L9" s="92"/>
      <c r="M9" s="94">
        <f>SUM(C9:K9)</f>
        <v>-10004.56</v>
      </c>
      <c r="O9" s="93"/>
    </row>
    <row r="10" spans="1:15" s="85" customFormat="1" ht="12.75" thickBot="1">
      <c r="B10" s="95" t="s">
        <v>620</v>
      </c>
      <c r="C10" s="96">
        <f>SUM(C7:C9)</f>
        <v>120789.106</v>
      </c>
      <c r="D10" s="97"/>
      <c r="E10" s="96">
        <f>SUM(E7:E9)</f>
        <v>4774.6995700000007</v>
      </c>
      <c r="F10" s="97"/>
      <c r="G10" s="96">
        <f>SUM(G7:G9)</f>
        <v>50784.993970000003</v>
      </c>
      <c r="H10" s="97"/>
      <c r="I10" s="96">
        <f>SUM(I7:I9)</f>
        <v>5124</v>
      </c>
      <c r="J10" s="97"/>
      <c r="K10" s="96">
        <f>SUM(K7:K9)</f>
        <v>80124.225860000006</v>
      </c>
      <c r="L10" s="97"/>
      <c r="M10" s="96">
        <f>SUM(M7:M9)</f>
        <v>261597.02539999998</v>
      </c>
      <c r="O10" s="93"/>
    </row>
    <row r="11" spans="1:15" s="85" customFormat="1" ht="12.75" thickTop="1">
      <c r="B11" s="85" t="s">
        <v>618</v>
      </c>
      <c r="C11" s="91"/>
      <c r="D11" s="92"/>
      <c r="E11" s="91"/>
      <c r="F11" s="92"/>
      <c r="G11" s="91">
        <f>'[1]13.1'!J20/1000</f>
        <v>31980.340949999998</v>
      </c>
      <c r="H11" s="92"/>
      <c r="I11" s="91"/>
      <c r="J11" s="92"/>
      <c r="K11" s="91">
        <f>'[1]13.1'!R20/1000</f>
        <v>19628.630450000001</v>
      </c>
      <c r="L11" s="92"/>
      <c r="M11" s="91">
        <f>SUM(C11:K11)</f>
        <v>51608.971399999995</v>
      </c>
      <c r="O11" s="93"/>
    </row>
    <row r="12" spans="1:15" s="85" customFormat="1">
      <c r="B12" s="85" t="s">
        <v>619</v>
      </c>
      <c r="C12" s="91"/>
      <c r="D12" s="92"/>
      <c r="E12" s="91"/>
      <c r="F12" s="92"/>
      <c r="G12" s="91"/>
      <c r="H12" s="92"/>
      <c r="I12" s="91"/>
      <c r="J12" s="92"/>
      <c r="K12" s="91"/>
      <c r="L12" s="92"/>
      <c r="M12" s="91"/>
      <c r="O12" s="93"/>
    </row>
    <row r="13" spans="1:15" s="85" customFormat="1" ht="12.75" thickBot="1">
      <c r="B13" s="95" t="s">
        <v>621</v>
      </c>
      <c r="C13" s="96">
        <f>SUM(C10:C12)</f>
        <v>120789.106</v>
      </c>
      <c r="D13" s="97"/>
      <c r="E13" s="96">
        <f>SUM(E10:E12)</f>
        <v>4774.6995700000007</v>
      </c>
      <c r="F13" s="97"/>
      <c r="G13" s="96">
        <f>SUM(G10:G12)</f>
        <v>82765.334919999994</v>
      </c>
      <c r="H13" s="97"/>
      <c r="I13" s="96">
        <f>I10+I11-I12</f>
        <v>5124</v>
      </c>
      <c r="J13" s="97"/>
      <c r="K13" s="96">
        <f>SUM(K10:K12)</f>
        <v>99752.856310000003</v>
      </c>
      <c r="L13" s="97"/>
      <c r="M13" s="96">
        <f>M10+M11-M12</f>
        <v>313205.99679999996</v>
      </c>
      <c r="O13" s="93"/>
    </row>
    <row r="14" spans="1:15" s="85" customFormat="1" ht="24.75" thickTop="1">
      <c r="B14" s="86" t="s">
        <v>622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O14" s="90"/>
    </row>
    <row r="15" spans="1:15" ht="21" customHeight="1">
      <c r="B15" s="80" t="s">
        <v>617</v>
      </c>
      <c r="C15" s="88"/>
      <c r="D15" s="89"/>
      <c r="E15" s="88">
        <f>'[1]13.1'!F23/1000</f>
        <v>358.10244</v>
      </c>
      <c r="F15" s="89"/>
      <c r="G15" s="88">
        <f>'[1]13.1'!J23/1000</f>
        <v>4600.5995599999997</v>
      </c>
      <c r="H15" s="89"/>
      <c r="I15" s="88">
        <f>'[1]13.1'!N23/1000</f>
        <v>1125.5129999999999</v>
      </c>
      <c r="J15" s="89"/>
      <c r="K15" s="89">
        <f>'[1]13.1'!R23/1000</f>
        <v>5265.8854199999996</v>
      </c>
      <c r="L15" s="89"/>
      <c r="M15" s="88">
        <f>SUM(C15:K15)</f>
        <v>11350.100419999999</v>
      </c>
      <c r="O15" s="86"/>
    </row>
    <row r="16" spans="1:15">
      <c r="B16" s="80" t="s">
        <v>623</v>
      </c>
      <c r="C16" s="88"/>
      <c r="D16" s="89"/>
      <c r="E16" s="88">
        <f>'[1]13.1'!F24/1000</f>
        <v>238.73496</v>
      </c>
      <c r="F16" s="89"/>
      <c r="G16" s="88">
        <f>'[1]13.1'!J24/1000</f>
        <v>5694.6444099999999</v>
      </c>
      <c r="H16" s="89"/>
      <c r="I16" s="88">
        <f>'[1]13.1'!N24/1000</f>
        <v>398.27100000000002</v>
      </c>
      <c r="J16" s="89"/>
      <c r="K16" s="88">
        <f>'[1]13.1'!R24/1000</f>
        <v>8927.3525000000009</v>
      </c>
      <c r="L16" s="89"/>
      <c r="M16" s="88">
        <f>SUM(C16:K16)</f>
        <v>15259.00287</v>
      </c>
      <c r="O16" s="98"/>
    </row>
    <row r="17" spans="2:15">
      <c r="B17" s="85" t="s">
        <v>619</v>
      </c>
      <c r="C17" s="88"/>
      <c r="D17" s="89"/>
      <c r="E17" s="88"/>
      <c r="F17" s="89"/>
      <c r="G17" s="88"/>
      <c r="H17" s="89"/>
      <c r="I17" s="94">
        <f>'[1]13.1'!N25/1000</f>
        <v>-1500.684</v>
      </c>
      <c r="J17" s="89"/>
      <c r="K17" s="88"/>
      <c r="L17" s="89"/>
      <c r="M17" s="94">
        <f>SUM(C17:K17)</f>
        <v>-1500.684</v>
      </c>
      <c r="O17" s="98"/>
    </row>
    <row r="18" spans="2:15" ht="22.5" customHeight="1" thickBot="1">
      <c r="B18" s="79" t="s">
        <v>624</v>
      </c>
      <c r="C18" s="99">
        <f>SUM(C15:C17)</f>
        <v>0</v>
      </c>
      <c r="D18" s="100"/>
      <c r="E18" s="99">
        <f>SUM(E15:E17)</f>
        <v>596.8374</v>
      </c>
      <c r="F18" s="100"/>
      <c r="G18" s="99">
        <f>SUM(G15:G17)</f>
        <v>10295.24397</v>
      </c>
      <c r="H18" s="100"/>
      <c r="I18" s="99">
        <f>SUM(I15:I17)</f>
        <v>23.099999999999909</v>
      </c>
      <c r="J18" s="100"/>
      <c r="K18" s="99">
        <f>SUM(K15:K17)</f>
        <v>14193.23792</v>
      </c>
      <c r="L18" s="100"/>
      <c r="M18" s="99">
        <f>SUM(M15:M17)</f>
        <v>25108.419289999998</v>
      </c>
      <c r="O18" s="93"/>
    </row>
    <row r="19" spans="2:15" ht="12.75" thickTop="1">
      <c r="B19" s="80" t="s">
        <v>623</v>
      </c>
      <c r="C19" s="88"/>
      <c r="D19" s="89"/>
      <c r="E19" s="88">
        <f>'[1]13.1'!F27/1000</f>
        <v>179.05122</v>
      </c>
      <c r="F19" s="89"/>
      <c r="G19" s="88">
        <f>'[1]13.1'!J27/1000</f>
        <v>9348.0606900000002</v>
      </c>
      <c r="H19" s="89"/>
      <c r="I19" s="88">
        <f>'[1]13.1'!N27/1000</f>
        <v>576.45000000000005</v>
      </c>
      <c r="J19" s="89"/>
      <c r="K19" s="88">
        <f>'[1]13.1'!R27/1000</f>
        <v>11755.323859999999</v>
      </c>
      <c r="L19" s="89"/>
      <c r="M19" s="88">
        <f>SUM(C19:K19)</f>
        <v>21858.885770000001</v>
      </c>
      <c r="O19" s="98"/>
    </row>
    <row r="20" spans="2:15" s="85" customFormat="1" ht="12.75" thickBot="1">
      <c r="B20" s="95" t="s">
        <v>621</v>
      </c>
      <c r="C20" s="96">
        <f>SUM(C18:C19)</f>
        <v>0</v>
      </c>
      <c r="D20" s="97"/>
      <c r="E20" s="96">
        <f>SUM(E18:E19)</f>
        <v>775.88861999999995</v>
      </c>
      <c r="F20" s="97"/>
      <c r="G20" s="96">
        <f>SUM(G18:G19)</f>
        <v>19643.304660000002</v>
      </c>
      <c r="H20" s="97"/>
      <c r="I20" s="96">
        <f>SUM(I18:I19)</f>
        <v>599.54999999999995</v>
      </c>
      <c r="J20" s="97"/>
      <c r="K20" s="96">
        <f>SUM(K18:K19)</f>
        <v>25948.561779999996</v>
      </c>
      <c r="L20" s="97"/>
      <c r="M20" s="96">
        <f>SUM(M18:M19)</f>
        <v>46967.305059999999</v>
      </c>
      <c r="O20" s="93"/>
    </row>
    <row r="21" spans="2:15" ht="27.75" customHeight="1" thickTop="1">
      <c r="B21" s="95" t="s">
        <v>625</v>
      </c>
      <c r="C21" s="81"/>
      <c r="E21" s="81"/>
      <c r="G21" s="81"/>
      <c r="I21" s="81"/>
      <c r="K21" s="81"/>
      <c r="M21" s="81"/>
      <c r="O21" s="98"/>
    </row>
    <row r="22" spans="2:15" ht="18" customHeight="1">
      <c r="B22" s="98" t="s">
        <v>626</v>
      </c>
      <c r="C22" s="101">
        <f>C7-C15</f>
        <v>120789.106</v>
      </c>
      <c r="D22" s="100"/>
      <c r="E22" s="101">
        <f>E7-E15</f>
        <v>4416.597130000001</v>
      </c>
      <c r="F22" s="100"/>
      <c r="G22" s="101">
        <f>G7-G15</f>
        <v>16280.894810000002</v>
      </c>
      <c r="H22" s="100"/>
      <c r="I22" s="101">
        <f>I7-I15</f>
        <v>8879.0469999999987</v>
      </c>
      <c r="J22" s="100"/>
      <c r="K22" s="101">
        <f>K7-K15</f>
        <v>30443.669269999999</v>
      </c>
      <c r="L22" s="101"/>
      <c r="M22" s="101">
        <f>M7-M15</f>
        <v>180809.31420999998</v>
      </c>
      <c r="O22" s="93"/>
    </row>
    <row r="23" spans="2:15" ht="18.75" customHeight="1" thickBot="1">
      <c r="B23" s="98" t="s">
        <v>627</v>
      </c>
      <c r="C23" s="102">
        <f>C10-C18</f>
        <v>120789.106</v>
      </c>
      <c r="D23" s="100"/>
      <c r="E23" s="102">
        <f>E10-E18</f>
        <v>4177.8621700000003</v>
      </c>
      <c r="F23" s="100"/>
      <c r="G23" s="102">
        <f>G10-G18</f>
        <v>40489.75</v>
      </c>
      <c r="H23" s="100"/>
      <c r="I23" s="102">
        <f>I10-I18</f>
        <v>5100.8999999999996</v>
      </c>
      <c r="J23" s="100"/>
      <c r="K23" s="102">
        <f>K10-K18</f>
        <v>65930.987940000006</v>
      </c>
      <c r="L23" s="100"/>
      <c r="M23" s="102">
        <f>M10-M18</f>
        <v>236488.60610999999</v>
      </c>
      <c r="O23" s="93"/>
    </row>
    <row r="24" spans="2:15" ht="18.75" customHeight="1" thickTop="1" thickBot="1">
      <c r="B24" s="98" t="s">
        <v>628</v>
      </c>
      <c r="C24" s="102">
        <f>C13-C20</f>
        <v>120789.106</v>
      </c>
      <c r="D24" s="100"/>
      <c r="E24" s="102">
        <f>E13-E20</f>
        <v>3998.810950000001</v>
      </c>
      <c r="F24" s="100"/>
      <c r="G24" s="102">
        <f>G13-G20</f>
        <v>63122.030259999992</v>
      </c>
      <c r="H24" s="100"/>
      <c r="I24" s="102">
        <f>I13-I20</f>
        <v>4524.45</v>
      </c>
      <c r="J24" s="100"/>
      <c r="K24" s="102">
        <f>K13-K20</f>
        <v>73804.294530000014</v>
      </c>
      <c r="L24" s="100"/>
      <c r="M24" s="102">
        <f>M13-M20</f>
        <v>266238.69173999998</v>
      </c>
      <c r="O24" s="93"/>
    </row>
    <row r="25" spans="2:15" ht="12.75" thickTop="1">
      <c r="O25" s="98"/>
    </row>
    <row r="26" spans="2:15">
      <c r="B26" s="103" t="s">
        <v>629</v>
      </c>
      <c r="D26" s="104">
        <f>[1]BS!F30</f>
        <v>0</v>
      </c>
      <c r="M26" s="104">
        <f>[1]BS!G22</f>
        <v>236488.60610999999</v>
      </c>
      <c r="N26" s="105">
        <f>M23-M26</f>
        <v>0</v>
      </c>
      <c r="O26" s="98"/>
    </row>
    <row r="27" spans="2:15">
      <c r="B27" s="106"/>
      <c r="D27" s="105">
        <f>D26-D24</f>
        <v>0</v>
      </c>
      <c r="M27" s="104">
        <f>[1]BS!F22</f>
        <v>161668.35863999993</v>
      </c>
      <c r="N27" s="105">
        <f>M24-M27</f>
        <v>104570.33310000005</v>
      </c>
      <c r="O27" s="98"/>
    </row>
    <row r="28" spans="2:15">
      <c r="O28" s="98"/>
    </row>
    <row r="29" spans="2:15">
      <c r="O29" s="98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81"/>
  <sheetViews>
    <sheetView topLeftCell="C14" workbookViewId="0">
      <selection activeCell="J35" sqref="J35"/>
    </sheetView>
  </sheetViews>
  <sheetFormatPr defaultRowHeight="15"/>
  <cols>
    <col min="1" max="1" width="38.28515625" style="467" bestFit="1" customWidth="1"/>
    <col min="2" max="2" width="8.7109375" style="467" bestFit="1" customWidth="1"/>
    <col min="3" max="4" width="14.85546875" style="467" bestFit="1" customWidth="1"/>
    <col min="5" max="5" width="14.28515625" style="467" customWidth="1"/>
    <col min="6" max="6" width="18.28515625" style="467" customWidth="1"/>
    <col min="7" max="7" width="9.140625" style="467"/>
    <col min="8" max="8" width="38.28515625" style="467" bestFit="1" customWidth="1"/>
    <col min="9" max="9" width="8.7109375" style="467" bestFit="1" customWidth="1"/>
    <col min="10" max="11" width="14.85546875" style="467" bestFit="1" customWidth="1"/>
    <col min="12" max="12" width="43.140625" style="467" bestFit="1" customWidth="1"/>
    <col min="13" max="16384" width="9.140625" style="467"/>
  </cols>
  <sheetData>
    <row r="1" spans="1:13" ht="15.75">
      <c r="A1" s="397" t="s">
        <v>750</v>
      </c>
      <c r="B1" s="269"/>
      <c r="C1" s="269"/>
      <c r="D1" s="269"/>
      <c r="H1" s="268" t="s">
        <v>677</v>
      </c>
      <c r="I1" s="269"/>
      <c r="J1" s="269"/>
      <c r="K1" s="269"/>
    </row>
    <row r="2" spans="1:13">
      <c r="A2" s="270"/>
      <c r="B2" s="269"/>
      <c r="C2" s="269"/>
      <c r="D2" s="269"/>
      <c r="H2" s="270" t="s">
        <v>734</v>
      </c>
      <c r="I2" s="269"/>
      <c r="J2" s="269"/>
      <c r="K2" s="269"/>
    </row>
    <row r="3" spans="1:13">
      <c r="A3" s="683" t="s">
        <v>678</v>
      </c>
      <c r="B3" s="683"/>
      <c r="C3" s="683"/>
      <c r="D3" s="269"/>
      <c r="H3" s="683" t="s">
        <v>678</v>
      </c>
      <c r="I3" s="683"/>
      <c r="J3" s="683"/>
      <c r="K3" s="269"/>
    </row>
    <row r="4" spans="1:13">
      <c r="A4" s="683" t="s">
        <v>359</v>
      </c>
      <c r="B4" s="683"/>
      <c r="C4" s="683"/>
      <c r="D4" s="269"/>
      <c r="H4" s="683" t="s">
        <v>359</v>
      </c>
      <c r="I4" s="683"/>
      <c r="J4" s="683"/>
      <c r="K4" s="269"/>
    </row>
    <row r="5" spans="1:13" ht="15.75" thickBot="1">
      <c r="A5" s="269"/>
      <c r="B5" s="269"/>
      <c r="C5" s="269"/>
      <c r="D5" s="269"/>
      <c r="H5" s="269"/>
      <c r="I5" s="269"/>
      <c r="J5" s="269"/>
      <c r="K5" s="269"/>
    </row>
    <row r="6" spans="1:13">
      <c r="A6" s="271" t="s">
        <v>695</v>
      </c>
      <c r="B6" s="272" t="s">
        <v>606</v>
      </c>
      <c r="C6" s="272" t="s">
        <v>650</v>
      </c>
      <c r="D6" s="273" t="s">
        <v>651</v>
      </c>
      <c r="H6" s="271" t="s">
        <v>695</v>
      </c>
      <c r="I6" s="272" t="s">
        <v>606</v>
      </c>
      <c r="J6" s="272" t="s">
        <v>650</v>
      </c>
      <c r="K6" s="273" t="s">
        <v>651</v>
      </c>
    </row>
    <row r="7" spans="1:13" ht="15.75" thickBot="1">
      <c r="A7" s="274"/>
      <c r="B7" s="275"/>
      <c r="C7" s="275"/>
      <c r="D7" s="276"/>
      <c r="H7" s="274"/>
      <c r="I7" s="275"/>
      <c r="J7" s="275"/>
      <c r="K7" s="276"/>
    </row>
    <row r="8" spans="1:13" ht="24">
      <c r="A8" s="316" t="s">
        <v>751</v>
      </c>
      <c r="B8" s="277" t="s">
        <v>607</v>
      </c>
      <c r="C8" s="495">
        <f>ОСВ.3!H8</f>
        <v>10396890.640000001</v>
      </c>
      <c r="D8" s="405"/>
      <c r="H8" s="316" t="s">
        <v>751</v>
      </c>
      <c r="I8" s="277" t="s">
        <v>607</v>
      </c>
      <c r="J8" s="608">
        <v>11356760.57</v>
      </c>
      <c r="K8" s="609"/>
    </row>
    <row r="9" spans="1:13" ht="15" customHeight="1">
      <c r="A9" s="278" t="str">
        <f>A8</f>
        <v>"ВестГлобал"</v>
      </c>
      <c r="B9" s="488">
        <v>1000</v>
      </c>
      <c r="C9" s="443">
        <v>42212792.579999998</v>
      </c>
      <c r="D9" s="443">
        <v>42212792.579999998</v>
      </c>
      <c r="E9" s="75">
        <f>VLOOKUP(B9,Справочник!$A$2:$F$415,5,FALSE)</f>
        <v>0</v>
      </c>
      <c r="F9" s="75">
        <f>VLOOKUP(B9,Справочник!$A$2:$F$415,6,FALSE)</f>
        <v>0</v>
      </c>
      <c r="H9" s="278" t="str">
        <f>H8</f>
        <v>"ВестГлобал"</v>
      </c>
      <c r="I9" s="607">
        <v>1010</v>
      </c>
      <c r="J9" s="610" t="s">
        <v>366</v>
      </c>
      <c r="K9" s="611">
        <v>8098200</v>
      </c>
      <c r="L9" s="75">
        <f>VLOOKUP(I9,Справочник!$A$2:$F$415,5,FALSE)</f>
        <v>0</v>
      </c>
      <c r="M9" s="75">
        <f>VLOOKUP(I9,Справочник!$A$2:$F$415,6,FALSE)</f>
        <v>0</v>
      </c>
    </row>
    <row r="10" spans="1:13" ht="15" customHeight="1">
      <c r="A10" s="278" t="str">
        <f t="shared" ref="A10:A73" si="0">A9</f>
        <v>"ВестГлобал"</v>
      </c>
      <c r="B10" s="488">
        <v>1010</v>
      </c>
      <c r="C10" s="443">
        <v>36320000</v>
      </c>
      <c r="D10" s="443">
        <v>4750000</v>
      </c>
      <c r="E10" s="75">
        <f>VLOOKUP(B10,Справочник!$A$2:$F$415,5,FALSE)</f>
        <v>0</v>
      </c>
      <c r="F10" s="75">
        <f>VLOOKUP(B10,Справочник!$A$2:$F$415,6,FALSE)</f>
        <v>0</v>
      </c>
      <c r="H10" s="278" t="str">
        <f t="shared" ref="H10:H73" si="1">H9</f>
        <v>"ВестГлобал"</v>
      </c>
      <c r="I10" s="607">
        <v>1020</v>
      </c>
      <c r="J10" s="610">
        <v>2712562.85</v>
      </c>
      <c r="K10" s="611">
        <v>2716342.83</v>
      </c>
      <c r="L10" s="75">
        <f>VLOOKUP(I10,Справочник!$A$2:$F$415,5,FALSE)</f>
        <v>0</v>
      </c>
      <c r="M10" s="75">
        <f>VLOOKUP(I10,Справочник!$A$2:$F$415,6,FALSE)</f>
        <v>0</v>
      </c>
    </row>
    <row r="11" spans="1:13" ht="15" customHeight="1">
      <c r="A11" s="278" t="str">
        <f t="shared" si="0"/>
        <v>"ВестГлобал"</v>
      </c>
      <c r="B11" s="488">
        <v>1020</v>
      </c>
      <c r="C11" s="443">
        <v>555014.51</v>
      </c>
      <c r="D11" s="443">
        <v>587778.06999999995</v>
      </c>
      <c r="E11" s="75">
        <f>VLOOKUP(B11,Справочник!$A$2:$F$415,5,FALSE)</f>
        <v>0</v>
      </c>
      <c r="F11" s="75">
        <f>VLOOKUP(B11,Справочник!$A$2:$F$415,6,FALSE)</f>
        <v>0</v>
      </c>
      <c r="H11" s="278" t="str">
        <f t="shared" si="1"/>
        <v>"ВестГлобал"</v>
      </c>
      <c r="I11" s="607">
        <v>1021</v>
      </c>
      <c r="J11" s="610">
        <v>2712562.85</v>
      </c>
      <c r="K11" s="611">
        <v>2716342.83</v>
      </c>
      <c r="L11" s="75">
        <f>VLOOKUP(I11,Справочник!$A$2:$F$415,5,FALSE)</f>
        <v>0</v>
      </c>
      <c r="M11" s="75">
        <f>VLOOKUP(I11,Справочник!$A$2:$F$415,6,FALSE)</f>
        <v>0</v>
      </c>
    </row>
    <row r="12" spans="1:13" ht="15" customHeight="1">
      <c r="A12" s="278" t="str">
        <f t="shared" si="0"/>
        <v>"ВестГлобал"</v>
      </c>
      <c r="B12" s="488">
        <v>1022</v>
      </c>
      <c r="C12" s="443">
        <v>555014.51</v>
      </c>
      <c r="D12" s="443">
        <v>587778.06999999995</v>
      </c>
      <c r="E12" s="75">
        <f>VLOOKUP(B12,Справочник!$A$2:$F$415,5,FALSE)</f>
        <v>0</v>
      </c>
      <c r="F12" s="75">
        <f>VLOOKUP(B12,Справочник!$A$2:$F$415,6,FALSE)</f>
        <v>0</v>
      </c>
      <c r="H12" s="278" t="str">
        <f t="shared" si="1"/>
        <v>"ВестГлобал"</v>
      </c>
      <c r="I12" s="607">
        <v>1030</v>
      </c>
      <c r="J12" s="610">
        <v>10814542.83</v>
      </c>
      <c r="K12" s="611">
        <v>2712562.85</v>
      </c>
      <c r="L12" s="75">
        <f>VLOOKUP(I12,Справочник!$A$2:$F$415,5,FALSE)</f>
        <v>0</v>
      </c>
      <c r="M12" s="75">
        <f>VLOOKUP(I12,Справочник!$A$2:$F$415,6,FALSE)</f>
        <v>0</v>
      </c>
    </row>
    <row r="13" spans="1:13" ht="15" customHeight="1">
      <c r="A13" s="278" t="str">
        <f t="shared" si="0"/>
        <v>"ВестГлобал"</v>
      </c>
      <c r="B13" s="488">
        <v>1030</v>
      </c>
      <c r="C13" s="443">
        <v>5337778.07</v>
      </c>
      <c r="D13" s="443">
        <v>36875014.509999998</v>
      </c>
      <c r="E13" s="75">
        <f>VLOOKUP(B13,Справочник!$A$2:$F$415,5,FALSE)</f>
        <v>0</v>
      </c>
      <c r="F13" s="75">
        <f>VLOOKUP(B13,Справочник!$A$2:$F$415,6,FALSE)</f>
        <v>0</v>
      </c>
      <c r="H13" s="278" t="str">
        <f t="shared" si="1"/>
        <v>"ВестГлобал"</v>
      </c>
      <c r="I13" s="607">
        <v>1210</v>
      </c>
      <c r="J13" s="610">
        <v>259658177.97</v>
      </c>
      <c r="K13" s="611" t="s">
        <v>366</v>
      </c>
      <c r="L13" s="75" t="str">
        <f>VLOOKUP(I13,Справочник!$A$2:$F$415,5,FALSE)</f>
        <v>реализация товаров и услуг</v>
      </c>
      <c r="M13" s="75" t="str">
        <f>VLOOKUP(I13,Справочник!$A$2:$F$415,6,FALSE)</f>
        <v>прочие выплаты</v>
      </c>
    </row>
    <row r="14" spans="1:13" ht="15" customHeight="1">
      <c r="A14" s="278" t="str">
        <f t="shared" si="0"/>
        <v>"ВестГлобал"</v>
      </c>
      <c r="B14" s="488">
        <v>1200</v>
      </c>
      <c r="C14" s="443">
        <v>197052559.05000001</v>
      </c>
      <c r="D14" s="443">
        <v>43496590.619999997</v>
      </c>
      <c r="E14" s="75">
        <f>VLOOKUP(B14,Справочник!$A$2:$F$415,5,FALSE)</f>
        <v>0</v>
      </c>
      <c r="F14" s="75">
        <f>VLOOKUP(B14,Справочник!$A$2:$F$415,6,FALSE)</f>
        <v>0</v>
      </c>
      <c r="H14" s="278" t="str">
        <f t="shared" si="1"/>
        <v>"ВестГлобал"</v>
      </c>
      <c r="I14" s="607">
        <v>1250</v>
      </c>
      <c r="J14" s="610">
        <v>37605000</v>
      </c>
      <c r="K14" s="611">
        <v>93910292.120000005</v>
      </c>
      <c r="L14" s="75">
        <f>VLOOKUP(I14,Справочник!$A$2:$F$415,5,FALSE)</f>
        <v>0</v>
      </c>
      <c r="M14" s="75">
        <f>VLOOKUP(I14,Справочник!$A$2:$F$415,6,FALSE)</f>
        <v>0</v>
      </c>
    </row>
    <row r="15" spans="1:13" ht="15" customHeight="1">
      <c r="A15" s="278" t="str">
        <f t="shared" si="0"/>
        <v>"ВестГлобал"</v>
      </c>
      <c r="B15" s="488">
        <v>1210</v>
      </c>
      <c r="C15" s="443">
        <v>197052559.05000001</v>
      </c>
      <c r="D15" s="443">
        <v>49400</v>
      </c>
      <c r="E15" s="75" t="str">
        <f>VLOOKUP(B15,Справочник!$A$2:$F$415,5,FALSE)</f>
        <v>реализация товаров и услуг</v>
      </c>
      <c r="F15" s="75" t="str">
        <f>VLOOKUP(B15,Справочник!$A$2:$F$415,6,FALSE)</f>
        <v>прочие выплаты</v>
      </c>
      <c r="H15" s="278" t="str">
        <f t="shared" si="1"/>
        <v>"ВестГлобал"</v>
      </c>
      <c r="I15" s="607">
        <v>1251</v>
      </c>
      <c r="J15" s="610">
        <v>37605000</v>
      </c>
      <c r="K15" s="611">
        <v>93910292.120000005</v>
      </c>
      <c r="L15" s="75" t="str">
        <f>VLOOKUP(I15,Справочник!$A$2:$F$415,5,FALSE)</f>
        <v>прочие поступления</v>
      </c>
      <c r="M15" s="75" t="str">
        <f>VLOOKUP(I15,Справочник!$A$2:$F$415,6,FALSE)</f>
        <v>прочие выплаты</v>
      </c>
    </row>
    <row r="16" spans="1:13">
      <c r="A16" s="278" t="str">
        <f t="shared" si="0"/>
        <v>"ВестГлобал"</v>
      </c>
      <c r="B16" s="488">
        <v>1250</v>
      </c>
      <c r="C16" s="444"/>
      <c r="D16" s="443">
        <v>43447190.619999997</v>
      </c>
      <c r="E16" s="75">
        <f>VLOOKUP(B16,Справочник!$A$2:$F$415,5,FALSE)</f>
        <v>0</v>
      </c>
      <c r="F16" s="75">
        <f>VLOOKUP(B16,Справочник!$A$2:$F$415,6,FALSE)</f>
        <v>0</v>
      </c>
      <c r="H16" s="278" t="str">
        <f t="shared" si="1"/>
        <v>"ВестГлобал"</v>
      </c>
      <c r="I16" s="607">
        <v>1280</v>
      </c>
      <c r="J16" s="610">
        <v>220307.88</v>
      </c>
      <c r="K16" s="611">
        <v>963449.52</v>
      </c>
      <c r="L16" s="75">
        <f>VLOOKUP(I16,Справочник!$A$2:$F$415,5,FALSE)</f>
        <v>0</v>
      </c>
      <c r="M16" s="75">
        <f>VLOOKUP(I16,Справочник!$A$2:$F$415,6,FALSE)</f>
        <v>0</v>
      </c>
    </row>
    <row r="17" spans="1:13">
      <c r="A17" s="278" t="str">
        <f t="shared" si="0"/>
        <v>"ВестГлобал"</v>
      </c>
      <c r="B17" s="488">
        <v>1251</v>
      </c>
      <c r="C17" s="444"/>
      <c r="D17" s="443">
        <v>43447190.619999997</v>
      </c>
      <c r="E17" s="75" t="str">
        <f>VLOOKUP(B17,Справочник!$A$2:$F$415,5,FALSE)</f>
        <v>прочие поступления</v>
      </c>
      <c r="F17" s="75" t="str">
        <f>VLOOKUP(B17,Справочник!$A$2:$F$415,6,FALSE)</f>
        <v>прочие выплаты</v>
      </c>
      <c r="H17" s="278" t="str">
        <f t="shared" si="1"/>
        <v>"ВестГлобал"</v>
      </c>
      <c r="I17" s="607">
        <v>1281</v>
      </c>
      <c r="J17" s="610">
        <v>220307.88</v>
      </c>
      <c r="K17" s="611">
        <v>963449.52</v>
      </c>
      <c r="L17" s="75" t="str">
        <f>VLOOKUP(I17,Справочник!$A$2:$F$415,5,FALSE)</f>
        <v>прочие поступления</v>
      </c>
      <c r="M17" s="75" t="str">
        <f>VLOOKUP(I17,Справочник!$A$2:$F$415,6,FALSE)</f>
        <v>прочие выплаты</v>
      </c>
    </row>
    <row r="18" spans="1:13" ht="15" customHeight="1">
      <c r="A18" s="278" t="str">
        <f t="shared" si="0"/>
        <v>"ВестГлобал"</v>
      </c>
      <c r="B18" s="488">
        <v>1600</v>
      </c>
      <c r="C18" s="444"/>
      <c r="D18" s="443">
        <v>7040438.04</v>
      </c>
      <c r="E18" s="75">
        <f>VLOOKUP(B18,Справочник!$A$2:$F$415,5,FALSE)</f>
        <v>0</v>
      </c>
      <c r="F18" s="75">
        <f>VLOOKUP(B18,Справочник!$A$2:$F$415,6,FALSE)</f>
        <v>0</v>
      </c>
      <c r="H18" s="278" t="str">
        <f t="shared" si="1"/>
        <v>"ВестГлобал"</v>
      </c>
      <c r="I18" s="607">
        <v>3040</v>
      </c>
      <c r="J18" s="610">
        <v>10000000</v>
      </c>
      <c r="K18" s="611" t="s">
        <v>366</v>
      </c>
      <c r="L18" s="75" t="str">
        <f>VLOOKUP(I18,Справочник!$A$2:$F$415,5,FALSE)</f>
        <v>прочие поступления (финанс)</v>
      </c>
      <c r="M18" s="75" t="str">
        <f>VLOOKUP(I18,Справочник!$A$2:$F$415,6,FALSE)</f>
        <v>прочие выбытия (финанс)</v>
      </c>
    </row>
    <row r="19" spans="1:13">
      <c r="A19" s="278" t="str">
        <f t="shared" si="0"/>
        <v>"ВестГлобал"</v>
      </c>
      <c r="B19" s="488">
        <v>1610</v>
      </c>
      <c r="C19" s="444"/>
      <c r="D19" s="443">
        <v>7040438.04</v>
      </c>
      <c r="E19" s="75" t="str">
        <f>VLOOKUP(B19,Справочник!$A$2:$F$415,5,FALSE)</f>
        <v>прочие поступления</v>
      </c>
      <c r="F19" s="75" t="str">
        <f>VLOOKUP(B19,Справочник!$A$2:$F$415,6,FALSE)</f>
        <v>авансы, выданные поставщикам товаров и услуг</v>
      </c>
      <c r="H19" s="278" t="str">
        <f t="shared" si="1"/>
        <v>"ВестГлобал"</v>
      </c>
      <c r="I19" s="607">
        <v>3120</v>
      </c>
      <c r="J19" s="610" t="s">
        <v>366</v>
      </c>
      <c r="K19" s="611">
        <v>918861.05</v>
      </c>
      <c r="L19" s="75" t="str">
        <f>VLOOKUP(I19,Справочник!$A$2:$F$415,5,FALSE)</f>
        <v>прочие поступления</v>
      </c>
      <c r="M19" s="75" t="str">
        <f>VLOOKUP(I19,Справочник!$A$2:$F$415,6,FALSE)</f>
        <v>прочие выплаты</v>
      </c>
    </row>
    <row r="20" spans="1:13">
      <c r="A20" s="278" t="str">
        <f t="shared" si="0"/>
        <v>"ВестГлобал"</v>
      </c>
      <c r="B20" s="488">
        <v>3100</v>
      </c>
      <c r="C20" s="444"/>
      <c r="D20" s="443">
        <v>12089133.189999999</v>
      </c>
      <c r="E20" s="75">
        <f>VLOOKUP(B20,Справочник!$A$2:$F$415,5,FALSE)</f>
        <v>0</v>
      </c>
      <c r="F20" s="75">
        <f>VLOOKUP(B20,Справочник!$A$2:$F$415,6,FALSE)</f>
        <v>0</v>
      </c>
      <c r="H20" s="278" t="str">
        <f t="shared" si="1"/>
        <v>"ВестГлобал"</v>
      </c>
      <c r="I20" s="607">
        <v>3130</v>
      </c>
      <c r="J20" s="610" t="s">
        <v>366</v>
      </c>
      <c r="K20" s="611">
        <v>6350642.5</v>
      </c>
      <c r="L20" s="75" t="str">
        <f>VLOOKUP(I20,Справочник!$A$2:$F$415,5,FALSE)</f>
        <v>прочие поступления</v>
      </c>
      <c r="M20" s="75" t="str">
        <f>VLOOKUP(I20,Справочник!$A$2:$F$415,6,FALSE)</f>
        <v>прочие выплаты</v>
      </c>
    </row>
    <row r="21" spans="1:13">
      <c r="A21" s="278" t="str">
        <f t="shared" si="0"/>
        <v>"ВестГлобал"</v>
      </c>
      <c r="B21" s="488">
        <v>3120</v>
      </c>
      <c r="C21" s="444"/>
      <c r="D21" s="443">
        <v>1218587.52</v>
      </c>
      <c r="E21" s="75" t="str">
        <f>VLOOKUP(B21,Справочник!$A$2:$F$415,5,FALSE)</f>
        <v>прочие поступления</v>
      </c>
      <c r="F21" s="75" t="str">
        <f>VLOOKUP(B21,Справочник!$A$2:$F$415,6,FALSE)</f>
        <v>прочие выплаты</v>
      </c>
      <c r="H21" s="278" t="str">
        <f t="shared" si="1"/>
        <v>"ВестГлобал"</v>
      </c>
      <c r="I21" s="607">
        <v>3150</v>
      </c>
      <c r="J21" s="610" t="s">
        <v>366</v>
      </c>
      <c r="K21" s="611">
        <v>1219330.19</v>
      </c>
      <c r="L21" s="75" t="str">
        <f>VLOOKUP(I21,Справочник!$A$2:$F$415,5,FALSE)</f>
        <v>прочие поступления</v>
      </c>
      <c r="M21" s="75" t="str">
        <f>VLOOKUP(I21,Справочник!$A$2:$F$415,6,FALSE)</f>
        <v>прочие выплаты</v>
      </c>
    </row>
    <row r="22" spans="1:13">
      <c r="A22" s="278" t="str">
        <f t="shared" si="0"/>
        <v>"ВестГлобал"</v>
      </c>
      <c r="B22" s="488">
        <v>3130</v>
      </c>
      <c r="C22" s="444"/>
      <c r="D22" s="443">
        <v>8136737.7400000002</v>
      </c>
      <c r="E22" s="75" t="str">
        <f>VLOOKUP(B22,Справочник!$A$2:$F$415,5,FALSE)</f>
        <v>прочие поступления</v>
      </c>
      <c r="F22" s="75" t="str">
        <f>VLOOKUP(B22,Справочник!$A$2:$F$415,6,FALSE)</f>
        <v>прочие выплаты</v>
      </c>
      <c r="H22" s="278" t="str">
        <f t="shared" si="1"/>
        <v>"ВестГлобал"</v>
      </c>
      <c r="I22" s="607">
        <v>3180</v>
      </c>
      <c r="J22" s="610" t="s">
        <v>366</v>
      </c>
      <c r="K22" s="611">
        <v>1402000</v>
      </c>
      <c r="L22" s="75" t="str">
        <f>VLOOKUP(I22,Справочник!$A$2:$F$415,5,FALSE)</f>
        <v>прочие поступления</v>
      </c>
      <c r="M22" s="75" t="str">
        <f>VLOOKUP(I22,Справочник!$A$2:$F$415,6,FALSE)</f>
        <v>прочие выплаты</v>
      </c>
    </row>
    <row r="23" spans="1:13" ht="15" customHeight="1">
      <c r="A23" s="278" t="str">
        <f t="shared" si="0"/>
        <v>"ВестГлобал"</v>
      </c>
      <c r="B23" s="488">
        <v>3150</v>
      </c>
      <c r="C23" s="444"/>
      <c r="D23" s="443">
        <v>1153307.93</v>
      </c>
      <c r="E23" s="75" t="str">
        <f>VLOOKUP(B23,Справочник!$A$2:$F$415,5,FALSE)</f>
        <v>прочие поступления</v>
      </c>
      <c r="F23" s="75" t="str">
        <f>VLOOKUP(B23,Справочник!$A$2:$F$415,6,FALSE)</f>
        <v>прочие выплаты</v>
      </c>
      <c r="H23" s="278" t="str">
        <f t="shared" si="1"/>
        <v>"ВестГлобал"</v>
      </c>
      <c r="I23" s="607">
        <v>3190</v>
      </c>
      <c r="J23" s="610" t="s">
        <v>366</v>
      </c>
      <c r="K23" s="611">
        <v>49922</v>
      </c>
      <c r="L23" s="75" t="str">
        <f>VLOOKUP(I23,Справочник!$A$2:$F$415,5,FALSE)</f>
        <v>прочие поступления</v>
      </c>
      <c r="M23" s="75" t="str">
        <f>VLOOKUP(I23,Справочник!$A$2:$F$415,6,FALSE)</f>
        <v>прочие выплаты</v>
      </c>
    </row>
    <row r="24" spans="1:13">
      <c r="A24" s="278" t="str">
        <f t="shared" si="0"/>
        <v>"ВестГлобал"</v>
      </c>
      <c r="B24" s="488">
        <v>3180</v>
      </c>
      <c r="C24" s="444"/>
      <c r="D24" s="443">
        <v>1577500</v>
      </c>
      <c r="E24" s="75" t="str">
        <f>VLOOKUP(B24,Справочник!$A$2:$F$415,5,FALSE)</f>
        <v>прочие поступления</v>
      </c>
      <c r="F24" s="75" t="str">
        <f>VLOOKUP(B24,Справочник!$A$2:$F$415,6,FALSE)</f>
        <v>прочие выплаты</v>
      </c>
      <c r="H24" s="278" t="str">
        <f t="shared" si="1"/>
        <v>"ВестГлобал"</v>
      </c>
      <c r="I24" s="607">
        <v>3310</v>
      </c>
      <c r="J24" s="610">
        <v>12877</v>
      </c>
      <c r="K24" s="611">
        <v>132787849.04000001</v>
      </c>
      <c r="L24" s="75" t="str">
        <f>VLOOKUP(I24,Справочник!$A$2:$F$415,5,FALSE)</f>
        <v>прочие поступления</v>
      </c>
      <c r="M24" s="75" t="str">
        <f>VLOOKUP(I24,Справочник!$A$2:$F$415,6,FALSE)</f>
        <v>платежи поставщикам за товары и услуги</v>
      </c>
    </row>
    <row r="25" spans="1:13" ht="15" customHeight="1">
      <c r="A25" s="278" t="str">
        <f t="shared" si="0"/>
        <v>"ВестГлобал"</v>
      </c>
      <c r="B25" s="488">
        <v>3190</v>
      </c>
      <c r="C25" s="444"/>
      <c r="D25" s="443">
        <v>3000</v>
      </c>
      <c r="E25" s="75" t="str">
        <f>VLOOKUP(B25,Справочник!$A$2:$F$415,5,FALSE)</f>
        <v>прочие поступления</v>
      </c>
      <c r="F25" s="75" t="str">
        <f>VLOOKUP(B25,Справочник!$A$2:$F$415,6,FALSE)</f>
        <v>прочие выплаты</v>
      </c>
      <c r="H25" s="278" t="str">
        <f t="shared" si="1"/>
        <v>"ВестГлобал"</v>
      </c>
      <c r="I25" s="607">
        <v>3350</v>
      </c>
      <c r="J25" s="610" t="s">
        <v>366</v>
      </c>
      <c r="K25" s="611">
        <v>17354540.68</v>
      </c>
      <c r="L25" s="75" t="str">
        <f>VLOOKUP(I25,Справочник!$A$2:$F$415,5,FALSE)</f>
        <v>прочие поступления</v>
      </c>
      <c r="M25" s="75" t="str">
        <f>VLOOKUP(I25,Справочник!$A$2:$F$415,6,FALSE)</f>
        <v>выплаты по оплате труда</v>
      </c>
    </row>
    <row r="26" spans="1:13">
      <c r="A26" s="278" t="str">
        <f t="shared" si="0"/>
        <v>"ВестГлобал"</v>
      </c>
      <c r="B26" s="488">
        <v>3200</v>
      </c>
      <c r="C26" s="443">
        <v>56178.89</v>
      </c>
      <c r="D26" s="443">
        <v>2635858.79</v>
      </c>
      <c r="E26" s="75">
        <f>VLOOKUP(B26,Справочник!$A$2:$F$415,5,FALSE)</f>
        <v>0</v>
      </c>
      <c r="F26" s="75">
        <f>VLOOKUP(B26,Справочник!$A$2:$F$415,6,FALSE)</f>
        <v>0</v>
      </c>
      <c r="H26" s="278" t="str">
        <f t="shared" si="1"/>
        <v>"ВестГлобал"</v>
      </c>
      <c r="I26" s="607">
        <v>3390</v>
      </c>
      <c r="J26" s="610">
        <v>1009440.44</v>
      </c>
      <c r="K26" s="611">
        <v>2636908.7000000002</v>
      </c>
      <c r="L26" s="75">
        <f>VLOOKUP(I26,Справочник!$A$2:$F$415,5,FALSE)</f>
        <v>0</v>
      </c>
      <c r="M26" s="75">
        <f>VLOOKUP(I26,Справочник!$A$2:$F$415,6,FALSE)</f>
        <v>0</v>
      </c>
    </row>
    <row r="27" spans="1:13" ht="15" customHeight="1">
      <c r="A27" s="278" t="str">
        <f t="shared" si="0"/>
        <v>"ВестГлобал"</v>
      </c>
      <c r="B27" s="488">
        <v>3210</v>
      </c>
      <c r="C27" s="443">
        <v>15602.32</v>
      </c>
      <c r="D27" s="443">
        <v>819816</v>
      </c>
      <c r="E27" s="75" t="str">
        <f>VLOOKUP(B27,Справочник!$A$2:$F$415,5,FALSE)</f>
        <v>прочие поступления</v>
      </c>
      <c r="F27" s="75" t="str">
        <f>VLOOKUP(B27,Справочник!$A$2:$F$415,6,FALSE)</f>
        <v>прочие выплаты</v>
      </c>
      <c r="H27" s="278" t="str">
        <f t="shared" si="1"/>
        <v>"ВестГлобал"</v>
      </c>
      <c r="I27" s="607">
        <v>3397</v>
      </c>
      <c r="J27" s="610">
        <v>1000000</v>
      </c>
      <c r="K27" s="611" t="s">
        <v>366</v>
      </c>
      <c r="L27" s="75" t="str">
        <f>VLOOKUP(I27,Справочник!$A$2:$F$415,5,FALSE)</f>
        <v>прочие поступления</v>
      </c>
      <c r="M27" s="75" t="str">
        <f>VLOOKUP(I27,Справочник!$A$2:$F$415,6,FALSE)</f>
        <v>прочие выплаты</v>
      </c>
    </row>
    <row r="28" spans="1:13">
      <c r="A28" s="278" t="str">
        <f t="shared" si="0"/>
        <v>"ВестГлобал"</v>
      </c>
      <c r="B28" s="488">
        <v>3220</v>
      </c>
      <c r="C28" s="443">
        <v>40576.57</v>
      </c>
      <c r="D28" s="443">
        <v>1816042.79</v>
      </c>
      <c r="E28" s="75" t="str">
        <f>VLOOKUP(B28,Справочник!$A$2:$F$415,5,FALSE)</f>
        <v>прочие поступления</v>
      </c>
      <c r="F28" s="75" t="str">
        <f>VLOOKUP(B28,Справочник!$A$2:$F$415,6,FALSE)</f>
        <v>прочие выплаты</v>
      </c>
      <c r="H28" s="278" t="str">
        <f t="shared" si="1"/>
        <v>"ВестГлобал"</v>
      </c>
      <c r="I28" s="607">
        <v>3398</v>
      </c>
      <c r="J28" s="610">
        <v>9440.44</v>
      </c>
      <c r="K28" s="611">
        <v>2636908.7000000002</v>
      </c>
      <c r="L28" s="75" t="str">
        <f>VLOOKUP(I28,Справочник!$A$2:$F$415,5,FALSE)</f>
        <v>прочие поступления</v>
      </c>
      <c r="M28" s="75" t="str">
        <f>VLOOKUP(I28,Справочник!$A$2:$F$415,6,FALSE)</f>
        <v>прочие выплаты</v>
      </c>
    </row>
    <row r="29" spans="1:13">
      <c r="A29" s="278" t="str">
        <f t="shared" si="0"/>
        <v>"ВестГлобал"</v>
      </c>
      <c r="B29" s="488">
        <v>3300</v>
      </c>
      <c r="C29" s="443">
        <v>46981.96</v>
      </c>
      <c r="D29" s="443">
        <v>135864411</v>
      </c>
      <c r="E29" s="75">
        <f>VLOOKUP(B29,Справочник!$A$2:$F$415,5,FALSE)</f>
        <v>0</v>
      </c>
      <c r="F29" s="75">
        <f>VLOOKUP(B29,Справочник!$A$2:$F$415,6,FALSE)</f>
        <v>0</v>
      </c>
      <c r="H29" s="278" t="str">
        <f t="shared" si="1"/>
        <v>"ВестГлобал"</v>
      </c>
      <c r="I29" s="607">
        <v>4020</v>
      </c>
      <c r="J29" s="610" t="s">
        <v>366</v>
      </c>
      <c r="K29" s="611">
        <v>49201328</v>
      </c>
      <c r="L29" s="75" t="str">
        <f>VLOOKUP(I29,Справочник!$A$2:$F$415,5,FALSE)</f>
        <v>получение займов</v>
      </c>
      <c r="M29" s="75" t="str">
        <f>VLOOKUP(I29,Справочник!$A$2:$F$415,6,FALSE)</f>
        <v>погашение займов</v>
      </c>
    </row>
    <row r="30" spans="1:13">
      <c r="A30" s="278" t="str">
        <f t="shared" si="0"/>
        <v>"ВестГлобал"</v>
      </c>
      <c r="B30" s="488">
        <v>3310</v>
      </c>
      <c r="C30" s="443">
        <v>42570</v>
      </c>
      <c r="D30" s="443">
        <v>116896349.66</v>
      </c>
      <c r="E30" s="75" t="str">
        <f>VLOOKUP(B30,Справочник!$A$2:$F$415,5,FALSE)</f>
        <v>прочие поступления</v>
      </c>
      <c r="F30" s="75" t="str">
        <f>VLOOKUP(B30,Справочник!$A$2:$F$415,6,FALSE)</f>
        <v>платежи поставщикам за товары и услуги</v>
      </c>
      <c r="H30" s="278" t="str">
        <f t="shared" si="1"/>
        <v>"ВестГлобал"</v>
      </c>
      <c r="I30" s="607">
        <v>7210</v>
      </c>
      <c r="J30" s="610" t="s">
        <v>366</v>
      </c>
      <c r="K30" s="611">
        <v>2670549.42</v>
      </c>
      <c r="L30" s="75" t="str">
        <f>VLOOKUP(I30,Справочник!$A$2:$F$415,5,FALSE)</f>
        <v>прочие поступления</v>
      </c>
      <c r="M30" s="75" t="str">
        <f>VLOOKUP(I30,Справочник!$A$2:$F$415,6,FALSE)</f>
        <v>прочие выплаты</v>
      </c>
    </row>
    <row r="31" spans="1:13">
      <c r="A31" s="278" t="str">
        <f t="shared" si="0"/>
        <v>"ВестГлобал"</v>
      </c>
      <c r="B31" s="488">
        <v>3350</v>
      </c>
      <c r="C31" s="444"/>
      <c r="D31" s="443">
        <v>18752464.670000002</v>
      </c>
      <c r="E31" s="75" t="str">
        <f>VLOOKUP(B31,Справочник!$A$2:$F$415,5,FALSE)</f>
        <v>прочие поступления</v>
      </c>
      <c r="F31" s="75" t="str">
        <f>VLOOKUP(B31,Справочник!$A$2:$F$415,6,FALSE)</f>
        <v>выплаты по оплате труда</v>
      </c>
      <c r="H31" s="278" t="str">
        <f t="shared" si="1"/>
        <v>"ВестГлобал"</v>
      </c>
      <c r="I31" s="607">
        <v>7211</v>
      </c>
      <c r="J31" s="610" t="s">
        <v>366</v>
      </c>
      <c r="K31" s="611">
        <v>2665695.42</v>
      </c>
      <c r="L31" s="75" t="str">
        <f>VLOOKUP(I31,Справочник!$A$2:$F$415,5,FALSE)</f>
        <v>прочие поступления</v>
      </c>
      <c r="M31" s="75" t="str">
        <f>VLOOKUP(I31,Справочник!$A$2:$F$415,6,FALSE)</f>
        <v>прочие выплаты</v>
      </c>
    </row>
    <row r="32" spans="1:13">
      <c r="A32" s="278" t="str">
        <f t="shared" si="0"/>
        <v>"ВестГлобал"</v>
      </c>
      <c r="B32" s="488">
        <v>3390</v>
      </c>
      <c r="C32" s="443">
        <v>4411.96</v>
      </c>
      <c r="D32" s="443">
        <v>215596.67</v>
      </c>
      <c r="E32" s="75">
        <f>VLOOKUP(B32,Справочник!$A$2:$F$415,5,FALSE)</f>
        <v>0</v>
      </c>
      <c r="F32" s="75">
        <f>VLOOKUP(B32,Справочник!$A$2:$F$415,6,FALSE)</f>
        <v>0</v>
      </c>
      <c r="H32" s="278" t="str">
        <f t="shared" si="1"/>
        <v>"ВестГлобал"</v>
      </c>
      <c r="I32" s="607">
        <v>7212</v>
      </c>
      <c r="J32" s="610" t="s">
        <v>366</v>
      </c>
      <c r="K32" s="611">
        <v>4854</v>
      </c>
      <c r="L32" s="75">
        <f>VLOOKUP(I32,Справочник!$A$2:$F$415,5,FALSE)</f>
        <v>0</v>
      </c>
      <c r="M32" s="75">
        <f>VLOOKUP(I32,Справочник!$A$2:$F$415,6,FALSE)</f>
        <v>0</v>
      </c>
    </row>
    <row r="33" spans="1:13">
      <c r="A33" s="278" t="str">
        <f t="shared" si="0"/>
        <v>"ВестГлобал"</v>
      </c>
      <c r="B33" s="488">
        <v>3395</v>
      </c>
      <c r="C33" s="444"/>
      <c r="D33" s="443">
        <v>17022.29</v>
      </c>
      <c r="E33" s="75" t="str">
        <f>VLOOKUP(B33,Справочник!$A$2:$F$415,5,FALSE)</f>
        <v>прочие поступления</v>
      </c>
      <c r="F33" s="75" t="str">
        <f>VLOOKUP(B33,Справочник!$A$2:$F$415,6,FALSE)</f>
        <v>прочие выплаты</v>
      </c>
      <c r="H33" s="278" t="str">
        <f t="shared" si="1"/>
        <v>"ВестГлобал"</v>
      </c>
      <c r="I33" s="494" t="s">
        <v>608</v>
      </c>
      <c r="J33" s="612">
        <v>322032908.97000003</v>
      </c>
      <c r="K33" s="613">
        <v>322992778.89999998</v>
      </c>
      <c r="L33" s="75" t="e">
        <f>VLOOKUP(I33,Справочник!$A$2:$F$415,5,FALSE)</f>
        <v>#N/A</v>
      </c>
      <c r="M33" s="75" t="e">
        <f>VLOOKUP(I33,Справочник!$A$2:$F$415,6,FALSE)</f>
        <v>#N/A</v>
      </c>
    </row>
    <row r="34" spans="1:13" ht="24.75" thickBot="1">
      <c r="A34" s="278" t="str">
        <f t="shared" si="0"/>
        <v>"ВестГлобал"</v>
      </c>
      <c r="B34" s="488">
        <v>3397</v>
      </c>
      <c r="C34" s="443">
        <v>4411.96</v>
      </c>
      <c r="D34" s="443">
        <v>198574.38</v>
      </c>
      <c r="E34" s="75" t="str">
        <f>VLOOKUP(B34,Справочник!$A$2:$F$415,5,FALSE)</f>
        <v>прочие поступления</v>
      </c>
      <c r="F34" s="75" t="str">
        <f>VLOOKUP(B34,Справочник!$A$2:$F$415,6,FALSE)</f>
        <v>прочие выплаты</v>
      </c>
      <c r="H34" s="278" t="str">
        <f t="shared" si="1"/>
        <v>"ВестГлобал"</v>
      </c>
      <c r="I34" s="459" t="s">
        <v>698</v>
      </c>
      <c r="J34" s="614">
        <v>10396890.640000001</v>
      </c>
      <c r="K34" s="615" t="s">
        <v>366</v>
      </c>
      <c r="L34" s="75" t="e">
        <f>VLOOKUP(I34,Справочник!$A$2:$F$415,5,FALSE)</f>
        <v>#N/A</v>
      </c>
      <c r="M34" s="75" t="e">
        <f>VLOOKUP(I34,Справочник!$A$2:$F$415,6,FALSE)</f>
        <v>#N/A</v>
      </c>
    </row>
    <row r="35" spans="1:13">
      <c r="A35" s="278" t="str">
        <f t="shared" si="0"/>
        <v>"ВестГлобал"</v>
      </c>
      <c r="B35" s="488">
        <v>3500</v>
      </c>
      <c r="C35" s="443">
        <v>6838638.4800000004</v>
      </c>
      <c r="D35" s="443">
        <v>12600</v>
      </c>
      <c r="E35" s="75">
        <f>VLOOKUP(B35,Справочник!$A$2:$F$415,5,FALSE)</f>
        <v>0</v>
      </c>
      <c r="F35" s="75">
        <f>VLOOKUP(B35,Справочник!$A$2:$F$415,6,FALSE)</f>
        <v>0</v>
      </c>
      <c r="H35" s="278" t="str">
        <f t="shared" si="1"/>
        <v>"ВестГлобал"</v>
      </c>
      <c r="I35" s="488"/>
      <c r="J35" s="444"/>
      <c r="K35" s="443"/>
      <c r="L35" s="75">
        <f>VLOOKUP(I35,Справочник!$A$2:$F$415,5,FALSE)</f>
        <v>0</v>
      </c>
      <c r="M35" s="75">
        <f>VLOOKUP(I35,Справочник!$A$2:$F$415,6,FALSE)</f>
        <v>0</v>
      </c>
    </row>
    <row r="36" spans="1:13">
      <c r="A36" s="278" t="str">
        <f t="shared" si="0"/>
        <v>"ВестГлобал"</v>
      </c>
      <c r="B36" s="488">
        <v>3510</v>
      </c>
      <c r="C36" s="443">
        <v>6838638.4800000004</v>
      </c>
      <c r="D36" s="443">
        <v>12600</v>
      </c>
      <c r="E36" s="75" t="str">
        <f>VLOOKUP(B36,Справочник!$A$2:$F$415,5,FALSE)</f>
        <v>авансы, полученные от покупателей, заказчиков</v>
      </c>
      <c r="F36" s="75" t="str">
        <f>VLOOKUP(B36,Справочник!$A$2:$F$415,6,FALSE)</f>
        <v>прочие выплаты</v>
      </c>
      <c r="H36" s="278" t="str">
        <f t="shared" si="1"/>
        <v>"ВестГлобал"</v>
      </c>
      <c r="I36" s="488"/>
      <c r="J36" s="443"/>
      <c r="K36" s="443"/>
      <c r="L36" s="75">
        <f>VLOOKUP(I36,Справочник!$A$2:$F$415,5,FALSE)</f>
        <v>0</v>
      </c>
      <c r="M36" s="75">
        <f>VLOOKUP(I36,Справочник!$A$2:$F$415,6,FALSE)</f>
        <v>0</v>
      </c>
    </row>
    <row r="37" spans="1:13">
      <c r="A37" s="278" t="str">
        <f t="shared" si="0"/>
        <v>"ВестГлобал"</v>
      </c>
      <c r="B37" s="488">
        <v>6200</v>
      </c>
      <c r="C37" s="443">
        <v>28133.75</v>
      </c>
      <c r="D37" s="444"/>
      <c r="E37" s="75">
        <f>VLOOKUP(B37,Справочник!$A$2:$F$415,5,FALSE)</f>
        <v>0</v>
      </c>
      <c r="F37" s="75">
        <f>VLOOKUP(B37,Справочник!$A$2:$F$415,6,FALSE)</f>
        <v>0</v>
      </c>
      <c r="H37" s="278" t="str">
        <f t="shared" si="1"/>
        <v>"ВестГлобал"</v>
      </c>
      <c r="I37" s="488"/>
      <c r="J37" s="443"/>
      <c r="K37" s="443"/>
      <c r="L37" s="75">
        <f>VLOOKUP(I37,Справочник!$A$2:$F$415,5,FALSE)</f>
        <v>0</v>
      </c>
      <c r="M37" s="75">
        <f>VLOOKUP(I37,Справочник!$A$2:$F$415,6,FALSE)</f>
        <v>0</v>
      </c>
    </row>
    <row r="38" spans="1:13">
      <c r="A38" s="278" t="str">
        <f t="shared" si="0"/>
        <v>"ВестГлобал"</v>
      </c>
      <c r="B38" s="488">
        <v>6250</v>
      </c>
      <c r="C38" s="443">
        <v>27866.25</v>
      </c>
      <c r="D38" s="444"/>
      <c r="E38" s="75" t="str">
        <f>VLOOKUP(B38,Справочник!$A$2:$F$415,5,FALSE)</f>
        <v>прочие поступления</v>
      </c>
      <c r="F38" s="75" t="str">
        <f>VLOOKUP(B38,Справочник!$A$2:$F$415,6,FALSE)</f>
        <v>прочие выплаты</v>
      </c>
      <c r="H38" s="278" t="str">
        <f t="shared" si="1"/>
        <v>"ВестГлобал"</v>
      </c>
      <c r="I38" s="488"/>
      <c r="J38" s="443"/>
      <c r="K38" s="443"/>
      <c r="L38" s="75">
        <f>VLOOKUP(I38,Справочник!$A$2:$F$415,5,FALSE)</f>
        <v>0</v>
      </c>
      <c r="M38" s="75">
        <f>VLOOKUP(I38,Справочник!$A$2:$F$415,6,FALSE)</f>
        <v>0</v>
      </c>
    </row>
    <row r="39" spans="1:13">
      <c r="A39" s="278" t="str">
        <f t="shared" si="0"/>
        <v>"ВестГлобал"</v>
      </c>
      <c r="B39" s="488">
        <v>6280</v>
      </c>
      <c r="C39" s="456">
        <v>267.5</v>
      </c>
      <c r="D39" s="444"/>
      <c r="E39" s="75" t="str">
        <f>VLOOKUP(B39,Справочник!$A$2:$F$415,5,FALSE)</f>
        <v>прочие поступления</v>
      </c>
      <c r="F39" s="75">
        <f>VLOOKUP(B39,Справочник!$A$2:$F$415,6,FALSE)</f>
        <v>0</v>
      </c>
      <c r="H39" s="278" t="str">
        <f t="shared" si="1"/>
        <v>"ВестГлобал"</v>
      </c>
      <c r="I39" s="488"/>
      <c r="J39" s="443"/>
      <c r="K39" s="443"/>
      <c r="L39" s="75">
        <f>VLOOKUP(I39,Справочник!$A$2:$F$415,5,FALSE)</f>
        <v>0</v>
      </c>
      <c r="M39" s="75">
        <f>VLOOKUP(I39,Справочник!$A$2:$F$415,6,FALSE)</f>
        <v>0</v>
      </c>
    </row>
    <row r="40" spans="1:13">
      <c r="A40" s="278" t="str">
        <f t="shared" si="0"/>
        <v>"ВестГлобал"</v>
      </c>
      <c r="B40" s="488">
        <v>7200</v>
      </c>
      <c r="C40" s="444"/>
      <c r="D40" s="443">
        <v>255289.15</v>
      </c>
      <c r="E40" s="75">
        <f>VLOOKUP(B40,Справочник!$A$2:$F$415,5,FALSE)</f>
        <v>0</v>
      </c>
      <c r="F40" s="75">
        <f>VLOOKUP(B40,Справочник!$A$2:$F$415,6,FALSE)</f>
        <v>0</v>
      </c>
      <c r="H40" s="278" t="str">
        <f t="shared" si="1"/>
        <v>"ВестГлобал"</v>
      </c>
      <c r="I40" s="488"/>
      <c r="J40" s="443"/>
      <c r="K40" s="443"/>
      <c r="L40" s="75">
        <f>VLOOKUP(I40,Справочник!$A$2:$F$415,5,FALSE)</f>
        <v>0</v>
      </c>
      <c r="M40" s="75">
        <f>VLOOKUP(I40,Справочник!$A$2:$F$415,6,FALSE)</f>
        <v>0</v>
      </c>
    </row>
    <row r="41" spans="1:13">
      <c r="A41" s="278" t="str">
        <f t="shared" si="0"/>
        <v>"ВестГлобал"</v>
      </c>
      <c r="B41" s="488">
        <v>7210</v>
      </c>
      <c r="C41" s="444"/>
      <c r="D41" s="443">
        <v>255289.15</v>
      </c>
      <c r="E41" s="75" t="str">
        <f>VLOOKUP(B41,Справочник!$A$2:$F$415,5,FALSE)</f>
        <v>прочие поступления</v>
      </c>
      <c r="F41" s="75" t="str">
        <f>VLOOKUP(B41,Справочник!$A$2:$F$415,6,FALSE)</f>
        <v>прочие выплаты</v>
      </c>
      <c r="H41" s="278" t="str">
        <f t="shared" si="1"/>
        <v>"ВестГлобал"</v>
      </c>
      <c r="I41" s="488"/>
      <c r="J41" s="444"/>
      <c r="K41" s="443"/>
      <c r="L41" s="75">
        <f>VLOOKUP(I41,Справочник!$A$2:$F$415,5,FALSE)</f>
        <v>0</v>
      </c>
      <c r="M41" s="75">
        <f>VLOOKUP(I41,Справочник!$A$2:$F$415,6,FALSE)</f>
        <v>0</v>
      </c>
    </row>
    <row r="42" spans="1:13">
      <c r="A42" s="278" t="str">
        <f t="shared" si="0"/>
        <v>"ВестГлобал"</v>
      </c>
      <c r="B42" s="488">
        <v>7400</v>
      </c>
      <c r="C42" s="444"/>
      <c r="D42" s="443">
        <v>36759.71</v>
      </c>
      <c r="E42" s="75">
        <f>VLOOKUP(B42,Справочник!$A$2:$F$415,5,FALSE)</f>
        <v>0</v>
      </c>
      <c r="F42" s="75">
        <f>VLOOKUP(B42,Справочник!$A$2:$F$415,6,FALSE)</f>
        <v>0</v>
      </c>
      <c r="H42" s="278" t="str">
        <f t="shared" si="1"/>
        <v>"ВестГлобал"</v>
      </c>
      <c r="I42" s="488"/>
      <c r="J42" s="443"/>
      <c r="K42" s="443"/>
      <c r="L42" s="75">
        <f>VLOOKUP(I42,Справочник!$A$2:$F$415,5,FALSE)</f>
        <v>0</v>
      </c>
      <c r="M42" s="75">
        <f>VLOOKUP(I42,Справочник!$A$2:$F$415,6,FALSE)</f>
        <v>0</v>
      </c>
    </row>
    <row r="43" spans="1:13">
      <c r="A43" s="278" t="str">
        <f t="shared" si="0"/>
        <v>"ВестГлобал"</v>
      </c>
      <c r="B43" s="488">
        <v>7430</v>
      </c>
      <c r="C43" s="444"/>
      <c r="D43" s="443">
        <v>3728.65</v>
      </c>
      <c r="E43" s="75" t="str">
        <f>VLOOKUP(B43,Справочник!$A$2:$F$415,5,FALSE)</f>
        <v>прочие поступления</v>
      </c>
      <c r="F43" s="75" t="str">
        <f>VLOOKUP(B43,Справочник!$A$2:$F$415,6,FALSE)</f>
        <v>прочие выплаты</v>
      </c>
      <c r="H43" s="278" t="str">
        <f t="shared" si="1"/>
        <v>"ВестГлобал"</v>
      </c>
      <c r="I43" s="488"/>
      <c r="J43" s="443"/>
      <c r="K43" s="443"/>
      <c r="L43" s="75">
        <f>VLOOKUP(I43,Справочник!$A$2:$F$415,5,FALSE)</f>
        <v>0</v>
      </c>
      <c r="M43" s="75">
        <f>VLOOKUP(I43,Справочник!$A$2:$F$415,6,FALSE)</f>
        <v>0</v>
      </c>
    </row>
    <row r="44" spans="1:13">
      <c r="A44" s="278" t="str">
        <f t="shared" si="0"/>
        <v>"ВестГлобал"</v>
      </c>
      <c r="B44" s="488">
        <v>7470</v>
      </c>
      <c r="C44" s="444"/>
      <c r="D44" s="443">
        <v>33031.06</v>
      </c>
      <c r="E44" s="75" t="str">
        <f>VLOOKUP(B44,Справочник!$A$2:$F$415,5,FALSE)</f>
        <v>прочие поступления</v>
      </c>
      <c r="F44" s="75" t="str">
        <f>VLOOKUP(B44,Справочник!$A$2:$F$415,6,FALSE)</f>
        <v>прочие выплаты</v>
      </c>
      <c r="H44" s="278" t="str">
        <f t="shared" si="1"/>
        <v>"ВестГлобал"</v>
      </c>
      <c r="I44" s="488"/>
      <c r="J44" s="444"/>
      <c r="K44" s="443"/>
      <c r="L44" s="75">
        <f>VLOOKUP(I44,Справочник!$A$2:$F$415,5,FALSE)</f>
        <v>0</v>
      </c>
      <c r="M44" s="75">
        <f>VLOOKUP(I44,Справочник!$A$2:$F$415,6,FALSE)</f>
        <v>0</v>
      </c>
    </row>
    <row r="45" spans="1:13">
      <c r="A45" s="278" t="str">
        <f t="shared" si="0"/>
        <v>"ВестГлобал"</v>
      </c>
      <c r="B45" s="494" t="s">
        <v>608</v>
      </c>
      <c r="C45" s="495">
        <v>246235284.71000001</v>
      </c>
      <c r="D45" s="495">
        <v>243643873.08000001</v>
      </c>
      <c r="E45" s="75" t="e">
        <f>VLOOKUP(B45,Справочник!$A$2:$F$415,5,FALSE)</f>
        <v>#N/A</v>
      </c>
      <c r="F45" s="75" t="e">
        <f>VLOOKUP(B45,Справочник!$A$2:$F$415,6,FALSE)</f>
        <v>#N/A</v>
      </c>
      <c r="H45" s="278" t="str">
        <f t="shared" si="1"/>
        <v>"ВестГлобал"</v>
      </c>
      <c r="I45" s="488"/>
      <c r="J45" s="444"/>
      <c r="K45" s="443"/>
      <c r="L45" s="75">
        <f>VLOOKUP(I45,Справочник!$A$2:$F$415,5,FALSE)</f>
        <v>0</v>
      </c>
      <c r="M45" s="75">
        <f>VLOOKUP(I45,Справочник!$A$2:$F$415,6,FALSE)</f>
        <v>0</v>
      </c>
    </row>
    <row r="46" spans="1:13" ht="24">
      <c r="A46" s="278" t="str">
        <f t="shared" si="0"/>
        <v>"ВестГлобал"</v>
      </c>
      <c r="B46" s="459" t="s">
        <v>698</v>
      </c>
      <c r="C46" s="495">
        <f>ОСВ.3!L8</f>
        <v>12988302.270000011</v>
      </c>
      <c r="D46" s="443"/>
      <c r="E46" s="75"/>
      <c r="F46" s="75"/>
      <c r="H46" s="278" t="str">
        <f t="shared" si="1"/>
        <v>"ВестГлобал"</v>
      </c>
      <c r="I46" s="488"/>
      <c r="J46" s="444"/>
      <c r="K46" s="443"/>
      <c r="L46" s="75">
        <f>VLOOKUP(I46,Справочник!$A$2:$F$415,5,FALSE)</f>
        <v>0</v>
      </c>
      <c r="M46" s="75">
        <f>VLOOKUP(I46,Справочник!$A$2:$F$415,6,FALSE)</f>
        <v>0</v>
      </c>
    </row>
    <row r="47" spans="1:13">
      <c r="A47" s="278" t="str">
        <f t="shared" si="0"/>
        <v>"ВестГлобал"</v>
      </c>
      <c r="B47" s="488"/>
      <c r="C47" s="443"/>
      <c r="D47" s="444"/>
      <c r="E47" s="75"/>
      <c r="F47" s="75"/>
      <c r="H47" s="278" t="str">
        <f t="shared" si="1"/>
        <v>"ВестГлобал"</v>
      </c>
      <c r="I47" s="488"/>
      <c r="J47" s="443"/>
      <c r="K47" s="443"/>
      <c r="L47" s="75">
        <f>VLOOKUP(I47,Справочник!$A$2:$F$415,5,FALSE)</f>
        <v>0</v>
      </c>
      <c r="M47" s="75">
        <f>VLOOKUP(I47,Справочник!$A$2:$F$415,6,FALSE)</f>
        <v>0</v>
      </c>
    </row>
    <row r="48" spans="1:13">
      <c r="A48" s="278" t="str">
        <f t="shared" si="0"/>
        <v>"ВестГлобал"</v>
      </c>
      <c r="B48" s="488"/>
      <c r="C48" s="443"/>
      <c r="D48" s="444"/>
      <c r="E48" s="75">
        <f>VLOOKUP(B48,Справочник!$A$2:$F$415,5,FALSE)</f>
        <v>0</v>
      </c>
      <c r="F48" s="75">
        <f>VLOOKUP(B48,Справочник!$A$2:$F$415,6,FALSE)</f>
        <v>0</v>
      </c>
      <c r="H48" s="278" t="str">
        <f t="shared" si="1"/>
        <v>"ВестГлобал"</v>
      </c>
      <c r="I48" s="488"/>
      <c r="J48" s="443"/>
      <c r="K48" s="443"/>
      <c r="L48" s="75">
        <f>VLOOKUP(I48,Справочник!$A$2:$F$415,5,FALSE)</f>
        <v>0</v>
      </c>
      <c r="M48" s="75">
        <f>VLOOKUP(I48,Справочник!$A$2:$F$415,6,FALSE)</f>
        <v>0</v>
      </c>
    </row>
    <row r="49" spans="1:13">
      <c r="A49" s="278" t="str">
        <f t="shared" si="0"/>
        <v>"ВестГлобал"</v>
      </c>
      <c r="B49" s="488"/>
      <c r="C49" s="443"/>
      <c r="D49" s="444"/>
      <c r="E49" s="75">
        <f>VLOOKUP(B49,Справочник!$A$2:$F$415,5,FALSE)</f>
        <v>0</v>
      </c>
      <c r="F49" s="75">
        <f>VLOOKUP(B49,Справочник!$A$2:$F$415,6,FALSE)</f>
        <v>0</v>
      </c>
      <c r="H49" s="278" t="str">
        <f t="shared" si="1"/>
        <v>"ВестГлобал"</v>
      </c>
      <c r="I49" s="488"/>
      <c r="J49" s="443"/>
      <c r="K49" s="444"/>
      <c r="L49" s="75">
        <f>VLOOKUP(I49,Справочник!$A$2:$F$415,5,FALSE)</f>
        <v>0</v>
      </c>
      <c r="M49" s="75">
        <f>VLOOKUP(I49,Справочник!$A$2:$F$415,6,FALSE)</f>
        <v>0</v>
      </c>
    </row>
    <row r="50" spans="1:13">
      <c r="A50" s="278" t="str">
        <f t="shared" si="0"/>
        <v>"ВестГлобал"</v>
      </c>
      <c r="B50" s="488"/>
      <c r="C50" s="443"/>
      <c r="D50" s="444"/>
      <c r="E50" s="75">
        <f>VLOOKUP(B50,Справочник!$A$2:$F$415,5,FALSE)</f>
        <v>0</v>
      </c>
      <c r="F50" s="75">
        <f>VLOOKUP(B50,Справочник!$A$2:$F$415,6,FALSE)</f>
        <v>0</v>
      </c>
      <c r="H50" s="278" t="str">
        <f t="shared" si="1"/>
        <v>"ВестГлобал"</v>
      </c>
      <c r="I50" s="488"/>
      <c r="J50" s="456"/>
      <c r="K50" s="444"/>
      <c r="L50" s="75">
        <f>VLOOKUP(I50,Справочник!$A$2:$F$415,5,FALSE)</f>
        <v>0</v>
      </c>
      <c r="M50" s="75">
        <f>VLOOKUP(I50,Справочник!$A$2:$F$415,6,FALSE)</f>
        <v>0</v>
      </c>
    </row>
    <row r="51" spans="1:13">
      <c r="A51" s="278" t="str">
        <f t="shared" si="0"/>
        <v>"ВестГлобал"</v>
      </c>
      <c r="B51" s="488"/>
      <c r="C51" s="444"/>
      <c r="D51" s="443"/>
      <c r="E51" s="75">
        <f>VLOOKUP(B51,Справочник!$A$2:$F$415,5,FALSE)</f>
        <v>0</v>
      </c>
      <c r="F51" s="75">
        <f>VLOOKUP(B51,Справочник!$A$2:$F$415,6,FALSE)</f>
        <v>0</v>
      </c>
      <c r="H51" s="278" t="str">
        <f t="shared" si="1"/>
        <v>"ВестГлобал"</v>
      </c>
      <c r="I51" s="488"/>
      <c r="J51" s="443"/>
      <c r="K51" s="444"/>
      <c r="L51" s="75">
        <f>VLOOKUP(I51,Справочник!$A$2:$F$415,5,FALSE)</f>
        <v>0</v>
      </c>
      <c r="M51" s="75">
        <f>VLOOKUP(I51,Справочник!$A$2:$F$415,6,FALSE)</f>
        <v>0</v>
      </c>
    </row>
    <row r="52" spans="1:13">
      <c r="A52" s="278" t="str">
        <f t="shared" si="0"/>
        <v>"ВестГлобал"</v>
      </c>
      <c r="B52" s="488"/>
      <c r="C52" s="444"/>
      <c r="D52" s="443"/>
      <c r="E52" s="75">
        <f>VLOOKUP(B52,Справочник!$A$2:$F$415,5,FALSE)</f>
        <v>0</v>
      </c>
      <c r="F52" s="75">
        <f>VLOOKUP(B52,Справочник!$A$2:$F$415,6,FALSE)</f>
        <v>0</v>
      </c>
      <c r="H52" s="278" t="str">
        <f t="shared" si="1"/>
        <v>"ВестГлобал"</v>
      </c>
      <c r="I52" s="488"/>
      <c r="J52" s="443"/>
      <c r="K52" s="444"/>
      <c r="L52" s="75">
        <f>VLOOKUP(I52,Справочник!$A$2:$F$415,5,FALSE)</f>
        <v>0</v>
      </c>
      <c r="M52" s="75">
        <f>VLOOKUP(I52,Справочник!$A$2:$F$415,6,FALSE)</f>
        <v>0</v>
      </c>
    </row>
    <row r="53" spans="1:13">
      <c r="A53" s="278" t="str">
        <f t="shared" si="0"/>
        <v>"ВестГлобал"</v>
      </c>
      <c r="B53" s="488"/>
      <c r="C53" s="444"/>
      <c r="D53" s="443"/>
      <c r="E53" s="75">
        <f>VLOOKUP(B53,Справочник!$A$2:$F$415,5,FALSE)</f>
        <v>0</v>
      </c>
      <c r="F53" s="75">
        <f>VLOOKUP(B53,Справочник!$A$2:$F$415,6,FALSE)</f>
        <v>0</v>
      </c>
      <c r="H53" s="278" t="str">
        <f t="shared" si="1"/>
        <v>"ВестГлобал"</v>
      </c>
      <c r="I53" s="488"/>
      <c r="J53" s="456"/>
      <c r="K53" s="444"/>
      <c r="L53" s="75">
        <f>VLOOKUP(I53,Справочник!$A$2:$F$415,5,FALSE)</f>
        <v>0</v>
      </c>
      <c r="M53" s="75">
        <f>VLOOKUP(I53,Справочник!$A$2:$F$415,6,FALSE)</f>
        <v>0</v>
      </c>
    </row>
    <row r="54" spans="1:13">
      <c r="A54" s="278" t="str">
        <f t="shared" si="0"/>
        <v>"ВестГлобал"</v>
      </c>
      <c r="B54" s="488"/>
      <c r="C54" s="444"/>
      <c r="D54" s="443"/>
      <c r="E54" s="75">
        <f>VLOOKUP(B54,Справочник!$A$2:$F$415,5,FALSE)</f>
        <v>0</v>
      </c>
      <c r="F54" s="75">
        <f>VLOOKUP(B54,Справочник!$A$2:$F$415,6,FALSE)</f>
        <v>0</v>
      </c>
      <c r="H54" s="278" t="str">
        <f t="shared" si="1"/>
        <v>"ВестГлобал"</v>
      </c>
      <c r="I54" s="488"/>
      <c r="J54" s="443"/>
      <c r="K54" s="444"/>
      <c r="L54" s="75">
        <f>VLOOKUP(I54,Справочник!$A$2:$F$415,5,FALSE)</f>
        <v>0</v>
      </c>
      <c r="M54" s="75">
        <f>VLOOKUP(I54,Справочник!$A$2:$F$415,6,FALSE)</f>
        <v>0</v>
      </c>
    </row>
    <row r="55" spans="1:13">
      <c r="A55" s="278" t="str">
        <f t="shared" si="0"/>
        <v>"ВестГлобал"</v>
      </c>
      <c r="B55" s="488"/>
      <c r="C55" s="444"/>
      <c r="D55" s="443"/>
      <c r="E55" s="75">
        <f>VLOOKUP(B55,Справочник!$A$2:$F$415,5,FALSE)</f>
        <v>0</v>
      </c>
      <c r="F55" s="75">
        <f>VLOOKUP(B55,Справочник!$A$2:$F$415,6,FALSE)</f>
        <v>0</v>
      </c>
      <c r="H55" s="278" t="str">
        <f t="shared" si="1"/>
        <v>"ВестГлобал"</v>
      </c>
      <c r="I55" s="488"/>
      <c r="J55" s="443"/>
      <c r="K55" s="443"/>
      <c r="L55" s="75">
        <f>VLOOKUP(I55,Справочник!$A$2:$F$415,5,FALSE)</f>
        <v>0</v>
      </c>
      <c r="M55" s="75">
        <f>VLOOKUP(I55,Справочник!$A$2:$F$415,6,FALSE)</f>
        <v>0</v>
      </c>
    </row>
    <row r="56" spans="1:13">
      <c r="A56" s="278" t="str">
        <f t="shared" si="0"/>
        <v>"ВестГлобал"</v>
      </c>
      <c r="B56" s="459"/>
      <c r="C56" s="490"/>
      <c r="D56" s="490"/>
      <c r="E56" s="75">
        <f>VLOOKUP(B56,Справочник!$A$2:$F$415,5,FALSE)</f>
        <v>0</v>
      </c>
      <c r="F56" s="75">
        <f>VLOOKUP(B56,Справочник!$A$2:$F$415,6,FALSE)</f>
        <v>0</v>
      </c>
      <c r="H56" s="278" t="str">
        <f t="shared" si="1"/>
        <v>"ВестГлобал"</v>
      </c>
      <c r="I56" s="488"/>
      <c r="J56" s="443"/>
      <c r="K56" s="443"/>
      <c r="L56" s="75">
        <f>VLOOKUP(I56,Справочник!$A$2:$F$415,5,FALSE)</f>
        <v>0</v>
      </c>
      <c r="M56" s="75">
        <f>VLOOKUP(I56,Справочник!$A$2:$F$415,6,FALSE)</f>
        <v>0</v>
      </c>
    </row>
    <row r="57" spans="1:13">
      <c r="A57" s="278" t="str">
        <f t="shared" si="0"/>
        <v>"ВестГлобал"</v>
      </c>
      <c r="B57" s="459"/>
      <c r="C57" s="490"/>
      <c r="D57" s="409"/>
      <c r="E57" s="75">
        <f>VLOOKUP(B57,Справочник!$A$2:$F$415,5,FALSE)</f>
        <v>0</v>
      </c>
      <c r="F57" s="75">
        <f>VLOOKUP(B57,Справочник!$A$2:$F$415,6,FALSE)</f>
        <v>0</v>
      </c>
      <c r="H57" s="278" t="str">
        <f t="shared" si="1"/>
        <v>"ВестГлобал"</v>
      </c>
      <c r="I57" s="488"/>
      <c r="J57" s="444"/>
      <c r="K57" s="443"/>
      <c r="L57" s="75">
        <f>VLOOKUP(I57,Справочник!$A$2:$F$415,5,FALSE)</f>
        <v>0</v>
      </c>
      <c r="M57" s="75">
        <f>VLOOKUP(I57,Справочник!$A$2:$F$415,6,FALSE)</f>
        <v>0</v>
      </c>
    </row>
    <row r="58" spans="1:13">
      <c r="A58" s="278" t="str">
        <f t="shared" si="0"/>
        <v>"ВестГлобал"</v>
      </c>
      <c r="B58" s="406"/>
      <c r="C58" s="407"/>
      <c r="D58" s="409"/>
      <c r="E58" s="75">
        <f>VLOOKUP(B58,Справочник!$A$2:$F$415,5,FALSE)</f>
        <v>0</v>
      </c>
      <c r="F58" s="75">
        <f>VLOOKUP(B58,Справочник!$A$2:$F$415,6,FALSE)</f>
        <v>0</v>
      </c>
      <c r="H58" s="278" t="str">
        <f t="shared" si="1"/>
        <v>"ВестГлобал"</v>
      </c>
      <c r="I58" s="488"/>
      <c r="J58" s="444"/>
      <c r="K58" s="443"/>
      <c r="L58" s="75">
        <f>VLOOKUP(I58,Справочник!$A$2:$F$415,5,FALSE)</f>
        <v>0</v>
      </c>
      <c r="M58" s="75">
        <f>VLOOKUP(I58,Справочник!$A$2:$F$415,6,FALSE)</f>
        <v>0</v>
      </c>
    </row>
    <row r="59" spans="1:13">
      <c r="A59" s="278" t="str">
        <f t="shared" si="0"/>
        <v>"ВестГлобал"</v>
      </c>
      <c r="B59" s="406"/>
      <c r="C59" s="408"/>
      <c r="D59" s="407"/>
      <c r="E59" s="75">
        <f>VLOOKUP(B59,Справочник!$A$2:$F$415,5,FALSE)</f>
        <v>0</v>
      </c>
      <c r="F59" s="75">
        <f>VLOOKUP(B59,Справочник!$A$2:$F$415,6,FALSE)</f>
        <v>0</v>
      </c>
      <c r="H59" s="278" t="str">
        <f t="shared" si="1"/>
        <v>"ВестГлобал"</v>
      </c>
      <c r="I59" s="489"/>
      <c r="J59" s="490"/>
      <c r="K59" s="490"/>
      <c r="L59" s="75">
        <f>VLOOKUP(I59,Справочник!$A$2:$F$415,5,FALSE)</f>
        <v>0</v>
      </c>
      <c r="M59" s="75">
        <f>VLOOKUP(I59,Справочник!$A$2:$F$415,6,FALSE)</f>
        <v>0</v>
      </c>
    </row>
    <row r="60" spans="1:13" ht="24">
      <c r="A60" s="278" t="str">
        <f t="shared" si="0"/>
        <v>"ВестГлобал"</v>
      </c>
      <c r="B60" s="406"/>
      <c r="C60" s="408"/>
      <c r="D60" s="407"/>
      <c r="E60" s="75">
        <f>VLOOKUP(B60,Справочник!$A$2:$F$415,5,FALSE)</f>
        <v>0</v>
      </c>
      <c r="F60" s="75">
        <f>VLOOKUP(B60,Справочник!$A$2:$F$415,6,FALSE)</f>
        <v>0</v>
      </c>
      <c r="H60" s="278" t="str">
        <f t="shared" si="1"/>
        <v>"ВестГлобал"</v>
      </c>
      <c r="I60" s="459" t="s">
        <v>698</v>
      </c>
      <c r="J60" s="490"/>
      <c r="K60" s="407"/>
      <c r="L60" s="75" t="e">
        <f>VLOOKUP(I60,Справочник!$A$2:$F$415,5,FALSE)</f>
        <v>#N/A</v>
      </c>
      <c r="M60" s="75" t="e">
        <f>VLOOKUP(I60,Справочник!$A$2:$F$415,6,FALSE)</f>
        <v>#N/A</v>
      </c>
    </row>
    <row r="61" spans="1:13">
      <c r="A61" s="278" t="str">
        <f t="shared" si="0"/>
        <v>"ВестГлобал"</v>
      </c>
      <c r="B61" s="406"/>
      <c r="C61" s="408"/>
      <c r="D61" s="407"/>
      <c r="E61" s="75">
        <f>VLOOKUP(B61,Справочник!$A$2:$F$415,5,FALSE)</f>
        <v>0</v>
      </c>
      <c r="F61" s="75">
        <f>VLOOKUP(B61,Справочник!$A$2:$F$415,6,FALSE)</f>
        <v>0</v>
      </c>
      <c r="H61" s="278" t="str">
        <f t="shared" si="1"/>
        <v>"ВестГлобал"</v>
      </c>
      <c r="I61" s="406"/>
      <c r="J61" s="408"/>
      <c r="K61" s="407"/>
      <c r="L61" s="75">
        <f>VLOOKUP(I61,Справочник!$A$2:$F$415,5,FALSE)</f>
        <v>0</v>
      </c>
      <c r="M61" s="75">
        <f>VLOOKUP(I61,Справочник!$A$2:$F$415,6,FALSE)</f>
        <v>0</v>
      </c>
    </row>
    <row r="62" spans="1:13">
      <c r="A62" s="278" t="str">
        <f t="shared" si="0"/>
        <v>"ВестГлобал"</v>
      </c>
      <c r="B62" s="406"/>
      <c r="C62" s="408"/>
      <c r="D62" s="407"/>
      <c r="E62" s="75">
        <f>VLOOKUP(B62,Справочник!$A$2:$F$415,5,FALSE)</f>
        <v>0</v>
      </c>
      <c r="F62" s="75">
        <f>VLOOKUP(B62,Справочник!$A$2:$F$415,6,FALSE)</f>
        <v>0</v>
      </c>
      <c r="H62" s="278" t="str">
        <f t="shared" si="1"/>
        <v>"ВестГлобал"</v>
      </c>
      <c r="I62" s="406"/>
      <c r="J62" s="408"/>
      <c r="K62" s="407"/>
      <c r="L62" s="75">
        <f>VLOOKUP(I62,Справочник!$A$2:$F$415,5,FALSE)</f>
        <v>0</v>
      </c>
      <c r="M62" s="75">
        <f>VLOOKUP(I62,Справочник!$A$2:$F$415,6,FALSE)</f>
        <v>0</v>
      </c>
    </row>
    <row r="63" spans="1:13">
      <c r="A63" s="278" t="str">
        <f t="shared" si="0"/>
        <v>"ВестГлобал"</v>
      </c>
      <c r="B63" s="403"/>
      <c r="C63" s="404"/>
      <c r="D63" s="404"/>
      <c r="E63" s="75"/>
      <c r="F63" s="75"/>
      <c r="H63" s="278" t="str">
        <f t="shared" si="1"/>
        <v>"ВестГлобал"</v>
      </c>
      <c r="I63" s="403"/>
      <c r="J63" s="404"/>
      <c r="K63" s="404"/>
      <c r="L63" s="75">
        <f>VLOOKUP(I63,Справочник!$A$2:$F$415,5,FALSE)</f>
        <v>0</v>
      </c>
      <c r="M63" s="75">
        <f>VLOOKUP(I63,Справочник!$A$2:$F$415,6,FALSE)</f>
        <v>0</v>
      </c>
    </row>
    <row r="64" spans="1:13">
      <c r="A64" s="278" t="str">
        <f t="shared" si="0"/>
        <v>"ВестГлобал"</v>
      </c>
      <c r="B64" s="403"/>
      <c r="C64" s="404"/>
      <c r="D64" s="405"/>
      <c r="E64" s="75"/>
      <c r="F64" s="75"/>
      <c r="H64" s="278" t="str">
        <f t="shared" si="1"/>
        <v>"ВестГлобал"</v>
      </c>
      <c r="I64" s="403"/>
      <c r="J64" s="404"/>
      <c r="K64" s="405"/>
      <c r="L64" s="75">
        <f>VLOOKUP(I64,Справочник!$A$2:$F$415,5,FALSE)</f>
        <v>0</v>
      </c>
      <c r="M64" s="75">
        <f>VLOOKUP(I64,Справочник!$A$2:$F$415,6,FALSE)</f>
        <v>0</v>
      </c>
    </row>
    <row r="65" spans="1:13">
      <c r="A65" s="278" t="str">
        <f t="shared" si="0"/>
        <v>"ВестГлобал"</v>
      </c>
      <c r="B65" s="381"/>
      <c r="C65" s="382"/>
      <c r="D65" s="382"/>
      <c r="E65" s="75">
        <f>VLOOKUP(B65,Справочник!$A$2:$F$415,5,FALSE)</f>
        <v>0</v>
      </c>
      <c r="F65" s="75">
        <f>VLOOKUP(B65,Справочник!$A$2:$F$415,6,FALSE)</f>
        <v>0</v>
      </c>
      <c r="H65" s="278" t="str">
        <f t="shared" si="1"/>
        <v>"ВестГлобал"</v>
      </c>
      <c r="I65" s="381"/>
      <c r="J65" s="382"/>
      <c r="K65" s="383"/>
      <c r="L65" s="75">
        <f>VLOOKUP(I65,Справочник!$A$2:$F$415,5,FALSE)</f>
        <v>0</v>
      </c>
      <c r="M65" s="75">
        <f>VLOOKUP(I65,Справочник!$A$2:$F$415,6,FALSE)</f>
        <v>0</v>
      </c>
    </row>
    <row r="66" spans="1:13">
      <c r="A66" s="278" t="str">
        <f t="shared" si="0"/>
        <v>"ВестГлобал"</v>
      </c>
      <c r="B66" s="381"/>
      <c r="C66" s="382"/>
      <c r="D66" s="383"/>
      <c r="E66" s="75">
        <f>VLOOKUP(B66,Справочник!$A$2:$F$415,5,FALSE)</f>
        <v>0</v>
      </c>
      <c r="F66" s="75">
        <f>VLOOKUP(B66,Справочник!$A$2:$F$415,6,FALSE)</f>
        <v>0</v>
      </c>
      <c r="H66" s="278" t="str">
        <f t="shared" si="1"/>
        <v>"ВестГлобал"</v>
      </c>
      <c r="I66" s="381"/>
      <c r="J66" s="382"/>
      <c r="K66" s="383"/>
      <c r="L66" s="75">
        <f>VLOOKUP(I66,Справочник!$A$2:$F$415,5,FALSE)</f>
        <v>0</v>
      </c>
      <c r="M66" s="75">
        <f>VLOOKUP(I66,Справочник!$A$2:$F$415,6,FALSE)</f>
        <v>0</v>
      </c>
    </row>
    <row r="67" spans="1:13">
      <c r="A67" s="278" t="str">
        <f t="shared" si="0"/>
        <v>"ВестГлобал"</v>
      </c>
      <c r="B67" s="381"/>
      <c r="C67" s="382"/>
      <c r="D67" s="383"/>
      <c r="E67" s="75">
        <f>VLOOKUP(B67,Справочник!$A$2:$F$415,5,FALSE)</f>
        <v>0</v>
      </c>
      <c r="F67" s="75">
        <f>VLOOKUP(B67,Справочник!$A$2:$F$415,6,FALSE)</f>
        <v>0</v>
      </c>
      <c r="H67" s="278" t="str">
        <f t="shared" si="1"/>
        <v>"ВестГлобал"</v>
      </c>
      <c r="I67" s="381"/>
      <c r="J67" s="384"/>
      <c r="K67" s="383"/>
      <c r="L67" s="75">
        <f>VLOOKUP(I67,Справочник!$A$2:$F$415,5,FALSE)</f>
        <v>0</v>
      </c>
      <c r="M67" s="75">
        <f>VLOOKUP(I67,Справочник!$A$2:$F$415,6,FALSE)</f>
        <v>0</v>
      </c>
    </row>
    <row r="68" spans="1:13">
      <c r="A68" s="278" t="str">
        <f t="shared" si="0"/>
        <v>"ВестГлобал"</v>
      </c>
      <c r="B68" s="381"/>
      <c r="C68" s="382"/>
      <c r="D68" s="383"/>
      <c r="E68" s="75">
        <f>VLOOKUP(B68,Справочник!$A$2:$F$415,5,FALSE)</f>
        <v>0</v>
      </c>
      <c r="F68" s="75">
        <f>VLOOKUP(B68,Справочник!$A$2:$F$415,6,FALSE)</f>
        <v>0</v>
      </c>
      <c r="H68" s="278" t="str">
        <f t="shared" si="1"/>
        <v>"ВестГлобал"</v>
      </c>
      <c r="I68" s="381"/>
      <c r="J68" s="383"/>
      <c r="K68" s="382"/>
      <c r="L68" s="75">
        <f>VLOOKUP(I68,Справочник!$A$2:$F$415,5,FALSE)</f>
        <v>0</v>
      </c>
      <c r="M68" s="75">
        <f>VLOOKUP(I68,Справочник!$A$2:$F$415,6,FALSE)</f>
        <v>0</v>
      </c>
    </row>
    <row r="69" spans="1:13">
      <c r="A69" s="278" t="str">
        <f t="shared" si="0"/>
        <v>"ВестГлобал"</v>
      </c>
      <c r="B69" s="381"/>
      <c r="C69" s="382"/>
      <c r="D69" s="383"/>
      <c r="E69" s="75">
        <f>VLOOKUP(B69,Справочник!$A$2:$F$415,5,FALSE)</f>
        <v>0</v>
      </c>
      <c r="F69" s="75">
        <f>VLOOKUP(B69,Справочник!$A$2:$F$415,6,FALSE)</f>
        <v>0</v>
      </c>
      <c r="H69" s="278" t="str">
        <f t="shared" si="1"/>
        <v>"ВестГлобал"</v>
      </c>
      <c r="I69" s="381"/>
      <c r="J69" s="383"/>
      <c r="K69" s="382"/>
      <c r="L69" s="75">
        <f>VLOOKUP(I69,Справочник!$A$2:$F$415,5,FALSE)</f>
        <v>0</v>
      </c>
      <c r="M69" s="75">
        <f>VLOOKUP(I69,Справочник!$A$2:$F$415,6,FALSE)</f>
        <v>0</v>
      </c>
    </row>
    <row r="70" spans="1:13">
      <c r="A70" s="278" t="str">
        <f t="shared" si="0"/>
        <v>"ВестГлобал"</v>
      </c>
      <c r="B70" s="381"/>
      <c r="C70" s="382"/>
      <c r="D70" s="384"/>
      <c r="E70" s="75">
        <f>VLOOKUP(B70,Справочник!$A$2:$F$415,5,FALSE)</f>
        <v>0</v>
      </c>
      <c r="F70" s="75">
        <f>VLOOKUP(B70,Справочник!$A$2:$F$415,6,FALSE)</f>
        <v>0</v>
      </c>
      <c r="H70" s="278" t="str">
        <f t="shared" si="1"/>
        <v>"ВестГлобал"</v>
      </c>
      <c r="I70" s="381"/>
      <c r="J70" s="383"/>
      <c r="K70" s="382"/>
      <c r="L70" s="75">
        <f>VLOOKUP(I70,Справочник!$A$2:$F$415,5,FALSE)</f>
        <v>0</v>
      </c>
      <c r="M70" s="75">
        <f>VLOOKUP(I70,Справочник!$A$2:$F$415,6,FALSE)</f>
        <v>0</v>
      </c>
    </row>
    <row r="71" spans="1:13">
      <c r="A71" s="278" t="str">
        <f t="shared" si="0"/>
        <v>"ВестГлобал"</v>
      </c>
      <c r="B71" s="381"/>
      <c r="C71" s="382"/>
      <c r="D71" s="384"/>
      <c r="E71" s="75">
        <f>VLOOKUP(B71,Справочник!$A$2:$F$415,5,FALSE)</f>
        <v>0</v>
      </c>
      <c r="F71" s="75">
        <f>VLOOKUP(B71,Справочник!$A$2:$F$415,6,FALSE)</f>
        <v>0</v>
      </c>
      <c r="H71" s="278" t="str">
        <f t="shared" si="1"/>
        <v>"ВестГлобал"</v>
      </c>
      <c r="I71" s="381"/>
      <c r="J71" s="383"/>
      <c r="K71" s="382"/>
      <c r="L71" s="75">
        <f>VLOOKUP(I71,Справочник!$A$2:$F$415,5,FALSE)</f>
        <v>0</v>
      </c>
      <c r="M71" s="75">
        <f>VLOOKUP(I71,Справочник!$A$2:$F$415,6,FALSE)</f>
        <v>0</v>
      </c>
    </row>
    <row r="72" spans="1:13">
      <c r="A72" s="278" t="str">
        <f t="shared" si="0"/>
        <v>"ВестГлобал"</v>
      </c>
      <c r="B72" s="381"/>
      <c r="C72" s="382"/>
      <c r="D72" s="383"/>
      <c r="E72" s="75">
        <f>VLOOKUP(B72,Справочник!$A$2:$F$415,5,FALSE)</f>
        <v>0</v>
      </c>
      <c r="F72" s="75">
        <f>VLOOKUP(B72,Справочник!$A$2:$F$415,6,FALSE)</f>
        <v>0</v>
      </c>
      <c r="H72" s="278" t="str">
        <f t="shared" si="1"/>
        <v>"ВестГлобал"</v>
      </c>
      <c r="I72" s="381"/>
      <c r="J72" s="383"/>
      <c r="K72" s="382"/>
      <c r="L72" s="75">
        <f>VLOOKUP(I72,Справочник!$A$2:$F$415,5,FALSE)</f>
        <v>0</v>
      </c>
      <c r="M72" s="75">
        <f>VLOOKUP(I72,Справочник!$A$2:$F$415,6,FALSE)</f>
        <v>0</v>
      </c>
    </row>
    <row r="73" spans="1:13">
      <c r="A73" s="278" t="str">
        <f t="shared" si="0"/>
        <v>"ВестГлобал"</v>
      </c>
      <c r="B73" s="381"/>
      <c r="C73" s="383"/>
      <c r="D73" s="382"/>
      <c r="E73" s="75">
        <f>VLOOKUP(B73,Справочник!$A$2:$F$415,5,FALSE)</f>
        <v>0</v>
      </c>
      <c r="F73" s="75">
        <f>VLOOKUP(B73,Справочник!$A$2:$F$415,6,FALSE)</f>
        <v>0</v>
      </c>
      <c r="H73" s="278" t="str">
        <f t="shared" si="1"/>
        <v>"ВестГлобал"</v>
      </c>
      <c r="I73" s="279"/>
      <c r="J73" s="280"/>
      <c r="K73" s="239"/>
      <c r="L73" s="75">
        <f>VLOOKUP(I73,Справочник!$A$2:$F$415,5,FALSE)</f>
        <v>0</v>
      </c>
      <c r="M73" s="75">
        <f>VLOOKUP(I73,Справочник!$A$2:$F$415,6,FALSE)</f>
        <v>0</v>
      </c>
    </row>
    <row r="74" spans="1:13">
      <c r="A74" s="278" t="str">
        <f t="shared" ref="A74:A77" si="2">A73</f>
        <v>"ВестГлобал"</v>
      </c>
      <c r="B74" s="381"/>
      <c r="C74" s="383"/>
      <c r="D74" s="382"/>
      <c r="E74" s="75">
        <f>VLOOKUP(B74,Справочник!$A$2:$F$415,5,FALSE)</f>
        <v>0</v>
      </c>
      <c r="F74" s="75">
        <f>VLOOKUP(B74,Справочник!$A$2:$F$415,6,FALSE)</f>
        <v>0</v>
      </c>
      <c r="H74" s="278" t="str">
        <f t="shared" ref="H74:H77" si="3">H73</f>
        <v>"ВестГлобал"</v>
      </c>
      <c r="I74" s="279"/>
      <c r="J74" s="238"/>
      <c r="K74" s="239"/>
      <c r="L74" s="75">
        <f>VLOOKUP(I74,Справочник!$A$2:$F$415,5,FALSE)</f>
        <v>0</v>
      </c>
      <c r="M74" s="75">
        <f>VLOOKUP(I74,Справочник!$A$2:$F$415,6,FALSE)</f>
        <v>0</v>
      </c>
    </row>
    <row r="75" spans="1:13">
      <c r="A75" s="278" t="str">
        <f t="shared" si="2"/>
        <v>"ВестГлобал"</v>
      </c>
      <c r="B75" s="381"/>
      <c r="C75" s="383"/>
      <c r="D75" s="382"/>
      <c r="E75" s="75">
        <f>VLOOKUP(B75,Справочник!$A$2:$F$415,5,FALSE)</f>
        <v>0</v>
      </c>
      <c r="F75" s="75">
        <f>VLOOKUP(B75,Справочник!$A$2:$F$415,6,FALSE)</f>
        <v>0</v>
      </c>
      <c r="H75" s="278" t="str">
        <f t="shared" si="3"/>
        <v>"ВестГлобал"</v>
      </c>
      <c r="I75" s="279"/>
      <c r="J75" s="238"/>
      <c r="K75" s="281"/>
      <c r="L75" s="75">
        <f>VLOOKUP(I75,Справочник!$A$2:$F$415,5,FALSE)</f>
        <v>0</v>
      </c>
      <c r="M75" s="75">
        <f>VLOOKUP(I75,Справочник!$A$2:$F$415,6,FALSE)</f>
        <v>0</v>
      </c>
    </row>
    <row r="76" spans="1:13">
      <c r="A76" s="278" t="str">
        <f t="shared" si="2"/>
        <v>"ВестГлобал"</v>
      </c>
      <c r="B76" s="381"/>
      <c r="C76" s="383"/>
      <c r="D76" s="382"/>
      <c r="E76" s="75">
        <f>VLOOKUP(B76,Справочник!$A$2:$F$415,5,FALSE)</f>
        <v>0</v>
      </c>
      <c r="F76" s="75">
        <f>VLOOKUP(B76,Справочник!$A$2:$F$415,6,FALSE)</f>
        <v>0</v>
      </c>
      <c r="H76" s="278" t="str">
        <f t="shared" si="3"/>
        <v>"ВестГлобал"</v>
      </c>
      <c r="I76" s="279"/>
      <c r="J76" s="280"/>
      <c r="K76" s="239"/>
      <c r="L76" s="75">
        <f>VLOOKUP(I76,Справочник!$A$2:$F$415,5,FALSE)</f>
        <v>0</v>
      </c>
      <c r="M76" s="75">
        <f>VLOOKUP(I76,Справочник!$A$2:$F$415,6,FALSE)</f>
        <v>0</v>
      </c>
    </row>
    <row r="77" spans="1:13" ht="15.75" thickBot="1">
      <c r="A77" s="278" t="str">
        <f t="shared" si="2"/>
        <v>"ВестГлобал"</v>
      </c>
      <c r="B77" s="381"/>
      <c r="C77" s="383"/>
      <c r="D77" s="382"/>
      <c r="E77" s="75">
        <f>VLOOKUP(B77,Справочник!$A$2:$F$415,5,FALSE)</f>
        <v>0</v>
      </c>
      <c r="F77" s="75">
        <f>VLOOKUP(B77,Справочник!$A$2:$F$415,6,FALSE)</f>
        <v>0</v>
      </c>
      <c r="H77" s="278" t="str">
        <f t="shared" si="3"/>
        <v>"ВестГлобал"</v>
      </c>
      <c r="I77" s="279"/>
      <c r="J77" s="280"/>
      <c r="K77" s="239"/>
      <c r="L77" s="75">
        <f>VLOOKUP(I77,Справочник!$A$2:$F$415,5,FALSE)</f>
        <v>0</v>
      </c>
      <c r="M77" s="75">
        <f>VLOOKUP(I77,Справочник!$A$2:$F$415,6,FALSE)</f>
        <v>0</v>
      </c>
    </row>
    <row r="78" spans="1:13">
      <c r="A78" s="282" t="s">
        <v>696</v>
      </c>
      <c r="B78" s="283"/>
      <c r="C78" s="385"/>
      <c r="D78" s="385"/>
      <c r="E78" s="75"/>
      <c r="F78" s="75"/>
      <c r="H78" s="282" t="s">
        <v>696</v>
      </c>
      <c r="I78" s="283"/>
      <c r="J78" s="385"/>
      <c r="K78" s="385"/>
      <c r="L78" s="75"/>
      <c r="M78" s="75"/>
    </row>
    <row r="79" spans="1:13" ht="15.75" thickBot="1">
      <c r="A79" s="284"/>
      <c r="B79" s="285"/>
      <c r="C79" s="385"/>
      <c r="D79" s="386"/>
      <c r="H79" s="284"/>
      <c r="I79" s="285"/>
      <c r="J79" s="385"/>
      <c r="K79" s="386"/>
      <c r="L79" s="75"/>
      <c r="M79" s="75"/>
    </row>
    <row r="80" spans="1:13">
      <c r="C80" s="467">
        <f>SUBTOTAL(9,C16:C77)</f>
        <v>273167865.10000002</v>
      </c>
      <c r="D80" s="467">
        <f>SUBTOTAL(9,D16:D77)</f>
        <v>646622830.75</v>
      </c>
      <c r="J80" s="467">
        <f>SUBTOTAL(9,J17:J72)</f>
        <v>344681865.37</v>
      </c>
      <c r="K80" s="467">
        <f>SUBTOTAL(9,K17:K72)</f>
        <v>543855618.11999989</v>
      </c>
    </row>
    <row r="81" spans="3:10">
      <c r="C81" s="387">
        <f>C80+C8-D80</f>
        <v>-363058075.00999999</v>
      </c>
      <c r="J81" s="387">
        <f>J80+J8-K80</f>
        <v>-187816992.17999989</v>
      </c>
    </row>
  </sheetData>
  <mergeCells count="4">
    <mergeCell ref="A3:C3"/>
    <mergeCell ref="H3:J3"/>
    <mergeCell ref="A4:C4"/>
    <mergeCell ref="H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showZeros="0" tabSelected="1" topLeftCell="A11" workbookViewId="0">
      <selection activeCell="A57" sqref="A57:B57"/>
    </sheetView>
  </sheetViews>
  <sheetFormatPr defaultRowHeight="15"/>
  <cols>
    <col min="1" max="1" width="26.85546875" style="24" customWidth="1"/>
    <col min="2" max="2" width="30.42578125" style="24" customWidth="1"/>
    <col min="3" max="3" width="9.85546875" style="24" customWidth="1"/>
    <col min="4" max="5" width="13.5703125" style="24" customWidth="1"/>
    <col min="6" max="6" width="12" style="24" hidden="1" customWidth="1"/>
    <col min="7" max="7" width="11.85546875" style="24" hidden="1" customWidth="1"/>
    <col min="8" max="8" width="10.140625" style="24" bestFit="1" customWidth="1"/>
    <col min="9" max="256" width="9.140625" style="24"/>
    <col min="257" max="257" width="26.85546875" style="24" customWidth="1"/>
    <col min="258" max="258" width="30.42578125" style="24" customWidth="1"/>
    <col min="259" max="259" width="9.85546875" style="24" customWidth="1"/>
    <col min="260" max="260" width="16" style="24" customWidth="1"/>
    <col min="261" max="261" width="16.140625" style="24" customWidth="1"/>
    <col min="262" max="262" width="9.140625" style="24" customWidth="1"/>
    <col min="263" max="263" width="10.140625" style="24" customWidth="1"/>
    <col min="264" max="512" width="9.140625" style="24"/>
    <col min="513" max="513" width="26.85546875" style="24" customWidth="1"/>
    <col min="514" max="514" width="30.42578125" style="24" customWidth="1"/>
    <col min="515" max="515" width="9.85546875" style="24" customWidth="1"/>
    <col min="516" max="516" width="16" style="24" customWidth="1"/>
    <col min="517" max="517" width="16.140625" style="24" customWidth="1"/>
    <col min="518" max="518" width="9.140625" style="24" customWidth="1"/>
    <col min="519" max="519" width="10.140625" style="24" customWidth="1"/>
    <col min="520" max="768" width="9.140625" style="24"/>
    <col min="769" max="769" width="26.85546875" style="24" customWidth="1"/>
    <col min="770" max="770" width="30.42578125" style="24" customWidth="1"/>
    <col min="771" max="771" width="9.85546875" style="24" customWidth="1"/>
    <col min="772" max="772" width="16" style="24" customWidth="1"/>
    <col min="773" max="773" width="16.140625" style="24" customWidth="1"/>
    <col min="774" max="774" width="9.140625" style="24" customWidth="1"/>
    <col min="775" max="775" width="10.140625" style="24" customWidth="1"/>
    <col min="776" max="1024" width="9.140625" style="24"/>
    <col min="1025" max="1025" width="26.85546875" style="24" customWidth="1"/>
    <col min="1026" max="1026" width="30.42578125" style="24" customWidth="1"/>
    <col min="1027" max="1027" width="9.85546875" style="24" customWidth="1"/>
    <col min="1028" max="1028" width="16" style="24" customWidth="1"/>
    <col min="1029" max="1029" width="16.140625" style="24" customWidth="1"/>
    <col min="1030" max="1030" width="9.140625" style="24" customWidth="1"/>
    <col min="1031" max="1031" width="10.140625" style="24" customWidth="1"/>
    <col min="1032" max="1280" width="9.140625" style="24"/>
    <col min="1281" max="1281" width="26.85546875" style="24" customWidth="1"/>
    <col min="1282" max="1282" width="30.42578125" style="24" customWidth="1"/>
    <col min="1283" max="1283" width="9.85546875" style="24" customWidth="1"/>
    <col min="1284" max="1284" width="16" style="24" customWidth="1"/>
    <col min="1285" max="1285" width="16.140625" style="24" customWidth="1"/>
    <col min="1286" max="1286" width="9.140625" style="24" customWidth="1"/>
    <col min="1287" max="1287" width="10.140625" style="24" customWidth="1"/>
    <col min="1288" max="1536" width="9.140625" style="24"/>
    <col min="1537" max="1537" width="26.85546875" style="24" customWidth="1"/>
    <col min="1538" max="1538" width="30.42578125" style="24" customWidth="1"/>
    <col min="1539" max="1539" width="9.85546875" style="24" customWidth="1"/>
    <col min="1540" max="1540" width="16" style="24" customWidth="1"/>
    <col min="1541" max="1541" width="16.140625" style="24" customWidth="1"/>
    <col min="1542" max="1542" width="9.140625" style="24" customWidth="1"/>
    <col min="1543" max="1543" width="10.140625" style="24" customWidth="1"/>
    <col min="1544" max="1792" width="9.140625" style="24"/>
    <col min="1793" max="1793" width="26.85546875" style="24" customWidth="1"/>
    <col min="1794" max="1794" width="30.42578125" style="24" customWidth="1"/>
    <col min="1795" max="1795" width="9.85546875" style="24" customWidth="1"/>
    <col min="1796" max="1796" width="16" style="24" customWidth="1"/>
    <col min="1797" max="1797" width="16.140625" style="24" customWidth="1"/>
    <col min="1798" max="1798" width="9.140625" style="24" customWidth="1"/>
    <col min="1799" max="1799" width="10.140625" style="24" customWidth="1"/>
    <col min="1800" max="2048" width="9.140625" style="24"/>
    <col min="2049" max="2049" width="26.85546875" style="24" customWidth="1"/>
    <col min="2050" max="2050" width="30.42578125" style="24" customWidth="1"/>
    <col min="2051" max="2051" width="9.85546875" style="24" customWidth="1"/>
    <col min="2052" max="2052" width="16" style="24" customWidth="1"/>
    <col min="2053" max="2053" width="16.140625" style="24" customWidth="1"/>
    <col min="2054" max="2054" width="9.140625" style="24" customWidth="1"/>
    <col min="2055" max="2055" width="10.140625" style="24" customWidth="1"/>
    <col min="2056" max="2304" width="9.140625" style="24"/>
    <col min="2305" max="2305" width="26.85546875" style="24" customWidth="1"/>
    <col min="2306" max="2306" width="30.42578125" style="24" customWidth="1"/>
    <col min="2307" max="2307" width="9.85546875" style="24" customWidth="1"/>
    <col min="2308" max="2308" width="16" style="24" customWidth="1"/>
    <col min="2309" max="2309" width="16.140625" style="24" customWidth="1"/>
    <col min="2310" max="2310" width="9.140625" style="24" customWidth="1"/>
    <col min="2311" max="2311" width="10.140625" style="24" customWidth="1"/>
    <col min="2312" max="2560" width="9.140625" style="24"/>
    <col min="2561" max="2561" width="26.85546875" style="24" customWidth="1"/>
    <col min="2562" max="2562" width="30.42578125" style="24" customWidth="1"/>
    <col min="2563" max="2563" width="9.85546875" style="24" customWidth="1"/>
    <col min="2564" max="2564" width="16" style="24" customWidth="1"/>
    <col min="2565" max="2565" width="16.140625" style="24" customWidth="1"/>
    <col min="2566" max="2566" width="9.140625" style="24" customWidth="1"/>
    <col min="2567" max="2567" width="10.140625" style="24" customWidth="1"/>
    <col min="2568" max="2816" width="9.140625" style="24"/>
    <col min="2817" max="2817" width="26.85546875" style="24" customWidth="1"/>
    <col min="2818" max="2818" width="30.42578125" style="24" customWidth="1"/>
    <col min="2819" max="2819" width="9.85546875" style="24" customWidth="1"/>
    <col min="2820" max="2820" width="16" style="24" customWidth="1"/>
    <col min="2821" max="2821" width="16.140625" style="24" customWidth="1"/>
    <col min="2822" max="2822" width="9.140625" style="24" customWidth="1"/>
    <col min="2823" max="2823" width="10.140625" style="24" customWidth="1"/>
    <col min="2824" max="3072" width="9.140625" style="24"/>
    <col min="3073" max="3073" width="26.85546875" style="24" customWidth="1"/>
    <col min="3074" max="3074" width="30.42578125" style="24" customWidth="1"/>
    <col min="3075" max="3075" width="9.85546875" style="24" customWidth="1"/>
    <col min="3076" max="3076" width="16" style="24" customWidth="1"/>
    <col min="3077" max="3077" width="16.140625" style="24" customWidth="1"/>
    <col min="3078" max="3078" width="9.140625" style="24" customWidth="1"/>
    <col min="3079" max="3079" width="10.140625" style="24" customWidth="1"/>
    <col min="3080" max="3328" width="9.140625" style="24"/>
    <col min="3329" max="3329" width="26.85546875" style="24" customWidth="1"/>
    <col min="3330" max="3330" width="30.42578125" style="24" customWidth="1"/>
    <col min="3331" max="3331" width="9.85546875" style="24" customWidth="1"/>
    <col min="3332" max="3332" width="16" style="24" customWidth="1"/>
    <col min="3333" max="3333" width="16.140625" style="24" customWidth="1"/>
    <col min="3334" max="3334" width="9.140625" style="24" customWidth="1"/>
    <col min="3335" max="3335" width="10.140625" style="24" customWidth="1"/>
    <col min="3336" max="3584" width="9.140625" style="24"/>
    <col min="3585" max="3585" width="26.85546875" style="24" customWidth="1"/>
    <col min="3586" max="3586" width="30.42578125" style="24" customWidth="1"/>
    <col min="3587" max="3587" width="9.85546875" style="24" customWidth="1"/>
    <col min="3588" max="3588" width="16" style="24" customWidth="1"/>
    <col min="3589" max="3589" width="16.140625" style="24" customWidth="1"/>
    <col min="3590" max="3590" width="9.140625" style="24" customWidth="1"/>
    <col min="3591" max="3591" width="10.140625" style="24" customWidth="1"/>
    <col min="3592" max="3840" width="9.140625" style="24"/>
    <col min="3841" max="3841" width="26.85546875" style="24" customWidth="1"/>
    <col min="3842" max="3842" width="30.42578125" style="24" customWidth="1"/>
    <col min="3843" max="3843" width="9.85546875" style="24" customWidth="1"/>
    <col min="3844" max="3844" width="16" style="24" customWidth="1"/>
    <col min="3845" max="3845" width="16.140625" style="24" customWidth="1"/>
    <col min="3846" max="3846" width="9.140625" style="24" customWidth="1"/>
    <col min="3847" max="3847" width="10.140625" style="24" customWidth="1"/>
    <col min="3848" max="4096" width="9.140625" style="24"/>
    <col min="4097" max="4097" width="26.85546875" style="24" customWidth="1"/>
    <col min="4098" max="4098" width="30.42578125" style="24" customWidth="1"/>
    <col min="4099" max="4099" width="9.85546875" style="24" customWidth="1"/>
    <col min="4100" max="4100" width="16" style="24" customWidth="1"/>
    <col min="4101" max="4101" width="16.140625" style="24" customWidth="1"/>
    <col min="4102" max="4102" width="9.140625" style="24" customWidth="1"/>
    <col min="4103" max="4103" width="10.140625" style="24" customWidth="1"/>
    <col min="4104" max="4352" width="9.140625" style="24"/>
    <col min="4353" max="4353" width="26.85546875" style="24" customWidth="1"/>
    <col min="4354" max="4354" width="30.42578125" style="24" customWidth="1"/>
    <col min="4355" max="4355" width="9.85546875" style="24" customWidth="1"/>
    <col min="4356" max="4356" width="16" style="24" customWidth="1"/>
    <col min="4357" max="4357" width="16.140625" style="24" customWidth="1"/>
    <col min="4358" max="4358" width="9.140625" style="24" customWidth="1"/>
    <col min="4359" max="4359" width="10.140625" style="24" customWidth="1"/>
    <col min="4360" max="4608" width="9.140625" style="24"/>
    <col min="4609" max="4609" width="26.85546875" style="24" customWidth="1"/>
    <col min="4610" max="4610" width="30.42578125" style="24" customWidth="1"/>
    <col min="4611" max="4611" width="9.85546875" style="24" customWidth="1"/>
    <col min="4612" max="4612" width="16" style="24" customWidth="1"/>
    <col min="4613" max="4613" width="16.140625" style="24" customWidth="1"/>
    <col min="4614" max="4614" width="9.140625" style="24" customWidth="1"/>
    <col min="4615" max="4615" width="10.140625" style="24" customWidth="1"/>
    <col min="4616" max="4864" width="9.140625" style="24"/>
    <col min="4865" max="4865" width="26.85546875" style="24" customWidth="1"/>
    <col min="4866" max="4866" width="30.42578125" style="24" customWidth="1"/>
    <col min="4867" max="4867" width="9.85546875" style="24" customWidth="1"/>
    <col min="4868" max="4868" width="16" style="24" customWidth="1"/>
    <col min="4869" max="4869" width="16.140625" style="24" customWidth="1"/>
    <col min="4870" max="4870" width="9.140625" style="24" customWidth="1"/>
    <col min="4871" max="4871" width="10.140625" style="24" customWidth="1"/>
    <col min="4872" max="5120" width="9.140625" style="24"/>
    <col min="5121" max="5121" width="26.85546875" style="24" customWidth="1"/>
    <col min="5122" max="5122" width="30.42578125" style="24" customWidth="1"/>
    <col min="5123" max="5123" width="9.85546875" style="24" customWidth="1"/>
    <col min="5124" max="5124" width="16" style="24" customWidth="1"/>
    <col min="5125" max="5125" width="16.140625" style="24" customWidth="1"/>
    <col min="5126" max="5126" width="9.140625" style="24" customWidth="1"/>
    <col min="5127" max="5127" width="10.140625" style="24" customWidth="1"/>
    <col min="5128" max="5376" width="9.140625" style="24"/>
    <col min="5377" max="5377" width="26.85546875" style="24" customWidth="1"/>
    <col min="5378" max="5378" width="30.42578125" style="24" customWidth="1"/>
    <col min="5379" max="5379" width="9.85546875" style="24" customWidth="1"/>
    <col min="5380" max="5380" width="16" style="24" customWidth="1"/>
    <col min="5381" max="5381" width="16.140625" style="24" customWidth="1"/>
    <col min="5382" max="5382" width="9.140625" style="24" customWidth="1"/>
    <col min="5383" max="5383" width="10.140625" style="24" customWidth="1"/>
    <col min="5384" max="5632" width="9.140625" style="24"/>
    <col min="5633" max="5633" width="26.85546875" style="24" customWidth="1"/>
    <col min="5634" max="5634" width="30.42578125" style="24" customWidth="1"/>
    <col min="5635" max="5635" width="9.85546875" style="24" customWidth="1"/>
    <col min="5636" max="5636" width="16" style="24" customWidth="1"/>
    <col min="5637" max="5637" width="16.140625" style="24" customWidth="1"/>
    <col min="5638" max="5638" width="9.140625" style="24" customWidth="1"/>
    <col min="5639" max="5639" width="10.140625" style="24" customWidth="1"/>
    <col min="5640" max="5888" width="9.140625" style="24"/>
    <col min="5889" max="5889" width="26.85546875" style="24" customWidth="1"/>
    <col min="5890" max="5890" width="30.42578125" style="24" customWidth="1"/>
    <col min="5891" max="5891" width="9.85546875" style="24" customWidth="1"/>
    <col min="5892" max="5892" width="16" style="24" customWidth="1"/>
    <col min="5893" max="5893" width="16.140625" style="24" customWidth="1"/>
    <col min="5894" max="5894" width="9.140625" style="24" customWidth="1"/>
    <col min="5895" max="5895" width="10.140625" style="24" customWidth="1"/>
    <col min="5896" max="6144" width="9.140625" style="24"/>
    <col min="6145" max="6145" width="26.85546875" style="24" customWidth="1"/>
    <col min="6146" max="6146" width="30.42578125" style="24" customWidth="1"/>
    <col min="6147" max="6147" width="9.85546875" style="24" customWidth="1"/>
    <col min="6148" max="6148" width="16" style="24" customWidth="1"/>
    <col min="6149" max="6149" width="16.140625" style="24" customWidth="1"/>
    <col min="6150" max="6150" width="9.140625" style="24" customWidth="1"/>
    <col min="6151" max="6151" width="10.140625" style="24" customWidth="1"/>
    <col min="6152" max="6400" width="9.140625" style="24"/>
    <col min="6401" max="6401" width="26.85546875" style="24" customWidth="1"/>
    <col min="6402" max="6402" width="30.42578125" style="24" customWidth="1"/>
    <col min="6403" max="6403" width="9.85546875" style="24" customWidth="1"/>
    <col min="6404" max="6404" width="16" style="24" customWidth="1"/>
    <col min="6405" max="6405" width="16.140625" style="24" customWidth="1"/>
    <col min="6406" max="6406" width="9.140625" style="24" customWidth="1"/>
    <col min="6407" max="6407" width="10.140625" style="24" customWidth="1"/>
    <col min="6408" max="6656" width="9.140625" style="24"/>
    <col min="6657" max="6657" width="26.85546875" style="24" customWidth="1"/>
    <col min="6658" max="6658" width="30.42578125" style="24" customWidth="1"/>
    <col min="6659" max="6659" width="9.85546875" style="24" customWidth="1"/>
    <col min="6660" max="6660" width="16" style="24" customWidth="1"/>
    <col min="6661" max="6661" width="16.140625" style="24" customWidth="1"/>
    <col min="6662" max="6662" width="9.140625" style="24" customWidth="1"/>
    <col min="6663" max="6663" width="10.140625" style="24" customWidth="1"/>
    <col min="6664" max="6912" width="9.140625" style="24"/>
    <col min="6913" max="6913" width="26.85546875" style="24" customWidth="1"/>
    <col min="6914" max="6914" width="30.42578125" style="24" customWidth="1"/>
    <col min="6915" max="6915" width="9.85546875" style="24" customWidth="1"/>
    <col min="6916" max="6916" width="16" style="24" customWidth="1"/>
    <col min="6917" max="6917" width="16.140625" style="24" customWidth="1"/>
    <col min="6918" max="6918" width="9.140625" style="24" customWidth="1"/>
    <col min="6919" max="6919" width="10.140625" style="24" customWidth="1"/>
    <col min="6920" max="7168" width="9.140625" style="24"/>
    <col min="7169" max="7169" width="26.85546875" style="24" customWidth="1"/>
    <col min="7170" max="7170" width="30.42578125" style="24" customWidth="1"/>
    <col min="7171" max="7171" width="9.85546875" style="24" customWidth="1"/>
    <col min="7172" max="7172" width="16" style="24" customWidth="1"/>
    <col min="7173" max="7173" width="16.140625" style="24" customWidth="1"/>
    <col min="7174" max="7174" width="9.140625" style="24" customWidth="1"/>
    <col min="7175" max="7175" width="10.140625" style="24" customWidth="1"/>
    <col min="7176" max="7424" width="9.140625" style="24"/>
    <col min="7425" max="7425" width="26.85546875" style="24" customWidth="1"/>
    <col min="7426" max="7426" width="30.42578125" style="24" customWidth="1"/>
    <col min="7427" max="7427" width="9.85546875" style="24" customWidth="1"/>
    <col min="7428" max="7428" width="16" style="24" customWidth="1"/>
    <col min="7429" max="7429" width="16.140625" style="24" customWidth="1"/>
    <col min="7430" max="7430" width="9.140625" style="24" customWidth="1"/>
    <col min="7431" max="7431" width="10.140625" style="24" customWidth="1"/>
    <col min="7432" max="7680" width="9.140625" style="24"/>
    <col min="7681" max="7681" width="26.85546875" style="24" customWidth="1"/>
    <col min="7682" max="7682" width="30.42578125" style="24" customWidth="1"/>
    <col min="7683" max="7683" width="9.85546875" style="24" customWidth="1"/>
    <col min="7684" max="7684" width="16" style="24" customWidth="1"/>
    <col min="7685" max="7685" width="16.140625" style="24" customWidth="1"/>
    <col min="7686" max="7686" width="9.140625" style="24" customWidth="1"/>
    <col min="7687" max="7687" width="10.140625" style="24" customWidth="1"/>
    <col min="7688" max="7936" width="9.140625" style="24"/>
    <col min="7937" max="7937" width="26.85546875" style="24" customWidth="1"/>
    <col min="7938" max="7938" width="30.42578125" style="24" customWidth="1"/>
    <col min="7939" max="7939" width="9.85546875" style="24" customWidth="1"/>
    <col min="7940" max="7940" width="16" style="24" customWidth="1"/>
    <col min="7941" max="7941" width="16.140625" style="24" customWidth="1"/>
    <col min="7942" max="7942" width="9.140625" style="24" customWidth="1"/>
    <col min="7943" max="7943" width="10.140625" style="24" customWidth="1"/>
    <col min="7944" max="8192" width="9.140625" style="24"/>
    <col min="8193" max="8193" width="26.85546875" style="24" customWidth="1"/>
    <col min="8194" max="8194" width="30.42578125" style="24" customWidth="1"/>
    <col min="8195" max="8195" width="9.85546875" style="24" customWidth="1"/>
    <col min="8196" max="8196" width="16" style="24" customWidth="1"/>
    <col min="8197" max="8197" width="16.140625" style="24" customWidth="1"/>
    <col min="8198" max="8198" width="9.140625" style="24" customWidth="1"/>
    <col min="8199" max="8199" width="10.140625" style="24" customWidth="1"/>
    <col min="8200" max="8448" width="9.140625" style="24"/>
    <col min="8449" max="8449" width="26.85546875" style="24" customWidth="1"/>
    <col min="8450" max="8450" width="30.42578125" style="24" customWidth="1"/>
    <col min="8451" max="8451" width="9.85546875" style="24" customWidth="1"/>
    <col min="8452" max="8452" width="16" style="24" customWidth="1"/>
    <col min="8453" max="8453" width="16.140625" style="24" customWidth="1"/>
    <col min="8454" max="8454" width="9.140625" style="24" customWidth="1"/>
    <col min="8455" max="8455" width="10.140625" style="24" customWidth="1"/>
    <col min="8456" max="8704" width="9.140625" style="24"/>
    <col min="8705" max="8705" width="26.85546875" style="24" customWidth="1"/>
    <col min="8706" max="8706" width="30.42578125" style="24" customWidth="1"/>
    <col min="8707" max="8707" width="9.85546875" style="24" customWidth="1"/>
    <col min="8708" max="8708" width="16" style="24" customWidth="1"/>
    <col min="8709" max="8709" width="16.140625" style="24" customWidth="1"/>
    <col min="8710" max="8710" width="9.140625" style="24" customWidth="1"/>
    <col min="8711" max="8711" width="10.140625" style="24" customWidth="1"/>
    <col min="8712" max="8960" width="9.140625" style="24"/>
    <col min="8961" max="8961" width="26.85546875" style="24" customWidth="1"/>
    <col min="8962" max="8962" width="30.42578125" style="24" customWidth="1"/>
    <col min="8963" max="8963" width="9.85546875" style="24" customWidth="1"/>
    <col min="8964" max="8964" width="16" style="24" customWidth="1"/>
    <col min="8965" max="8965" width="16.140625" style="24" customWidth="1"/>
    <col min="8966" max="8966" width="9.140625" style="24" customWidth="1"/>
    <col min="8967" max="8967" width="10.140625" style="24" customWidth="1"/>
    <col min="8968" max="9216" width="9.140625" style="24"/>
    <col min="9217" max="9217" width="26.85546875" style="24" customWidth="1"/>
    <col min="9218" max="9218" width="30.42578125" style="24" customWidth="1"/>
    <col min="9219" max="9219" width="9.85546875" style="24" customWidth="1"/>
    <col min="9220" max="9220" width="16" style="24" customWidth="1"/>
    <col min="9221" max="9221" width="16.140625" style="24" customWidth="1"/>
    <col min="9222" max="9222" width="9.140625" style="24" customWidth="1"/>
    <col min="9223" max="9223" width="10.140625" style="24" customWidth="1"/>
    <col min="9224" max="9472" width="9.140625" style="24"/>
    <col min="9473" max="9473" width="26.85546875" style="24" customWidth="1"/>
    <col min="9474" max="9474" width="30.42578125" style="24" customWidth="1"/>
    <col min="9475" max="9475" width="9.85546875" style="24" customWidth="1"/>
    <col min="9476" max="9476" width="16" style="24" customWidth="1"/>
    <col min="9477" max="9477" width="16.140625" style="24" customWidth="1"/>
    <col min="9478" max="9478" width="9.140625" style="24" customWidth="1"/>
    <col min="9479" max="9479" width="10.140625" style="24" customWidth="1"/>
    <col min="9480" max="9728" width="9.140625" style="24"/>
    <col min="9729" max="9729" width="26.85546875" style="24" customWidth="1"/>
    <col min="9730" max="9730" width="30.42578125" style="24" customWidth="1"/>
    <col min="9731" max="9731" width="9.85546875" style="24" customWidth="1"/>
    <col min="9732" max="9732" width="16" style="24" customWidth="1"/>
    <col min="9733" max="9733" width="16.140625" style="24" customWidth="1"/>
    <col min="9734" max="9734" width="9.140625" style="24" customWidth="1"/>
    <col min="9735" max="9735" width="10.140625" style="24" customWidth="1"/>
    <col min="9736" max="9984" width="9.140625" style="24"/>
    <col min="9985" max="9985" width="26.85546875" style="24" customWidth="1"/>
    <col min="9986" max="9986" width="30.42578125" style="24" customWidth="1"/>
    <col min="9987" max="9987" width="9.85546875" style="24" customWidth="1"/>
    <col min="9988" max="9988" width="16" style="24" customWidth="1"/>
    <col min="9989" max="9989" width="16.140625" style="24" customWidth="1"/>
    <col min="9990" max="9990" width="9.140625" style="24" customWidth="1"/>
    <col min="9991" max="9991" width="10.140625" style="24" customWidth="1"/>
    <col min="9992" max="10240" width="9.140625" style="24"/>
    <col min="10241" max="10241" width="26.85546875" style="24" customWidth="1"/>
    <col min="10242" max="10242" width="30.42578125" style="24" customWidth="1"/>
    <col min="10243" max="10243" width="9.85546875" style="24" customWidth="1"/>
    <col min="10244" max="10244" width="16" style="24" customWidth="1"/>
    <col min="10245" max="10245" width="16.140625" style="24" customWidth="1"/>
    <col min="10246" max="10246" width="9.140625" style="24" customWidth="1"/>
    <col min="10247" max="10247" width="10.140625" style="24" customWidth="1"/>
    <col min="10248" max="10496" width="9.140625" style="24"/>
    <col min="10497" max="10497" width="26.85546875" style="24" customWidth="1"/>
    <col min="10498" max="10498" width="30.42578125" style="24" customWidth="1"/>
    <col min="10499" max="10499" width="9.85546875" style="24" customWidth="1"/>
    <col min="10500" max="10500" width="16" style="24" customWidth="1"/>
    <col min="10501" max="10501" width="16.140625" style="24" customWidth="1"/>
    <col min="10502" max="10502" width="9.140625" style="24" customWidth="1"/>
    <col min="10503" max="10503" width="10.140625" style="24" customWidth="1"/>
    <col min="10504" max="10752" width="9.140625" style="24"/>
    <col min="10753" max="10753" width="26.85546875" style="24" customWidth="1"/>
    <col min="10754" max="10754" width="30.42578125" style="24" customWidth="1"/>
    <col min="10755" max="10755" width="9.85546875" style="24" customWidth="1"/>
    <col min="10756" max="10756" width="16" style="24" customWidth="1"/>
    <col min="10757" max="10757" width="16.140625" style="24" customWidth="1"/>
    <col min="10758" max="10758" width="9.140625" style="24" customWidth="1"/>
    <col min="10759" max="10759" width="10.140625" style="24" customWidth="1"/>
    <col min="10760" max="11008" width="9.140625" style="24"/>
    <col min="11009" max="11009" width="26.85546875" style="24" customWidth="1"/>
    <col min="11010" max="11010" width="30.42578125" style="24" customWidth="1"/>
    <col min="11011" max="11011" width="9.85546875" style="24" customWidth="1"/>
    <col min="11012" max="11012" width="16" style="24" customWidth="1"/>
    <col min="11013" max="11013" width="16.140625" style="24" customWidth="1"/>
    <col min="11014" max="11014" width="9.140625" style="24" customWidth="1"/>
    <col min="11015" max="11015" width="10.140625" style="24" customWidth="1"/>
    <col min="11016" max="11264" width="9.140625" style="24"/>
    <col min="11265" max="11265" width="26.85546875" style="24" customWidth="1"/>
    <col min="11266" max="11266" width="30.42578125" style="24" customWidth="1"/>
    <col min="11267" max="11267" width="9.85546875" style="24" customWidth="1"/>
    <col min="11268" max="11268" width="16" style="24" customWidth="1"/>
    <col min="11269" max="11269" width="16.140625" style="24" customWidth="1"/>
    <col min="11270" max="11270" width="9.140625" style="24" customWidth="1"/>
    <col min="11271" max="11271" width="10.140625" style="24" customWidth="1"/>
    <col min="11272" max="11520" width="9.140625" style="24"/>
    <col min="11521" max="11521" width="26.85546875" style="24" customWidth="1"/>
    <col min="11522" max="11522" width="30.42578125" style="24" customWidth="1"/>
    <col min="11523" max="11523" width="9.85546875" style="24" customWidth="1"/>
    <col min="11524" max="11524" width="16" style="24" customWidth="1"/>
    <col min="11525" max="11525" width="16.140625" style="24" customWidth="1"/>
    <col min="11526" max="11526" width="9.140625" style="24" customWidth="1"/>
    <col min="11527" max="11527" width="10.140625" style="24" customWidth="1"/>
    <col min="11528" max="11776" width="9.140625" style="24"/>
    <col min="11777" max="11777" width="26.85546875" style="24" customWidth="1"/>
    <col min="11778" max="11778" width="30.42578125" style="24" customWidth="1"/>
    <col min="11779" max="11779" width="9.85546875" style="24" customWidth="1"/>
    <col min="11780" max="11780" width="16" style="24" customWidth="1"/>
    <col min="11781" max="11781" width="16.140625" style="24" customWidth="1"/>
    <col min="11782" max="11782" width="9.140625" style="24" customWidth="1"/>
    <col min="11783" max="11783" width="10.140625" style="24" customWidth="1"/>
    <col min="11784" max="12032" width="9.140625" style="24"/>
    <col min="12033" max="12033" width="26.85546875" style="24" customWidth="1"/>
    <col min="12034" max="12034" width="30.42578125" style="24" customWidth="1"/>
    <col min="12035" max="12035" width="9.85546875" style="24" customWidth="1"/>
    <col min="12036" max="12036" width="16" style="24" customWidth="1"/>
    <col min="12037" max="12037" width="16.140625" style="24" customWidth="1"/>
    <col min="12038" max="12038" width="9.140625" style="24" customWidth="1"/>
    <col min="12039" max="12039" width="10.140625" style="24" customWidth="1"/>
    <col min="12040" max="12288" width="9.140625" style="24"/>
    <col min="12289" max="12289" width="26.85546875" style="24" customWidth="1"/>
    <col min="12290" max="12290" width="30.42578125" style="24" customWidth="1"/>
    <col min="12291" max="12291" width="9.85546875" style="24" customWidth="1"/>
    <col min="12292" max="12292" width="16" style="24" customWidth="1"/>
    <col min="12293" max="12293" width="16.140625" style="24" customWidth="1"/>
    <col min="12294" max="12294" width="9.140625" style="24" customWidth="1"/>
    <col min="12295" max="12295" width="10.140625" style="24" customWidth="1"/>
    <col min="12296" max="12544" width="9.140625" style="24"/>
    <col min="12545" max="12545" width="26.85546875" style="24" customWidth="1"/>
    <col min="12546" max="12546" width="30.42578125" style="24" customWidth="1"/>
    <col min="12547" max="12547" width="9.85546875" style="24" customWidth="1"/>
    <col min="12548" max="12548" width="16" style="24" customWidth="1"/>
    <col min="12549" max="12549" width="16.140625" style="24" customWidth="1"/>
    <col min="12550" max="12550" width="9.140625" style="24" customWidth="1"/>
    <col min="12551" max="12551" width="10.140625" style="24" customWidth="1"/>
    <col min="12552" max="12800" width="9.140625" style="24"/>
    <col min="12801" max="12801" width="26.85546875" style="24" customWidth="1"/>
    <col min="12802" max="12802" width="30.42578125" style="24" customWidth="1"/>
    <col min="12803" max="12803" width="9.85546875" style="24" customWidth="1"/>
    <col min="12804" max="12804" width="16" style="24" customWidth="1"/>
    <col min="12805" max="12805" width="16.140625" style="24" customWidth="1"/>
    <col min="12806" max="12806" width="9.140625" style="24" customWidth="1"/>
    <col min="12807" max="12807" width="10.140625" style="24" customWidth="1"/>
    <col min="12808" max="13056" width="9.140625" style="24"/>
    <col min="13057" max="13057" width="26.85546875" style="24" customWidth="1"/>
    <col min="13058" max="13058" width="30.42578125" style="24" customWidth="1"/>
    <col min="13059" max="13059" width="9.85546875" style="24" customWidth="1"/>
    <col min="13060" max="13060" width="16" style="24" customWidth="1"/>
    <col min="13061" max="13061" width="16.140625" style="24" customWidth="1"/>
    <col min="13062" max="13062" width="9.140625" style="24" customWidth="1"/>
    <col min="13063" max="13063" width="10.140625" style="24" customWidth="1"/>
    <col min="13064" max="13312" width="9.140625" style="24"/>
    <col min="13313" max="13313" width="26.85546875" style="24" customWidth="1"/>
    <col min="13314" max="13314" width="30.42578125" style="24" customWidth="1"/>
    <col min="13315" max="13315" width="9.85546875" style="24" customWidth="1"/>
    <col min="13316" max="13316" width="16" style="24" customWidth="1"/>
    <col min="13317" max="13317" width="16.140625" style="24" customWidth="1"/>
    <col min="13318" max="13318" width="9.140625" style="24" customWidth="1"/>
    <col min="13319" max="13319" width="10.140625" style="24" customWidth="1"/>
    <col min="13320" max="13568" width="9.140625" style="24"/>
    <col min="13569" max="13569" width="26.85546875" style="24" customWidth="1"/>
    <col min="13570" max="13570" width="30.42578125" style="24" customWidth="1"/>
    <col min="13571" max="13571" width="9.85546875" style="24" customWidth="1"/>
    <col min="13572" max="13572" width="16" style="24" customWidth="1"/>
    <col min="13573" max="13573" width="16.140625" style="24" customWidth="1"/>
    <col min="13574" max="13574" width="9.140625" style="24" customWidth="1"/>
    <col min="13575" max="13575" width="10.140625" style="24" customWidth="1"/>
    <col min="13576" max="13824" width="9.140625" style="24"/>
    <col min="13825" max="13825" width="26.85546875" style="24" customWidth="1"/>
    <col min="13826" max="13826" width="30.42578125" style="24" customWidth="1"/>
    <col min="13827" max="13827" width="9.85546875" style="24" customWidth="1"/>
    <col min="13828" max="13828" width="16" style="24" customWidth="1"/>
    <col min="13829" max="13829" width="16.140625" style="24" customWidth="1"/>
    <col min="13830" max="13830" width="9.140625" style="24" customWidth="1"/>
    <col min="13831" max="13831" width="10.140625" style="24" customWidth="1"/>
    <col min="13832" max="14080" width="9.140625" style="24"/>
    <col min="14081" max="14081" width="26.85546875" style="24" customWidth="1"/>
    <col min="14082" max="14082" width="30.42578125" style="24" customWidth="1"/>
    <col min="14083" max="14083" width="9.85546875" style="24" customWidth="1"/>
    <col min="14084" max="14084" width="16" style="24" customWidth="1"/>
    <col min="14085" max="14085" width="16.140625" style="24" customWidth="1"/>
    <col min="14086" max="14086" width="9.140625" style="24" customWidth="1"/>
    <col min="14087" max="14087" width="10.140625" style="24" customWidth="1"/>
    <col min="14088" max="14336" width="9.140625" style="24"/>
    <col min="14337" max="14337" width="26.85546875" style="24" customWidth="1"/>
    <col min="14338" max="14338" width="30.42578125" style="24" customWidth="1"/>
    <col min="14339" max="14339" width="9.85546875" style="24" customWidth="1"/>
    <col min="14340" max="14340" width="16" style="24" customWidth="1"/>
    <col min="14341" max="14341" width="16.140625" style="24" customWidth="1"/>
    <col min="14342" max="14342" width="9.140625" style="24" customWidth="1"/>
    <col min="14343" max="14343" width="10.140625" style="24" customWidth="1"/>
    <col min="14344" max="14592" width="9.140625" style="24"/>
    <col min="14593" max="14593" width="26.85546875" style="24" customWidth="1"/>
    <col min="14594" max="14594" width="30.42578125" style="24" customWidth="1"/>
    <col min="14595" max="14595" width="9.85546875" style="24" customWidth="1"/>
    <col min="14596" max="14596" width="16" style="24" customWidth="1"/>
    <col min="14597" max="14597" width="16.140625" style="24" customWidth="1"/>
    <col min="14598" max="14598" width="9.140625" style="24" customWidth="1"/>
    <col min="14599" max="14599" width="10.140625" style="24" customWidth="1"/>
    <col min="14600" max="14848" width="9.140625" style="24"/>
    <col min="14849" max="14849" width="26.85546875" style="24" customWidth="1"/>
    <col min="14850" max="14850" width="30.42578125" style="24" customWidth="1"/>
    <col min="14851" max="14851" width="9.85546875" style="24" customWidth="1"/>
    <col min="14852" max="14852" width="16" style="24" customWidth="1"/>
    <col min="14853" max="14853" width="16.140625" style="24" customWidth="1"/>
    <col min="14854" max="14854" width="9.140625" style="24" customWidth="1"/>
    <col min="14855" max="14855" width="10.140625" style="24" customWidth="1"/>
    <col min="14856" max="15104" width="9.140625" style="24"/>
    <col min="15105" max="15105" width="26.85546875" style="24" customWidth="1"/>
    <col min="15106" max="15106" width="30.42578125" style="24" customWidth="1"/>
    <col min="15107" max="15107" width="9.85546875" style="24" customWidth="1"/>
    <col min="15108" max="15108" width="16" style="24" customWidth="1"/>
    <col min="15109" max="15109" width="16.140625" style="24" customWidth="1"/>
    <col min="15110" max="15110" width="9.140625" style="24" customWidth="1"/>
    <col min="15111" max="15111" width="10.140625" style="24" customWidth="1"/>
    <col min="15112" max="15360" width="9.140625" style="24"/>
    <col min="15361" max="15361" width="26.85546875" style="24" customWidth="1"/>
    <col min="15362" max="15362" width="30.42578125" style="24" customWidth="1"/>
    <col min="15363" max="15363" width="9.85546875" style="24" customWidth="1"/>
    <col min="15364" max="15364" width="16" style="24" customWidth="1"/>
    <col min="15365" max="15365" width="16.140625" style="24" customWidth="1"/>
    <col min="15366" max="15366" width="9.140625" style="24" customWidth="1"/>
    <col min="15367" max="15367" width="10.140625" style="24" customWidth="1"/>
    <col min="15368" max="15616" width="9.140625" style="24"/>
    <col min="15617" max="15617" width="26.85546875" style="24" customWidth="1"/>
    <col min="15618" max="15618" width="30.42578125" style="24" customWidth="1"/>
    <col min="15619" max="15619" width="9.85546875" style="24" customWidth="1"/>
    <col min="15620" max="15620" width="16" style="24" customWidth="1"/>
    <col min="15621" max="15621" width="16.140625" style="24" customWidth="1"/>
    <col min="15622" max="15622" width="9.140625" style="24" customWidth="1"/>
    <col min="15623" max="15623" width="10.140625" style="24" customWidth="1"/>
    <col min="15624" max="15872" width="9.140625" style="24"/>
    <col min="15873" max="15873" width="26.85546875" style="24" customWidth="1"/>
    <col min="15874" max="15874" width="30.42578125" style="24" customWidth="1"/>
    <col min="15875" max="15875" width="9.85546875" style="24" customWidth="1"/>
    <col min="15876" max="15876" width="16" style="24" customWidth="1"/>
    <col min="15877" max="15877" width="16.140625" style="24" customWidth="1"/>
    <col min="15878" max="15878" width="9.140625" style="24" customWidth="1"/>
    <col min="15879" max="15879" width="10.140625" style="24" customWidth="1"/>
    <col min="15880" max="16128" width="9.140625" style="24"/>
    <col min="16129" max="16129" width="26.85546875" style="24" customWidth="1"/>
    <col min="16130" max="16130" width="30.42578125" style="24" customWidth="1"/>
    <col min="16131" max="16131" width="9.85546875" style="24" customWidth="1"/>
    <col min="16132" max="16132" width="16" style="24" customWidth="1"/>
    <col min="16133" max="16133" width="16.140625" style="24" customWidth="1"/>
    <col min="16134" max="16134" width="9.140625" style="24" customWidth="1"/>
    <col min="16135" max="16135" width="10.140625" style="24" customWidth="1"/>
    <col min="16136" max="16384" width="9.140625" style="24"/>
  </cols>
  <sheetData>
    <row r="1" spans="1:6" s="18" customFormat="1" ht="12.75" hidden="1">
      <c r="A1" s="12" t="s">
        <v>371</v>
      </c>
      <c r="B1" s="17"/>
    </row>
    <row r="2" spans="1:6" s="18" customFormat="1" ht="12.75" hidden="1">
      <c r="A2" s="13" t="s">
        <v>372</v>
      </c>
      <c r="B2" s="17"/>
    </row>
    <row r="3" spans="1:6" s="18" customFormat="1" ht="12.75" hidden="1">
      <c r="A3" s="14" t="s">
        <v>373</v>
      </c>
      <c r="B3" s="17"/>
    </row>
    <row r="4" spans="1:6" s="19" customFormat="1" ht="12.75" hidden="1">
      <c r="A4" s="76" t="s">
        <v>374</v>
      </c>
      <c r="B4" s="76"/>
      <c r="C4" s="15"/>
      <c r="E4" s="20"/>
    </row>
    <row r="5" spans="1:6" s="18" customFormat="1" ht="12.75" hidden="1">
      <c r="A5" s="21" t="s">
        <v>375</v>
      </c>
      <c r="B5" s="21"/>
      <c r="C5" s="21"/>
      <c r="D5" s="22"/>
      <c r="E5" s="21"/>
      <c r="F5" s="21"/>
    </row>
    <row r="6" spans="1:6" s="18" customFormat="1" ht="12.75" hidden="1">
      <c r="A6" s="21" t="s">
        <v>376</v>
      </c>
      <c r="B6" s="21"/>
      <c r="C6" s="21"/>
      <c r="D6" s="23"/>
      <c r="E6" s="21"/>
      <c r="F6" s="21"/>
    </row>
    <row r="7" spans="1:6" hidden="1">
      <c r="A7" s="628" t="s">
        <v>377</v>
      </c>
      <c r="B7" s="628"/>
      <c r="C7" s="628"/>
      <c r="D7" s="628"/>
      <c r="E7" s="628"/>
    </row>
    <row r="8" spans="1:6" hidden="1">
      <c r="A8" s="628" t="s">
        <v>378</v>
      </c>
      <c r="B8" s="628"/>
      <c r="C8" s="628"/>
      <c r="D8" s="628"/>
      <c r="E8" s="628"/>
    </row>
    <row r="9" spans="1:6" hidden="1">
      <c r="A9" s="628" t="s">
        <v>379</v>
      </c>
      <c r="B9" s="628"/>
      <c r="C9" s="628"/>
      <c r="D9" s="628"/>
      <c r="E9" s="628"/>
    </row>
    <row r="10" spans="1:6" hidden="1">
      <c r="A10" s="629" t="s">
        <v>306</v>
      </c>
      <c r="B10" s="629"/>
      <c r="C10" s="629"/>
      <c r="D10" s="629"/>
      <c r="E10" s="629"/>
    </row>
    <row r="11" spans="1:6">
      <c r="A11" s="331" t="s">
        <v>699</v>
      </c>
      <c r="B11" s="332" t="str">
        <f>Реквизиты!B4</f>
        <v>АО "Тема Ко"</v>
      </c>
      <c r="C11" s="331"/>
      <c r="D11" s="331"/>
      <c r="E11" s="331"/>
    </row>
    <row r="12" spans="1:6">
      <c r="A12" s="331" t="s">
        <v>380</v>
      </c>
      <c r="B12" s="332">
        <f>Реквизиты!B5</f>
        <v>0</v>
      </c>
      <c r="C12" s="331"/>
      <c r="D12" s="331"/>
      <c r="E12" s="331"/>
    </row>
    <row r="13" spans="1:6" ht="15" customHeight="1">
      <c r="A13" s="331" t="s">
        <v>381</v>
      </c>
      <c r="B13" s="332" t="str">
        <f>Реквизиты!B6</f>
        <v>Гостиничный бизнес</v>
      </c>
      <c r="C13" s="331"/>
      <c r="D13" s="331"/>
      <c r="E13" s="331"/>
    </row>
    <row r="14" spans="1:6" ht="15" customHeight="1">
      <c r="A14" s="331" t="s">
        <v>382</v>
      </c>
      <c r="B14" s="332" t="str">
        <f>Реквизиты!B7</f>
        <v>Акционерное общество</v>
      </c>
      <c r="C14" s="331"/>
      <c r="D14" s="331"/>
      <c r="E14" s="331"/>
    </row>
    <row r="15" spans="1:6" ht="15" customHeight="1">
      <c r="A15" s="331" t="s">
        <v>383</v>
      </c>
      <c r="B15" s="332" t="str">
        <f>Реквизиты!B8</f>
        <v>Консолидированный</v>
      </c>
      <c r="C15" s="331"/>
      <c r="D15" s="331"/>
      <c r="E15" s="331"/>
    </row>
    <row r="16" spans="1:6" ht="15" customHeight="1">
      <c r="A16" s="331" t="s">
        <v>693</v>
      </c>
      <c r="B16" s="332" t="str">
        <f>Реквизиты!B9</f>
        <v>1 чел.</v>
      </c>
      <c r="C16" s="331"/>
      <c r="D16" s="331"/>
      <c r="E16" s="331"/>
    </row>
    <row r="17" spans="1:7" ht="15" customHeight="1">
      <c r="A17" s="331" t="s">
        <v>384</v>
      </c>
      <c r="B17" s="332">
        <f>Реквизиты!B10</f>
        <v>0</v>
      </c>
      <c r="C17" s="331"/>
      <c r="D17" s="331"/>
      <c r="E17" s="331"/>
    </row>
    <row r="18" spans="1:7" ht="24">
      <c r="A18" s="71" t="s">
        <v>385</v>
      </c>
      <c r="B18" s="627">
        <f>Реквизиты!B11</f>
        <v>0</v>
      </c>
      <c r="C18" s="627"/>
      <c r="D18" s="627"/>
      <c r="E18" s="627"/>
    </row>
    <row r="19" spans="1:7">
      <c r="A19" s="632" t="s">
        <v>789</v>
      </c>
      <c r="B19" s="632"/>
      <c r="C19" s="632"/>
      <c r="D19" s="632"/>
      <c r="E19" s="632"/>
    </row>
    <row r="20" spans="1:7">
      <c r="A20" s="633" t="str">
        <f>Реквизиты!A2</f>
        <v>за период с 01.01.2013 г. по 30.09.2013 г.</v>
      </c>
      <c r="B20" s="633"/>
      <c r="C20" s="633"/>
      <c r="D20" s="633"/>
      <c r="E20" s="633"/>
    </row>
    <row r="21" spans="1:7">
      <c r="A21" s="72" t="s">
        <v>305</v>
      </c>
      <c r="B21" s="72" t="s">
        <v>305</v>
      </c>
      <c r="C21" s="25" t="s">
        <v>305</v>
      </c>
      <c r="D21" s="25" t="s">
        <v>305</v>
      </c>
      <c r="E21" s="139" t="s">
        <v>307</v>
      </c>
    </row>
    <row r="22" spans="1:7" ht="36">
      <c r="A22" s="634" t="s">
        <v>308</v>
      </c>
      <c r="B22" s="635"/>
      <c r="C22" s="27" t="s">
        <v>386</v>
      </c>
      <c r="D22" s="27" t="s">
        <v>309</v>
      </c>
      <c r="E22" s="27" t="s">
        <v>387</v>
      </c>
    </row>
    <row r="23" spans="1:7">
      <c r="A23" s="636" t="s">
        <v>388</v>
      </c>
      <c r="B23" s="637"/>
      <c r="C23" s="637"/>
      <c r="D23" s="637"/>
      <c r="E23" s="638"/>
    </row>
    <row r="24" spans="1:7">
      <c r="A24" s="639" t="s">
        <v>389</v>
      </c>
      <c r="B24" s="640"/>
      <c r="C24" s="28" t="s">
        <v>305</v>
      </c>
      <c r="D24" s="29"/>
      <c r="E24" s="29"/>
    </row>
    <row r="25" spans="1:7">
      <c r="A25" s="630" t="s">
        <v>390</v>
      </c>
      <c r="B25" s="631"/>
      <c r="C25" s="30" t="s">
        <v>310</v>
      </c>
      <c r="D25" s="31">
        <v>732684.23104999994</v>
      </c>
      <c r="E25" s="31">
        <v>881207.54706000001</v>
      </c>
      <c r="G25" s="33"/>
    </row>
    <row r="26" spans="1:7">
      <c r="A26" s="630" t="s">
        <v>391</v>
      </c>
      <c r="B26" s="631"/>
      <c r="C26" s="30" t="s">
        <v>311</v>
      </c>
      <c r="D26" s="31">
        <v>0</v>
      </c>
      <c r="E26" s="31">
        <v>0</v>
      </c>
    </row>
    <row r="27" spans="1:7">
      <c r="A27" s="630" t="s">
        <v>392</v>
      </c>
      <c r="B27" s="631"/>
      <c r="C27" s="30" t="s">
        <v>312</v>
      </c>
      <c r="D27" s="31">
        <v>0</v>
      </c>
      <c r="E27" s="31">
        <v>0</v>
      </c>
    </row>
    <row r="28" spans="1:7" ht="15" customHeight="1">
      <c r="A28" s="630" t="s">
        <v>393</v>
      </c>
      <c r="B28" s="631"/>
      <c r="C28" s="30" t="s">
        <v>313</v>
      </c>
      <c r="D28" s="31">
        <v>0</v>
      </c>
      <c r="E28" s="31">
        <v>0</v>
      </c>
    </row>
    <row r="29" spans="1:7">
      <c r="A29" s="630" t="s">
        <v>394</v>
      </c>
      <c r="B29" s="631"/>
      <c r="C29" s="30" t="s">
        <v>315</v>
      </c>
      <c r="D29" s="31">
        <v>0</v>
      </c>
      <c r="E29" s="31">
        <v>0</v>
      </c>
    </row>
    <row r="30" spans="1:7">
      <c r="A30" s="630" t="s">
        <v>395</v>
      </c>
      <c r="B30" s="631"/>
      <c r="C30" s="30" t="s">
        <v>316</v>
      </c>
      <c r="D30" s="31">
        <v>106625.2062</v>
      </c>
      <c r="E30" s="31">
        <v>4592.2212</v>
      </c>
    </row>
    <row r="31" spans="1:7" ht="15" customHeight="1">
      <c r="A31" s="630" t="s">
        <v>396</v>
      </c>
      <c r="B31" s="631"/>
      <c r="C31" s="30" t="s">
        <v>317</v>
      </c>
      <c r="D31" s="31">
        <v>2911126.7432200001</v>
      </c>
      <c r="E31" s="31">
        <v>204596.2011500001</v>
      </c>
    </row>
    <row r="32" spans="1:7">
      <c r="A32" s="630" t="s">
        <v>314</v>
      </c>
      <c r="B32" s="631"/>
      <c r="C32" s="30" t="s">
        <v>397</v>
      </c>
      <c r="D32" s="31">
        <v>9629.6159699999989</v>
      </c>
      <c r="E32" s="31">
        <v>24366.276089999999</v>
      </c>
    </row>
    <row r="33" spans="1:6">
      <c r="A33" s="630" t="s">
        <v>110</v>
      </c>
      <c r="B33" s="631"/>
      <c r="C33" s="30" t="s">
        <v>398</v>
      </c>
      <c r="D33" s="31">
        <v>227343.44841000001</v>
      </c>
      <c r="E33" s="31">
        <v>237297.18640999997</v>
      </c>
    </row>
    <row r="34" spans="1:6">
      <c r="A34" s="630" t="s">
        <v>13</v>
      </c>
      <c r="B34" s="631"/>
      <c r="C34" s="30" t="s">
        <v>399</v>
      </c>
      <c r="D34" s="31">
        <v>432350.79147</v>
      </c>
      <c r="E34" s="31">
        <v>180390.70909999998</v>
      </c>
    </row>
    <row r="35" spans="1:6" ht="15" customHeight="1">
      <c r="A35" s="639" t="s">
        <v>400</v>
      </c>
      <c r="B35" s="640"/>
      <c r="C35" s="27">
        <v>100</v>
      </c>
      <c r="D35" s="16">
        <v>4419760.03632</v>
      </c>
      <c r="E35" s="16">
        <v>1532450.1410100004</v>
      </c>
    </row>
    <row r="36" spans="1:6" ht="15" customHeight="1">
      <c r="A36" s="630" t="s">
        <v>401</v>
      </c>
      <c r="B36" s="631"/>
      <c r="C36" s="28">
        <v>101</v>
      </c>
      <c r="D36" s="32">
        <v>0</v>
      </c>
      <c r="E36" s="32">
        <v>0</v>
      </c>
    </row>
    <row r="37" spans="1:6">
      <c r="A37" s="639" t="s">
        <v>318</v>
      </c>
      <c r="B37" s="640"/>
      <c r="C37" s="27" t="s">
        <v>305</v>
      </c>
      <c r="D37" s="29" t="s">
        <v>305</v>
      </c>
      <c r="E37" s="29" t="s">
        <v>305</v>
      </c>
    </row>
    <row r="38" spans="1:6">
      <c r="A38" s="630" t="s">
        <v>391</v>
      </c>
      <c r="B38" s="631"/>
      <c r="C38" s="28">
        <v>110</v>
      </c>
      <c r="D38" s="31">
        <v>2965700.5591900004</v>
      </c>
      <c r="E38" s="31">
        <v>-1.8099998123943806E-3</v>
      </c>
    </row>
    <row r="39" spans="1:6">
      <c r="A39" s="630" t="s">
        <v>392</v>
      </c>
      <c r="B39" s="631"/>
      <c r="C39" s="28">
        <v>111</v>
      </c>
      <c r="D39" s="31">
        <v>0</v>
      </c>
      <c r="E39" s="31">
        <v>0</v>
      </c>
    </row>
    <row r="40" spans="1:6" ht="15" customHeight="1">
      <c r="A40" s="630" t="s">
        <v>393</v>
      </c>
      <c r="B40" s="631"/>
      <c r="C40" s="28">
        <v>112</v>
      </c>
      <c r="D40" s="31">
        <v>0</v>
      </c>
      <c r="E40" s="31">
        <v>0</v>
      </c>
    </row>
    <row r="41" spans="1:6">
      <c r="A41" s="630" t="s">
        <v>394</v>
      </c>
      <c r="B41" s="631"/>
      <c r="C41" s="28">
        <v>113</v>
      </c>
      <c r="D41" s="31">
        <v>0</v>
      </c>
      <c r="E41" s="31">
        <v>0</v>
      </c>
    </row>
    <row r="42" spans="1:6">
      <c r="A42" s="630" t="s">
        <v>402</v>
      </c>
      <c r="B42" s="631"/>
      <c r="C42" s="28">
        <v>114</v>
      </c>
      <c r="D42" s="31">
        <v>0</v>
      </c>
      <c r="E42" s="31">
        <v>89890</v>
      </c>
      <c r="F42" s="24" t="s">
        <v>788</v>
      </c>
    </row>
    <row r="43" spans="1:6" ht="15" customHeight="1">
      <c r="A43" s="630" t="s">
        <v>403</v>
      </c>
      <c r="B43" s="631"/>
      <c r="C43" s="28">
        <v>115</v>
      </c>
      <c r="D43" s="31">
        <v>160365.56489000001</v>
      </c>
      <c r="E43" s="31">
        <v>146595.44445000001</v>
      </c>
    </row>
    <row r="44" spans="1:6">
      <c r="A44" s="630" t="s">
        <v>148</v>
      </c>
      <c r="B44" s="631"/>
      <c r="C44" s="28">
        <v>116</v>
      </c>
      <c r="D44" s="31">
        <v>97652</v>
      </c>
      <c r="E44" s="31">
        <v>0</v>
      </c>
    </row>
    <row r="45" spans="1:6">
      <c r="A45" s="630" t="s">
        <v>19</v>
      </c>
      <c r="B45" s="631"/>
      <c r="C45" s="28">
        <v>117</v>
      </c>
      <c r="D45" s="31">
        <v>0</v>
      </c>
      <c r="E45" s="31">
        <v>0</v>
      </c>
    </row>
    <row r="46" spans="1:6">
      <c r="A46" s="630" t="s">
        <v>21</v>
      </c>
      <c r="B46" s="631"/>
      <c r="C46" s="28">
        <v>118</v>
      </c>
      <c r="D46" s="31">
        <v>863208.01542000007</v>
      </c>
      <c r="E46" s="31">
        <v>1018563.1613500002</v>
      </c>
      <c r="F46" s="24" t="s">
        <v>788</v>
      </c>
    </row>
    <row r="47" spans="1:6">
      <c r="A47" s="630" t="s">
        <v>154</v>
      </c>
      <c r="B47" s="631"/>
      <c r="C47" s="28">
        <v>119</v>
      </c>
      <c r="D47" s="31">
        <v>0</v>
      </c>
      <c r="E47" s="31">
        <v>0</v>
      </c>
    </row>
    <row r="48" spans="1:6">
      <c r="A48" s="630" t="s">
        <v>157</v>
      </c>
      <c r="B48" s="631"/>
      <c r="C48" s="28">
        <v>120</v>
      </c>
      <c r="D48" s="31">
        <v>0</v>
      </c>
      <c r="E48" s="31">
        <v>0</v>
      </c>
    </row>
    <row r="49" spans="1:7">
      <c r="A49" s="630" t="s">
        <v>75</v>
      </c>
      <c r="B49" s="631"/>
      <c r="C49" s="28">
        <v>121</v>
      </c>
      <c r="D49" s="31">
        <v>9993.6281400000007</v>
      </c>
      <c r="E49" s="31">
        <v>11764.438120000001</v>
      </c>
      <c r="F49" s="24" t="s">
        <v>788</v>
      </c>
      <c r="G49" s="33"/>
    </row>
    <row r="50" spans="1:7">
      <c r="A50" s="630" t="s">
        <v>164</v>
      </c>
      <c r="B50" s="631"/>
      <c r="C50" s="28">
        <v>122</v>
      </c>
      <c r="D50" s="31">
        <v>0</v>
      </c>
      <c r="E50" s="31">
        <v>0</v>
      </c>
    </row>
    <row r="51" spans="1:7">
      <c r="A51" s="630" t="s">
        <v>166</v>
      </c>
      <c r="B51" s="631"/>
      <c r="C51" s="28">
        <v>123</v>
      </c>
      <c r="D51" s="31">
        <v>52871.681469999996</v>
      </c>
      <c r="E51" s="31">
        <v>68945.521470000007</v>
      </c>
      <c r="F51" s="24" t="s">
        <v>788</v>
      </c>
    </row>
    <row r="52" spans="1:7">
      <c r="A52" s="630" t="s">
        <v>358</v>
      </c>
      <c r="B52" s="631"/>
      <c r="C52" s="28">
        <v>124</v>
      </c>
      <c r="D52" s="31">
        <v>1544902</v>
      </c>
      <c r="E52" s="31">
        <v>1762602</v>
      </c>
      <c r="F52" s="24" t="s">
        <v>788</v>
      </c>
    </row>
    <row r="53" spans="1:7" ht="15" customHeight="1">
      <c r="A53" s="639" t="s">
        <v>404</v>
      </c>
      <c r="B53" s="640"/>
      <c r="C53" s="27">
        <v>200</v>
      </c>
      <c r="D53" s="16">
        <v>5694693.4491100013</v>
      </c>
      <c r="E53" s="16">
        <v>3098360.5635800008</v>
      </c>
    </row>
    <row r="54" spans="1:7">
      <c r="A54" s="639" t="s">
        <v>405</v>
      </c>
      <c r="B54" s="640"/>
      <c r="C54" s="27" t="s">
        <v>305</v>
      </c>
      <c r="D54" s="16">
        <v>10114453.485430002</v>
      </c>
      <c r="E54" s="16">
        <v>4630810.7045900011</v>
      </c>
    </row>
    <row r="55" spans="1:7">
      <c r="A55" s="641" t="s">
        <v>406</v>
      </c>
      <c r="B55" s="642"/>
      <c r="C55" s="642"/>
      <c r="D55" s="642"/>
      <c r="E55" s="643"/>
      <c r="F55" s="34">
        <f>D54-D85</f>
        <v>-2.6599951088428497E-3</v>
      </c>
      <c r="G55" s="34">
        <f>E54-E85</f>
        <v>-2.2659998387098312E-2</v>
      </c>
    </row>
    <row r="56" spans="1:7">
      <c r="A56" s="639" t="s">
        <v>328</v>
      </c>
      <c r="B56" s="640"/>
      <c r="C56" s="27" t="s">
        <v>305</v>
      </c>
      <c r="D56" s="29" t="s">
        <v>305</v>
      </c>
      <c r="E56" s="29" t="s">
        <v>305</v>
      </c>
    </row>
    <row r="57" spans="1:7">
      <c r="A57" s="630" t="s">
        <v>41</v>
      </c>
      <c r="B57" s="631"/>
      <c r="C57" s="28">
        <v>210</v>
      </c>
      <c r="D57" s="31">
        <v>28714.45</v>
      </c>
      <c r="E57" s="31">
        <v>143810.041</v>
      </c>
    </row>
    <row r="58" spans="1:7">
      <c r="A58" s="630" t="s">
        <v>392</v>
      </c>
      <c r="B58" s="631"/>
      <c r="C58" s="28">
        <v>211</v>
      </c>
      <c r="D58" s="31">
        <v>0</v>
      </c>
      <c r="E58" s="31">
        <v>0</v>
      </c>
    </row>
    <row r="59" spans="1:7">
      <c r="A59" s="630" t="s">
        <v>176</v>
      </c>
      <c r="B59" s="631"/>
      <c r="C59" s="28">
        <v>212</v>
      </c>
      <c r="D59" s="31">
        <v>52602.9</v>
      </c>
      <c r="E59" s="31">
        <v>0</v>
      </c>
    </row>
    <row r="60" spans="1:7" ht="15" customHeight="1">
      <c r="A60" s="630" t="s">
        <v>407</v>
      </c>
      <c r="B60" s="631"/>
      <c r="C60" s="28">
        <v>213</v>
      </c>
      <c r="D60" s="31">
        <v>3825341.5017900001</v>
      </c>
      <c r="E60" s="31">
        <v>644859.00264000008</v>
      </c>
    </row>
    <row r="61" spans="1:7">
      <c r="A61" s="630" t="s">
        <v>408</v>
      </c>
      <c r="B61" s="631"/>
      <c r="C61" s="28">
        <v>214</v>
      </c>
      <c r="D61" s="31">
        <v>33708.697220000002</v>
      </c>
      <c r="E61" s="31">
        <v>19791.600529999996</v>
      </c>
    </row>
    <row r="62" spans="1:7" ht="15" customHeight="1">
      <c r="A62" s="630" t="s">
        <v>409</v>
      </c>
      <c r="B62" s="631"/>
      <c r="C62" s="28">
        <v>215</v>
      </c>
      <c r="D62" s="31">
        <v>-23789.896809999998</v>
      </c>
      <c r="E62" s="31">
        <v>-1.8200000013166573E-3</v>
      </c>
    </row>
    <row r="63" spans="1:7">
      <c r="A63" s="630" t="s">
        <v>410</v>
      </c>
      <c r="B63" s="631"/>
      <c r="C63" s="28">
        <v>216</v>
      </c>
      <c r="D63" s="31">
        <v>10235.936580000001</v>
      </c>
      <c r="E63" s="31">
        <v>2.899999963119626E-4</v>
      </c>
    </row>
    <row r="64" spans="1:7">
      <c r="A64" s="630" t="s">
        <v>209</v>
      </c>
      <c r="B64" s="631"/>
      <c r="C64" s="28">
        <v>217</v>
      </c>
      <c r="D64" s="31">
        <v>526660.58153000008</v>
      </c>
      <c r="E64" s="31">
        <v>44449.998319999955</v>
      </c>
    </row>
    <row r="65" spans="1:7" ht="15" customHeight="1">
      <c r="A65" s="639" t="s">
        <v>411</v>
      </c>
      <c r="B65" s="640"/>
      <c r="C65" s="27">
        <v>300</v>
      </c>
      <c r="D65" s="16">
        <v>4453474.17031</v>
      </c>
      <c r="E65" s="16">
        <v>852910.64095999999</v>
      </c>
    </row>
    <row r="66" spans="1:7" ht="15" customHeight="1">
      <c r="A66" s="630" t="s">
        <v>412</v>
      </c>
      <c r="B66" s="631"/>
      <c r="C66" s="28">
        <v>301</v>
      </c>
      <c r="D66" s="31">
        <v>0</v>
      </c>
      <c r="E66" s="31">
        <v>0</v>
      </c>
    </row>
    <row r="67" spans="1:7">
      <c r="A67" s="639" t="s">
        <v>330</v>
      </c>
      <c r="B67" s="640"/>
      <c r="C67" s="27" t="s">
        <v>305</v>
      </c>
      <c r="D67" s="29" t="s">
        <v>305</v>
      </c>
      <c r="E67" s="29" t="s">
        <v>305</v>
      </c>
    </row>
    <row r="68" spans="1:7">
      <c r="A68" s="630" t="s">
        <v>562</v>
      </c>
      <c r="B68" s="631"/>
      <c r="C68" s="28">
        <v>310</v>
      </c>
      <c r="D68" s="31">
        <v>68749.25</v>
      </c>
      <c r="E68" s="31">
        <v>568623.31000000006</v>
      </c>
      <c r="F68" s="24" t="s">
        <v>788</v>
      </c>
    </row>
    <row r="69" spans="1:7">
      <c r="A69" s="630" t="s">
        <v>392</v>
      </c>
      <c r="B69" s="631"/>
      <c r="C69" s="28">
        <v>311</v>
      </c>
      <c r="D69" s="31">
        <v>0</v>
      </c>
      <c r="E69" s="31">
        <v>0</v>
      </c>
    </row>
    <row r="70" spans="1:7">
      <c r="A70" s="630" t="s">
        <v>216</v>
      </c>
      <c r="B70" s="631"/>
      <c r="C70" s="28">
        <v>312</v>
      </c>
      <c r="D70" s="31">
        <v>233903.99205999999</v>
      </c>
      <c r="E70" s="31">
        <v>2.0599999988917261E-3</v>
      </c>
    </row>
    <row r="71" spans="1:7" ht="15" customHeight="1">
      <c r="A71" s="630" t="s">
        <v>413</v>
      </c>
      <c r="B71" s="631"/>
      <c r="C71" s="28">
        <v>313</v>
      </c>
      <c r="D71" s="31">
        <v>240077.17172000001</v>
      </c>
      <c r="E71" s="31">
        <v>4.1600000113248825E-3</v>
      </c>
    </row>
    <row r="72" spans="1:7">
      <c r="A72" s="630" t="s">
        <v>414</v>
      </c>
      <c r="B72" s="631"/>
      <c r="C72" s="28">
        <v>314</v>
      </c>
      <c r="D72" s="31">
        <v>0</v>
      </c>
      <c r="E72" s="31">
        <v>0</v>
      </c>
    </row>
    <row r="73" spans="1:7">
      <c r="A73" s="630" t="s">
        <v>73</v>
      </c>
      <c r="B73" s="631"/>
      <c r="C73" s="28">
        <v>315</v>
      </c>
      <c r="D73" s="31">
        <v>30529.413069999999</v>
      </c>
      <c r="E73" s="31">
        <v>50993.413069999995</v>
      </c>
      <c r="F73" s="24" t="s">
        <v>788</v>
      </c>
    </row>
    <row r="74" spans="1:7">
      <c r="A74" s="630" t="s">
        <v>237</v>
      </c>
      <c r="B74" s="631"/>
      <c r="C74" s="28">
        <v>316</v>
      </c>
      <c r="D74" s="31">
        <v>0</v>
      </c>
      <c r="E74" s="31">
        <v>0</v>
      </c>
    </row>
    <row r="75" spans="1:7" ht="15" customHeight="1">
      <c r="A75" s="639" t="s">
        <v>415</v>
      </c>
      <c r="B75" s="640"/>
      <c r="C75" s="27">
        <v>400</v>
      </c>
      <c r="D75" s="16">
        <v>573259.82684999995</v>
      </c>
      <c r="E75" s="16">
        <v>619616.72929000005</v>
      </c>
    </row>
    <row r="76" spans="1:7">
      <c r="A76" s="639" t="s">
        <v>336</v>
      </c>
      <c r="B76" s="640"/>
      <c r="C76" s="27" t="s">
        <v>305</v>
      </c>
      <c r="D76" s="29" t="s">
        <v>305</v>
      </c>
      <c r="E76" s="29" t="s">
        <v>305</v>
      </c>
    </row>
    <row r="77" spans="1:7">
      <c r="A77" s="630" t="s">
        <v>416</v>
      </c>
      <c r="B77" s="631"/>
      <c r="C77" s="28">
        <v>410</v>
      </c>
      <c r="D77" s="31">
        <v>5801575.0269999988</v>
      </c>
      <c r="E77" s="31">
        <v>5801674.0269999988</v>
      </c>
      <c r="F77" s="24" t="s">
        <v>788</v>
      </c>
      <c r="G77" s="33"/>
    </row>
    <row r="78" spans="1:7">
      <c r="A78" s="630" t="s">
        <v>245</v>
      </c>
      <c r="B78" s="631"/>
      <c r="C78" s="28">
        <v>411</v>
      </c>
      <c r="D78" s="31">
        <v>0</v>
      </c>
      <c r="E78" s="31">
        <v>0</v>
      </c>
    </row>
    <row r="79" spans="1:7">
      <c r="A79" s="630" t="s">
        <v>244</v>
      </c>
      <c r="B79" s="631"/>
      <c r="C79" s="28">
        <v>412</v>
      </c>
      <c r="D79" s="31">
        <v>0</v>
      </c>
      <c r="E79" s="31">
        <v>0</v>
      </c>
    </row>
    <row r="80" spans="1:7">
      <c r="A80" s="630" t="s">
        <v>246</v>
      </c>
      <c r="B80" s="631"/>
      <c r="C80" s="28">
        <v>413</v>
      </c>
      <c r="D80" s="31">
        <v>415.32096999999999</v>
      </c>
      <c r="E80" s="31">
        <v>9.6999999999525244E-4</v>
      </c>
    </row>
    <row r="81" spans="1:8">
      <c r="A81" s="630" t="s">
        <v>368</v>
      </c>
      <c r="B81" s="631"/>
      <c r="C81" s="28">
        <v>414</v>
      </c>
      <c r="D81" s="31">
        <v>-714270.85704000003</v>
      </c>
      <c r="E81" s="31">
        <v>-2643390.6709699999</v>
      </c>
      <c r="F81" s="33">
        <f>D81-E81-ФО.2!C49</f>
        <v>0</v>
      </c>
      <c r="G81" s="33"/>
      <c r="H81" s="33"/>
    </row>
    <row r="82" spans="1:8" ht="15" customHeight="1">
      <c r="A82" s="630" t="s">
        <v>417</v>
      </c>
      <c r="B82" s="631"/>
      <c r="C82" s="28">
        <v>420</v>
      </c>
      <c r="D82" s="16">
        <v>5087719.4909299985</v>
      </c>
      <c r="E82" s="16">
        <v>3158283.3569999994</v>
      </c>
    </row>
    <row r="83" spans="1:8">
      <c r="A83" s="630" t="s">
        <v>418</v>
      </c>
      <c r="B83" s="631"/>
      <c r="C83" s="28">
        <v>421</v>
      </c>
      <c r="D83" s="31">
        <v>0</v>
      </c>
      <c r="E83" s="31">
        <v>0</v>
      </c>
      <c r="F83" s="33"/>
    </row>
    <row r="84" spans="1:8">
      <c r="A84" s="639" t="s">
        <v>419</v>
      </c>
      <c r="B84" s="640"/>
      <c r="C84" s="27">
        <v>500</v>
      </c>
      <c r="D84" s="16">
        <v>5087719.4909299985</v>
      </c>
      <c r="E84" s="16">
        <v>3158283.3569999994</v>
      </c>
      <c r="F84" s="33"/>
    </row>
    <row r="85" spans="1:8" ht="15" customHeight="1">
      <c r="A85" s="639" t="s">
        <v>420</v>
      </c>
      <c r="B85" s="640"/>
      <c r="C85" s="27" t="s">
        <v>305</v>
      </c>
      <c r="D85" s="16">
        <v>10114453.488089997</v>
      </c>
      <c r="E85" s="16">
        <v>4630810.7272499995</v>
      </c>
    </row>
    <row r="86" spans="1:8" ht="24" customHeight="1">
      <c r="A86" s="626" t="s">
        <v>794</v>
      </c>
      <c r="B86" s="626"/>
      <c r="C86" s="626"/>
      <c r="D86" s="625">
        <f>((D54-D49-D52)-(D65+D75))*1000/5807874</f>
        <v>608.28176715438417</v>
      </c>
      <c r="E86" s="624" t="s">
        <v>795</v>
      </c>
    </row>
    <row r="87" spans="1:8">
      <c r="A87" s="72" t="s">
        <v>305</v>
      </c>
      <c r="B87" s="72" t="s">
        <v>305</v>
      </c>
      <c r="C87" s="25" t="s">
        <v>305</v>
      </c>
      <c r="D87" s="25" t="s">
        <v>305</v>
      </c>
      <c r="E87" s="25" t="s">
        <v>305</v>
      </c>
    </row>
    <row r="88" spans="1:8">
      <c r="A88" s="645" t="str">
        <f>CONCATENATE(Реквизиты!A12,Реквизиты!B12)</f>
        <v>Руководитель: Ембергенов Руслан Адилович</v>
      </c>
      <c r="B88" s="645"/>
      <c r="C88" s="35" t="s">
        <v>305</v>
      </c>
      <c r="D88" s="36" t="s">
        <v>305</v>
      </c>
      <c r="E88" s="35" t="s">
        <v>305</v>
      </c>
    </row>
    <row r="89" spans="1:8">
      <c r="A89" s="644" t="s">
        <v>421</v>
      </c>
      <c r="B89" s="644"/>
      <c r="C89" s="35" t="s">
        <v>305</v>
      </c>
      <c r="D89" s="37" t="s">
        <v>340</v>
      </c>
      <c r="E89" s="35" t="s">
        <v>305</v>
      </c>
    </row>
    <row r="90" spans="1:8">
      <c r="A90" s="38"/>
      <c r="B90" s="38"/>
      <c r="C90" s="35"/>
      <c r="D90" s="37"/>
      <c r="E90" s="35"/>
    </row>
    <row r="91" spans="1:8">
      <c r="A91" s="645" t="str">
        <f>CONCATENATE(Реквизиты!A13,Реквизиты!B13)</f>
        <v>Главный бухгалтер: Муканова Наталья Анатольевна</v>
      </c>
      <c r="B91" s="645"/>
      <c r="C91" s="35" t="s">
        <v>305</v>
      </c>
      <c r="D91" s="36" t="s">
        <v>305</v>
      </c>
      <c r="E91" s="35" t="s">
        <v>305</v>
      </c>
    </row>
    <row r="92" spans="1:8">
      <c r="A92" s="644" t="s">
        <v>422</v>
      </c>
      <c r="B92" s="644"/>
      <c r="C92" s="35" t="s">
        <v>305</v>
      </c>
      <c r="D92" s="37" t="s">
        <v>340</v>
      </c>
      <c r="E92" s="35" t="s">
        <v>305</v>
      </c>
    </row>
    <row r="93" spans="1:8">
      <c r="A93" s="646" t="s">
        <v>341</v>
      </c>
      <c r="B93" s="646"/>
      <c r="C93" s="646"/>
      <c r="D93" s="646"/>
      <c r="E93" s="646"/>
    </row>
  </sheetData>
  <sheetProtection formatCells="0" formatColumns="0" formatRows="0" insertColumns="0" insertRows="0" insertHyperlinks="0" deleteColumns="0" deleteRows="0" sort="0" autoFilter="0" pivotTables="0"/>
  <mergeCells count="77">
    <mergeCell ref="A89:B89"/>
    <mergeCell ref="A91:B91"/>
    <mergeCell ref="A92:B92"/>
    <mergeCell ref="A93:E93"/>
    <mergeCell ref="A51:B51"/>
    <mergeCell ref="A81:B81"/>
    <mergeCell ref="A82:B82"/>
    <mergeCell ref="A83:B83"/>
    <mergeCell ref="A84:B84"/>
    <mergeCell ref="A85:B85"/>
    <mergeCell ref="A88:B88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8:B68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6:B56"/>
    <mergeCell ref="A44:B44"/>
    <mergeCell ref="A45:B45"/>
    <mergeCell ref="A46:B46"/>
    <mergeCell ref="A47:B47"/>
    <mergeCell ref="A48:B48"/>
    <mergeCell ref="A49:B49"/>
    <mergeCell ref="A50:B50"/>
    <mergeCell ref="A52:B52"/>
    <mergeCell ref="A53:B53"/>
    <mergeCell ref="A54:B54"/>
    <mergeCell ref="A55:E55"/>
    <mergeCell ref="A24:B24"/>
    <mergeCell ref="A25:B25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86:C86"/>
    <mergeCell ref="B18:E18"/>
    <mergeCell ref="A7:E7"/>
    <mergeCell ref="A8:E8"/>
    <mergeCell ref="A9:E9"/>
    <mergeCell ref="A10:E10"/>
    <mergeCell ref="A31:B31"/>
    <mergeCell ref="A19:E19"/>
    <mergeCell ref="A20:E20"/>
    <mergeCell ref="A22:B22"/>
    <mergeCell ref="A23:E23"/>
    <mergeCell ref="A26:B26"/>
    <mergeCell ref="A27:B27"/>
    <mergeCell ref="A28:B28"/>
    <mergeCell ref="A29:B29"/>
    <mergeCell ref="A30:B30"/>
  </mergeCells>
  <hyperlinks>
    <hyperlink ref="A1" r:id="rId1"/>
    <hyperlink ref="A2" r:id="rId2" display="mailto:admin@balans.kz"/>
    <hyperlink ref="A3" r:id="rId3" display="Омаров Асаин Муратбаевич (Compas)"/>
  </hyperlinks>
  <pageMargins left="0.94488188976377963" right="3.937007874015748E-2" top="0.51181102362204722" bottom="0.70866141732283472" header="0.31496062992125984" footer="0.15748031496062992"/>
  <pageSetup paperSize="9" scale="95" fitToHeight="2" orientation="portrait" verticalDpi="0" r:id="rId4"/>
  <legacyDrawing r:id="rId5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81"/>
  <sheetViews>
    <sheetView workbookViewId="0">
      <selection activeCell="I60" sqref="I60"/>
    </sheetView>
  </sheetViews>
  <sheetFormatPr defaultRowHeight="15"/>
  <cols>
    <col min="1" max="1" width="38.28515625" style="467" bestFit="1" customWidth="1"/>
    <col min="2" max="2" width="8.7109375" style="467" bestFit="1" customWidth="1"/>
    <col min="3" max="4" width="14.85546875" style="467" bestFit="1" customWidth="1"/>
    <col min="5" max="5" width="14.28515625" style="467" customWidth="1"/>
    <col min="6" max="6" width="18.28515625" style="467" customWidth="1"/>
    <col min="7" max="7" width="9.140625" style="467"/>
    <col min="8" max="8" width="38.28515625" style="467" bestFit="1" customWidth="1"/>
    <col min="9" max="9" width="8.7109375" style="467" bestFit="1" customWidth="1"/>
    <col min="10" max="11" width="14.85546875" style="467" bestFit="1" customWidth="1"/>
    <col min="12" max="12" width="43.140625" style="467" bestFit="1" customWidth="1"/>
    <col min="13" max="16384" width="9.140625" style="467"/>
  </cols>
  <sheetData>
    <row r="1" spans="1:13" ht="15.75">
      <c r="A1" s="397" t="s">
        <v>750</v>
      </c>
      <c r="B1" s="269"/>
      <c r="C1" s="269"/>
      <c r="D1" s="269"/>
      <c r="H1" s="268" t="s">
        <v>677</v>
      </c>
      <c r="I1" s="269"/>
      <c r="J1" s="269"/>
      <c r="K1" s="269"/>
    </row>
    <row r="2" spans="1:13">
      <c r="A2" s="270"/>
      <c r="B2" s="269"/>
      <c r="C2" s="269"/>
      <c r="D2" s="269"/>
      <c r="H2" s="270" t="s">
        <v>734</v>
      </c>
      <c r="I2" s="269"/>
      <c r="J2" s="269"/>
      <c r="K2" s="269"/>
    </row>
    <row r="3" spans="1:13">
      <c r="A3" s="683" t="s">
        <v>678</v>
      </c>
      <c r="B3" s="683"/>
      <c r="C3" s="683"/>
      <c r="D3" s="269"/>
      <c r="H3" s="683" t="s">
        <v>678</v>
      </c>
      <c r="I3" s="683"/>
      <c r="J3" s="683"/>
      <c r="K3" s="269"/>
    </row>
    <row r="4" spans="1:13">
      <c r="A4" s="683" t="s">
        <v>359</v>
      </c>
      <c r="B4" s="683"/>
      <c r="C4" s="683"/>
      <c r="D4" s="269"/>
      <c r="H4" s="683" t="s">
        <v>359</v>
      </c>
      <c r="I4" s="683"/>
      <c r="J4" s="683"/>
      <c r="K4" s="269"/>
    </row>
    <row r="5" spans="1:13" ht="15.75" thickBot="1">
      <c r="A5" s="269"/>
      <c r="B5" s="269"/>
      <c r="C5" s="269"/>
      <c r="D5" s="269"/>
      <c r="H5" s="269"/>
      <c r="I5" s="269"/>
      <c r="J5" s="269"/>
      <c r="K5" s="269"/>
    </row>
    <row r="6" spans="1:13">
      <c r="A6" s="271" t="s">
        <v>695</v>
      </c>
      <c r="B6" s="272" t="s">
        <v>606</v>
      </c>
      <c r="C6" s="272" t="s">
        <v>650</v>
      </c>
      <c r="D6" s="273" t="s">
        <v>651</v>
      </c>
      <c r="H6" s="271" t="s">
        <v>695</v>
      </c>
      <c r="I6" s="272" t="s">
        <v>606</v>
      </c>
      <c r="J6" s="272" t="s">
        <v>650</v>
      </c>
      <c r="K6" s="273" t="s">
        <v>651</v>
      </c>
    </row>
    <row r="7" spans="1:13" ht="15.75" thickBot="1">
      <c r="A7" s="274"/>
      <c r="B7" s="275"/>
      <c r="C7" s="275"/>
      <c r="D7" s="276"/>
      <c r="H7" s="274"/>
      <c r="I7" s="275"/>
      <c r="J7" s="275"/>
      <c r="K7" s="276"/>
    </row>
    <row r="8" spans="1:13" ht="24">
      <c r="A8" s="316" t="s">
        <v>752</v>
      </c>
      <c r="B8" s="277" t="s">
        <v>607</v>
      </c>
      <c r="C8" s="495">
        <v>119694.63</v>
      </c>
      <c r="D8" s="405"/>
      <c r="H8" s="316" t="s">
        <v>752</v>
      </c>
      <c r="I8" s="277" t="s">
        <v>607</v>
      </c>
      <c r="J8" s="490">
        <f>85237.42+35165.68</f>
        <v>120403.1</v>
      </c>
      <c r="K8" s="405"/>
    </row>
    <row r="9" spans="1:13" ht="15" customHeight="1">
      <c r="A9" s="278" t="str">
        <f>A8</f>
        <v xml:space="preserve"> "АлАс"</v>
      </c>
      <c r="B9" s="488">
        <v>1000</v>
      </c>
      <c r="C9" s="443">
        <v>81416000</v>
      </c>
      <c r="D9" s="443">
        <v>81416000</v>
      </c>
      <c r="E9" s="75">
        <f>VLOOKUP(B9,Справочник!$A$2:$F$415,5,FALSE)</f>
        <v>0</v>
      </c>
      <c r="F9" s="75">
        <f>VLOOKUP(B9,Справочник!$A$2:$F$415,6,FALSE)</f>
        <v>0</v>
      </c>
      <c r="H9" s="278" t="str">
        <f>H8</f>
        <v xml:space="preserve"> "АлАс"</v>
      </c>
      <c r="I9" s="498">
        <v>1020</v>
      </c>
      <c r="J9" s="499">
        <v>61157000</v>
      </c>
      <c r="K9" s="500" t="s">
        <v>366</v>
      </c>
      <c r="L9" s="75">
        <f>VLOOKUP(I9,Справочник!$A$2:$F$415,5,FALSE)</f>
        <v>0</v>
      </c>
      <c r="M9" s="75">
        <f>VLOOKUP(I9,Справочник!$A$2:$F$415,6,FALSE)</f>
        <v>0</v>
      </c>
    </row>
    <row r="10" spans="1:13" ht="15" customHeight="1">
      <c r="A10" s="278" t="str">
        <f t="shared" ref="A10:A73" si="0">A9</f>
        <v xml:space="preserve"> "АлАс"</v>
      </c>
      <c r="B10" s="488">
        <v>1010</v>
      </c>
      <c r="C10" s="443">
        <v>40708000</v>
      </c>
      <c r="D10" s="444"/>
      <c r="E10" s="75">
        <f>VLOOKUP(B10,Справочник!$A$2:$F$415,5,FALSE)</f>
        <v>0</v>
      </c>
      <c r="F10" s="75">
        <f>VLOOKUP(B10,Справочник!$A$2:$F$415,6,FALSE)</f>
        <v>0</v>
      </c>
      <c r="H10" s="278" t="str">
        <f t="shared" ref="H10:H73" si="1">H9</f>
        <v xml:space="preserve"> "АлАс"</v>
      </c>
      <c r="I10" s="498">
        <v>3120</v>
      </c>
      <c r="J10" s="501" t="s">
        <v>366</v>
      </c>
      <c r="K10" s="502">
        <v>73439</v>
      </c>
      <c r="L10" s="75" t="str">
        <f>VLOOKUP(I10,Справочник!$A$2:$F$415,5,FALSE)</f>
        <v>прочие поступления</v>
      </c>
      <c r="M10" s="75" t="str">
        <f>VLOOKUP(I10,Справочник!$A$2:$F$415,6,FALSE)</f>
        <v>прочие выплаты</v>
      </c>
    </row>
    <row r="11" spans="1:13" ht="15" customHeight="1">
      <c r="A11" s="278" t="str">
        <f t="shared" si="0"/>
        <v xml:space="preserve"> "АлАс"</v>
      </c>
      <c r="B11" s="488">
        <v>1020</v>
      </c>
      <c r="C11" s="443">
        <v>40708000</v>
      </c>
      <c r="D11" s="443">
        <v>40708000</v>
      </c>
      <c r="E11" s="75">
        <f>VLOOKUP(B11,Справочник!$A$2:$F$415,5,FALSE)</f>
        <v>0</v>
      </c>
      <c r="F11" s="75">
        <f>VLOOKUP(B11,Справочник!$A$2:$F$415,6,FALSE)</f>
        <v>0</v>
      </c>
      <c r="H11" s="278" t="str">
        <f t="shared" si="1"/>
        <v xml:space="preserve"> "АлАс"</v>
      </c>
      <c r="I11" s="498">
        <v>3150</v>
      </c>
      <c r="J11" s="501" t="s">
        <v>366</v>
      </c>
      <c r="K11" s="502">
        <v>53930</v>
      </c>
      <c r="L11" s="75" t="str">
        <f>VLOOKUP(I11,Справочник!$A$2:$F$415,5,FALSE)</f>
        <v>прочие поступления</v>
      </c>
      <c r="M11" s="75" t="str">
        <f>VLOOKUP(I11,Справочник!$A$2:$F$415,6,FALSE)</f>
        <v>прочие выплаты</v>
      </c>
    </row>
    <row r="12" spans="1:13" ht="15" customHeight="1">
      <c r="A12" s="278" t="str">
        <f t="shared" si="0"/>
        <v xml:space="preserve"> "АлАс"</v>
      </c>
      <c r="B12" s="488">
        <v>1021</v>
      </c>
      <c r="C12" s="443">
        <v>40708000</v>
      </c>
      <c r="D12" s="443">
        <v>40708000</v>
      </c>
      <c r="E12" s="75">
        <f>VLOOKUP(B12,Справочник!$A$2:$F$415,5,FALSE)</f>
        <v>0</v>
      </c>
      <c r="F12" s="75">
        <f>VLOOKUP(B12,Справочник!$A$2:$F$415,6,FALSE)</f>
        <v>0</v>
      </c>
      <c r="H12" s="278" t="str">
        <f t="shared" si="1"/>
        <v xml:space="preserve"> "АлАс"</v>
      </c>
      <c r="I12" s="498">
        <v>3160</v>
      </c>
      <c r="J12" s="501" t="s">
        <v>366</v>
      </c>
      <c r="K12" s="502">
        <v>207225</v>
      </c>
      <c r="L12" s="75" t="str">
        <f>VLOOKUP(I12,Справочник!$A$2:$F$415,5,FALSE)</f>
        <v>прочие поступления</v>
      </c>
      <c r="M12" s="75" t="str">
        <f>VLOOKUP(I12,Справочник!$A$2:$F$415,6,FALSE)</f>
        <v>прочие выплаты</v>
      </c>
    </row>
    <row r="13" spans="1:13" ht="15" customHeight="1">
      <c r="A13" s="278" t="str">
        <f t="shared" si="0"/>
        <v xml:space="preserve"> "АлАс"</v>
      </c>
      <c r="B13" s="488">
        <v>1030</v>
      </c>
      <c r="C13" s="444"/>
      <c r="D13" s="443">
        <v>40708000</v>
      </c>
      <c r="E13" s="75">
        <f>VLOOKUP(B13,Справочник!$A$2:$F$415,5,FALSE)</f>
        <v>0</v>
      </c>
      <c r="F13" s="75">
        <f>VLOOKUP(B13,Справочник!$A$2:$F$415,6,FALSE)</f>
        <v>0</v>
      </c>
      <c r="H13" s="278" t="str">
        <f t="shared" si="1"/>
        <v xml:space="preserve"> "АлАс"</v>
      </c>
      <c r="I13" s="498">
        <v>3180</v>
      </c>
      <c r="J13" s="501" t="s">
        <v>366</v>
      </c>
      <c r="K13" s="502">
        <v>2920715</v>
      </c>
      <c r="L13" s="75" t="str">
        <f>VLOOKUP(I13,Справочник!$A$2:$F$415,5,FALSE)</f>
        <v>прочие поступления</v>
      </c>
      <c r="M13" s="75" t="str">
        <f>VLOOKUP(I13,Справочник!$A$2:$F$415,6,FALSE)</f>
        <v>прочие выплаты</v>
      </c>
    </row>
    <row r="14" spans="1:13" ht="15" customHeight="1">
      <c r="A14" s="278" t="str">
        <f t="shared" si="0"/>
        <v xml:space="preserve"> "АлАс"</v>
      </c>
      <c r="B14" s="488">
        <v>3100</v>
      </c>
      <c r="C14" s="444"/>
      <c r="D14" s="443">
        <v>1647182</v>
      </c>
      <c r="E14" s="75">
        <f>VLOOKUP(B14,Справочник!$A$2:$F$415,5,FALSE)</f>
        <v>0</v>
      </c>
      <c r="F14" s="75">
        <f>VLOOKUP(B14,Справочник!$A$2:$F$415,6,FALSE)</f>
        <v>0</v>
      </c>
      <c r="H14" s="278" t="str">
        <f t="shared" si="1"/>
        <v xml:space="preserve"> "АлАс"</v>
      </c>
      <c r="I14" s="498">
        <v>3210</v>
      </c>
      <c r="J14" s="501" t="s">
        <v>366</v>
      </c>
      <c r="K14" s="502">
        <v>44941</v>
      </c>
      <c r="L14" s="75" t="str">
        <f>VLOOKUP(I14,Справочник!$A$2:$F$415,5,FALSE)</f>
        <v>прочие поступления</v>
      </c>
      <c r="M14" s="75" t="str">
        <f>VLOOKUP(I14,Справочник!$A$2:$F$415,6,FALSE)</f>
        <v>прочие выплаты</v>
      </c>
    </row>
    <row r="15" spans="1:13" ht="15" customHeight="1">
      <c r="A15" s="278" t="str">
        <f t="shared" si="0"/>
        <v xml:space="preserve"> "АлАс"</v>
      </c>
      <c r="B15" s="488">
        <v>3120</v>
      </c>
      <c r="C15" s="444"/>
      <c r="D15" s="443">
        <v>42356</v>
      </c>
      <c r="E15" s="75" t="str">
        <f>VLOOKUP(B15,Справочник!$A$2:$F$415,5,FALSE)</f>
        <v>прочие поступления</v>
      </c>
      <c r="F15" s="75" t="str">
        <f>VLOOKUP(B15,Справочник!$A$2:$F$415,6,FALSE)</f>
        <v>прочие выплаты</v>
      </c>
      <c r="H15" s="278" t="str">
        <f t="shared" si="1"/>
        <v xml:space="preserve"> "АлАс"</v>
      </c>
      <c r="I15" s="498">
        <v>3220</v>
      </c>
      <c r="J15" s="499">
        <v>7500</v>
      </c>
      <c r="K15" s="502">
        <v>103900</v>
      </c>
      <c r="L15" s="75" t="str">
        <f>VLOOKUP(I15,Справочник!$A$2:$F$415,5,FALSE)</f>
        <v>прочие поступления</v>
      </c>
      <c r="M15" s="75" t="str">
        <f>VLOOKUP(I15,Справочник!$A$2:$F$415,6,FALSE)</f>
        <v>прочие выплаты</v>
      </c>
    </row>
    <row r="16" spans="1:13">
      <c r="A16" s="278" t="str">
        <f t="shared" si="0"/>
        <v xml:space="preserve"> "АлАс"</v>
      </c>
      <c r="B16" s="488">
        <v>3150</v>
      </c>
      <c r="C16" s="444"/>
      <c r="D16" s="443">
        <v>26460</v>
      </c>
      <c r="E16" s="75" t="str">
        <f>VLOOKUP(B16,Справочник!$A$2:$F$415,5,FALSE)</f>
        <v>прочие поступления</v>
      </c>
      <c r="F16" s="75" t="str">
        <f>VLOOKUP(B16,Справочник!$A$2:$F$415,6,FALSE)</f>
        <v>прочие выплаты</v>
      </c>
      <c r="H16" s="278" t="str">
        <f t="shared" si="1"/>
        <v xml:space="preserve"> "АлАс"</v>
      </c>
      <c r="I16" s="498">
        <v>3310</v>
      </c>
      <c r="J16" s="501" t="s">
        <v>366</v>
      </c>
      <c r="K16" s="502">
        <v>189660</v>
      </c>
      <c r="L16" s="75" t="str">
        <f>VLOOKUP(I16,Справочник!$A$2:$F$415,5,FALSE)</f>
        <v>прочие поступления</v>
      </c>
      <c r="M16" s="75" t="str">
        <f>VLOOKUP(I16,Справочник!$A$2:$F$415,6,FALSE)</f>
        <v>платежи поставщикам за товары и услуги</v>
      </c>
    </row>
    <row r="17" spans="1:13">
      <c r="A17" s="278" t="str">
        <f t="shared" si="0"/>
        <v xml:space="preserve"> "АлАс"</v>
      </c>
      <c r="B17" s="488">
        <v>3160</v>
      </c>
      <c r="C17" s="444"/>
      <c r="D17" s="443">
        <v>155418</v>
      </c>
      <c r="E17" s="75" t="str">
        <f>VLOOKUP(B17,Справочник!$A$2:$F$415,5,FALSE)</f>
        <v>прочие поступления</v>
      </c>
      <c r="F17" s="75" t="str">
        <f>VLOOKUP(B17,Справочник!$A$2:$F$415,6,FALSE)</f>
        <v>прочие выплаты</v>
      </c>
      <c r="H17" s="278" t="str">
        <f t="shared" si="1"/>
        <v xml:space="preserve"> "АлАс"</v>
      </c>
      <c r="I17" s="498">
        <v>3380</v>
      </c>
      <c r="J17" s="501" t="s">
        <v>366</v>
      </c>
      <c r="K17" s="502">
        <v>19921875</v>
      </c>
      <c r="L17" s="75" t="str">
        <f>VLOOKUP(I17,Справочник!$A$2:$F$415,5,FALSE)</f>
        <v>прочие поступления</v>
      </c>
      <c r="M17" s="75" t="str">
        <f>VLOOKUP(I17,Справочник!$A$2:$F$415,6,FALSE)</f>
        <v>выплата вознаграждения</v>
      </c>
    </row>
    <row r="18" spans="1:13" ht="15" customHeight="1">
      <c r="A18" s="278" t="str">
        <f t="shared" si="0"/>
        <v xml:space="preserve"> "АлАс"</v>
      </c>
      <c r="B18" s="488">
        <v>3180</v>
      </c>
      <c r="C18" s="444"/>
      <c r="D18" s="443">
        <v>1419580</v>
      </c>
      <c r="E18" s="75" t="str">
        <f>VLOOKUP(B18,Справочник!$A$2:$F$415,5,FALSE)</f>
        <v>прочие поступления</v>
      </c>
      <c r="F18" s="75" t="str">
        <f>VLOOKUP(B18,Справочник!$A$2:$F$415,6,FALSE)</f>
        <v>прочие выплаты</v>
      </c>
      <c r="H18" s="278" t="str">
        <f t="shared" si="1"/>
        <v xml:space="preserve"> "АлАс"</v>
      </c>
      <c r="I18" s="498">
        <v>4010</v>
      </c>
      <c r="J18" s="501" t="s">
        <v>366</v>
      </c>
      <c r="K18" s="502">
        <v>37500000</v>
      </c>
      <c r="L18" s="75" t="str">
        <f>VLOOKUP(I18,Справочник!$A$2:$F$415,5,FALSE)</f>
        <v>получение займов</v>
      </c>
      <c r="M18" s="75" t="str">
        <f>VLOOKUP(I18,Справочник!$A$2:$F$415,6,FALSE)</f>
        <v>погашение займов</v>
      </c>
    </row>
    <row r="19" spans="1:13">
      <c r="A19" s="278" t="str">
        <f t="shared" si="0"/>
        <v xml:space="preserve"> "АлАс"</v>
      </c>
      <c r="B19" s="488">
        <v>3190</v>
      </c>
      <c r="C19" s="444"/>
      <c r="D19" s="443">
        <v>3368</v>
      </c>
      <c r="E19" s="75" t="str">
        <f>VLOOKUP(B19,Справочник!$A$2:$F$415,5,FALSE)</f>
        <v>прочие поступления</v>
      </c>
      <c r="F19" s="75" t="str">
        <f>VLOOKUP(B19,Справочник!$A$2:$F$415,6,FALSE)</f>
        <v>прочие выплаты</v>
      </c>
      <c r="H19" s="278" t="str">
        <f t="shared" si="1"/>
        <v xml:space="preserve"> "АлАс"</v>
      </c>
      <c r="I19" s="498">
        <v>7210</v>
      </c>
      <c r="J19" s="501" t="s">
        <v>366</v>
      </c>
      <c r="K19" s="502">
        <v>174695.47</v>
      </c>
      <c r="L19" s="75" t="str">
        <f>VLOOKUP(I19,Справочник!$A$2:$F$415,5,FALSE)</f>
        <v>прочие поступления</v>
      </c>
      <c r="M19" s="75" t="str">
        <f>VLOOKUP(I19,Справочник!$A$2:$F$415,6,FALSE)</f>
        <v>прочие выплаты</v>
      </c>
    </row>
    <row r="20" spans="1:13">
      <c r="A20" s="278" t="str">
        <f t="shared" si="0"/>
        <v xml:space="preserve"> "АлАс"</v>
      </c>
      <c r="B20" s="488">
        <v>3200</v>
      </c>
      <c r="C20" s="456">
        <v>900</v>
      </c>
      <c r="D20" s="443">
        <v>71950</v>
      </c>
      <c r="E20" s="75">
        <f>VLOOKUP(B20,Справочник!$A$2:$F$415,5,FALSE)</f>
        <v>0</v>
      </c>
      <c r="F20" s="75">
        <f>VLOOKUP(B20,Справочник!$A$2:$F$415,6,FALSE)</f>
        <v>0</v>
      </c>
      <c r="H20" s="278" t="str">
        <f t="shared" si="1"/>
        <v xml:space="preserve"> "АлАс"</v>
      </c>
      <c r="I20" s="498">
        <v>1020</v>
      </c>
      <c r="J20" s="501" t="s">
        <v>366</v>
      </c>
      <c r="K20" s="502">
        <v>61157000</v>
      </c>
      <c r="L20" s="75">
        <f>VLOOKUP(I20,Справочник!$A$2:$F$415,5,FALSE)</f>
        <v>0</v>
      </c>
      <c r="M20" s="75">
        <f>VLOOKUP(I20,Справочник!$A$2:$F$415,6,FALSE)</f>
        <v>0</v>
      </c>
    </row>
    <row r="21" spans="1:13">
      <c r="A21" s="278" t="str">
        <f t="shared" si="0"/>
        <v xml:space="preserve"> "АлАс"</v>
      </c>
      <c r="B21" s="488">
        <v>3210</v>
      </c>
      <c r="C21" s="456">
        <v>900</v>
      </c>
      <c r="D21" s="443">
        <v>22950</v>
      </c>
      <c r="E21" s="75" t="str">
        <f>VLOOKUP(B21,Справочник!$A$2:$F$415,5,FALSE)</f>
        <v>прочие поступления</v>
      </c>
      <c r="F21" s="75" t="str">
        <f>VLOOKUP(B21,Справочник!$A$2:$F$415,6,FALSE)</f>
        <v>прочие выплаты</v>
      </c>
      <c r="H21" s="278" t="str">
        <f t="shared" si="1"/>
        <v xml:space="preserve"> "АлАс"</v>
      </c>
      <c r="I21" s="498">
        <v>3350</v>
      </c>
      <c r="J21" s="501" t="s">
        <v>366</v>
      </c>
      <c r="K21" s="502">
        <v>817828</v>
      </c>
      <c r="L21" s="75" t="str">
        <f>VLOOKUP(I21,Справочник!$A$2:$F$415,5,FALSE)</f>
        <v>прочие поступления</v>
      </c>
      <c r="M21" s="75" t="str">
        <f>VLOOKUP(I21,Справочник!$A$2:$F$415,6,FALSE)</f>
        <v>выплаты по оплате труда</v>
      </c>
    </row>
    <row r="22" spans="1:13">
      <c r="A22" s="278" t="str">
        <f t="shared" si="0"/>
        <v xml:space="preserve"> "АлАс"</v>
      </c>
      <c r="B22" s="488">
        <v>3220</v>
      </c>
      <c r="C22" s="444"/>
      <c r="D22" s="443">
        <v>49000</v>
      </c>
      <c r="E22" s="75" t="str">
        <f>VLOOKUP(B22,Справочник!$A$2:$F$415,5,FALSE)</f>
        <v>прочие поступления</v>
      </c>
      <c r="F22" s="75" t="str">
        <f>VLOOKUP(B22,Справочник!$A$2:$F$415,6,FALSE)</f>
        <v>прочие выплаты</v>
      </c>
      <c r="H22" s="278" t="str">
        <f t="shared" si="1"/>
        <v xml:space="preserve"> "АлАс"</v>
      </c>
      <c r="I22" s="498">
        <v>3391</v>
      </c>
      <c r="J22" s="499">
        <v>62000000</v>
      </c>
      <c r="K22" s="500" t="s">
        <v>366</v>
      </c>
      <c r="L22" s="75" t="str">
        <f>VLOOKUP(I22,Справочник!$A$2:$F$415,5,FALSE)</f>
        <v>прочие поступления</v>
      </c>
      <c r="M22" s="75" t="str">
        <f>VLOOKUP(I22,Справочник!$A$2:$F$415,6,FALSE)</f>
        <v>прочие выплаты</v>
      </c>
    </row>
    <row r="23" spans="1:13" ht="15" customHeight="1">
      <c r="A23" s="278" t="str">
        <f t="shared" si="0"/>
        <v xml:space="preserve"> "АлАс"</v>
      </c>
      <c r="B23" s="488">
        <v>3300</v>
      </c>
      <c r="C23" s="443">
        <v>41415000</v>
      </c>
      <c r="D23" s="443">
        <v>11117438.68</v>
      </c>
      <c r="E23" s="75">
        <f>VLOOKUP(B23,Справочник!$A$2:$F$415,5,FALSE)</f>
        <v>0</v>
      </c>
      <c r="F23" s="75">
        <f>VLOOKUP(B23,Справочник!$A$2:$F$415,6,FALSE)</f>
        <v>0</v>
      </c>
      <c r="H23" s="278" t="str">
        <f t="shared" si="1"/>
        <v xml:space="preserve"> "АлАс"</v>
      </c>
      <c r="I23" s="494" t="s">
        <v>608</v>
      </c>
      <c r="J23" s="443">
        <f>SUM(J9:J22)</f>
        <v>123164500</v>
      </c>
      <c r="K23" s="443">
        <f>SUM(K9:K22)</f>
        <v>123165208.47</v>
      </c>
      <c r="L23" s="75" t="e">
        <f>VLOOKUP(I23,Справочник!$A$2:$F$415,5,FALSE)</f>
        <v>#N/A</v>
      </c>
      <c r="M23" s="75" t="e">
        <f>VLOOKUP(I23,Справочник!$A$2:$F$415,6,FALSE)</f>
        <v>#N/A</v>
      </c>
    </row>
    <row r="24" spans="1:13" ht="24.75" thickBot="1">
      <c r="A24" s="278" t="str">
        <f t="shared" si="0"/>
        <v xml:space="preserve"> "АлАс"</v>
      </c>
      <c r="B24" s="488">
        <v>3310</v>
      </c>
      <c r="C24" s="444"/>
      <c r="D24" s="443">
        <v>3226.18</v>
      </c>
      <c r="E24" s="75" t="str">
        <f>VLOOKUP(B24,Справочник!$A$2:$F$415,5,FALSE)</f>
        <v>прочие поступления</v>
      </c>
      <c r="F24" s="75" t="str">
        <f>VLOOKUP(B24,Справочник!$A$2:$F$415,6,FALSE)</f>
        <v>платежи поставщикам за товары и услуги</v>
      </c>
      <c r="H24" s="278" t="str">
        <f t="shared" si="1"/>
        <v xml:space="preserve"> "АлАс"</v>
      </c>
      <c r="I24" s="459" t="s">
        <v>698</v>
      </c>
      <c r="J24" s="503">
        <f>110409.42+9285.21</f>
        <v>119694.63</v>
      </c>
      <c r="K24" s="443"/>
      <c r="L24" s="75" t="e">
        <f>VLOOKUP(I24,Справочник!$A$2:$F$415,5,FALSE)</f>
        <v>#N/A</v>
      </c>
      <c r="M24" s="75" t="e">
        <f>VLOOKUP(I24,Справочник!$A$2:$F$415,6,FALSE)</f>
        <v>#N/A</v>
      </c>
    </row>
    <row r="25" spans="1:13" ht="15" customHeight="1">
      <c r="A25" s="278" t="str">
        <f t="shared" si="0"/>
        <v xml:space="preserve"> "АлАс"</v>
      </c>
      <c r="B25" s="488">
        <v>3350</v>
      </c>
      <c r="C25" s="444"/>
      <c r="D25" s="443">
        <v>356400</v>
      </c>
      <c r="E25" s="75" t="str">
        <f>VLOOKUP(B25,Справочник!$A$2:$F$415,5,FALSE)</f>
        <v>прочие поступления</v>
      </c>
      <c r="F25" s="75" t="str">
        <f>VLOOKUP(B25,Справочник!$A$2:$F$415,6,FALSE)</f>
        <v>выплаты по оплате труда</v>
      </c>
      <c r="H25" s="278" t="str">
        <f t="shared" si="1"/>
        <v xml:space="preserve"> "АлАс"</v>
      </c>
      <c r="I25" s="488"/>
      <c r="J25" s="444"/>
      <c r="K25" s="443"/>
      <c r="L25" s="75">
        <f>VLOOKUP(I25,Справочник!$A$2:$F$415,5,FALSE)</f>
        <v>0</v>
      </c>
      <c r="M25" s="75">
        <f>VLOOKUP(I25,Справочник!$A$2:$F$415,6,FALSE)</f>
        <v>0</v>
      </c>
    </row>
    <row r="26" spans="1:13">
      <c r="A26" s="278" t="str">
        <f t="shared" si="0"/>
        <v xml:space="preserve"> "АлАс"</v>
      </c>
      <c r="B26" s="488">
        <v>3380</v>
      </c>
      <c r="C26" s="444"/>
      <c r="D26" s="443">
        <v>10757812.5</v>
      </c>
      <c r="E26" s="75" t="str">
        <f>VLOOKUP(B26,Справочник!$A$2:$F$415,5,FALSE)</f>
        <v>прочие поступления</v>
      </c>
      <c r="F26" s="75" t="str">
        <f>VLOOKUP(B26,Справочник!$A$2:$F$415,6,FALSE)</f>
        <v>выплата вознаграждения</v>
      </c>
      <c r="H26" s="278" t="str">
        <f t="shared" si="1"/>
        <v xml:space="preserve"> "АлАс"</v>
      </c>
      <c r="I26" s="488"/>
      <c r="J26" s="443"/>
      <c r="K26" s="443"/>
      <c r="L26" s="75">
        <f>VLOOKUP(I26,Справочник!$A$2:$F$415,5,FALSE)</f>
        <v>0</v>
      </c>
      <c r="M26" s="75">
        <f>VLOOKUP(I26,Справочник!$A$2:$F$415,6,FALSE)</f>
        <v>0</v>
      </c>
    </row>
    <row r="27" spans="1:13" ht="15" customHeight="1">
      <c r="A27" s="278" t="str">
        <f t="shared" si="0"/>
        <v xml:space="preserve"> "АлАс"</v>
      </c>
      <c r="B27" s="488">
        <v>3390</v>
      </c>
      <c r="C27" s="443">
        <v>41415000</v>
      </c>
      <c r="D27" s="444"/>
      <c r="E27" s="75">
        <f>VLOOKUP(B27,Справочник!$A$2:$F$415,5,FALSE)</f>
        <v>0</v>
      </c>
      <c r="F27" s="75">
        <f>VLOOKUP(B27,Справочник!$A$2:$F$415,6,FALSE)</f>
        <v>0</v>
      </c>
      <c r="H27" s="278" t="str">
        <f t="shared" si="1"/>
        <v xml:space="preserve"> "АлАс"</v>
      </c>
      <c r="I27" s="488"/>
      <c r="K27" s="443"/>
      <c r="L27" s="75">
        <f>VLOOKUP(I27,Справочник!$A$2:$F$415,5,FALSE)</f>
        <v>0</v>
      </c>
      <c r="M27" s="75">
        <f>VLOOKUP(I27,Справочник!$A$2:$F$415,6,FALSE)</f>
        <v>0</v>
      </c>
    </row>
    <row r="28" spans="1:13">
      <c r="A28" s="278" t="str">
        <f t="shared" si="0"/>
        <v xml:space="preserve"> "АлАс"</v>
      </c>
      <c r="B28" s="488">
        <v>3396</v>
      </c>
      <c r="C28" s="443">
        <v>41415000</v>
      </c>
      <c r="D28" s="444"/>
      <c r="E28" s="75" t="str">
        <f>VLOOKUP(B28,Справочник!$A$2:$F$415,5,FALSE)</f>
        <v>прочие поступления</v>
      </c>
      <c r="F28" s="75" t="str">
        <f>VLOOKUP(B28,Справочник!$A$2:$F$415,6,FALSE)</f>
        <v>прочие выплаты</v>
      </c>
      <c r="H28" s="278" t="str">
        <f t="shared" si="1"/>
        <v xml:space="preserve"> "АлАс"</v>
      </c>
      <c r="I28" s="488"/>
      <c r="J28" s="444"/>
      <c r="K28" s="443"/>
      <c r="L28" s="75">
        <f>VLOOKUP(I28,Справочник!$A$2:$F$415,5,FALSE)</f>
        <v>0</v>
      </c>
      <c r="M28" s="75">
        <f>VLOOKUP(I28,Справочник!$A$2:$F$415,6,FALSE)</f>
        <v>0</v>
      </c>
    </row>
    <row r="29" spans="1:13">
      <c r="A29" s="278" t="str">
        <f t="shared" si="0"/>
        <v xml:space="preserve"> "АлАс"</v>
      </c>
      <c r="B29" s="488">
        <v>4000</v>
      </c>
      <c r="C29" s="444"/>
      <c r="D29" s="443">
        <v>28125000</v>
      </c>
      <c r="E29" s="75">
        <f>VLOOKUP(B29,Справочник!$A$2:$F$415,5,FALSE)</f>
        <v>0</v>
      </c>
      <c r="F29" s="75">
        <f>VLOOKUP(B29,Справочник!$A$2:$F$415,6,FALSE)</f>
        <v>0</v>
      </c>
      <c r="H29" s="278" t="str">
        <f t="shared" si="1"/>
        <v xml:space="preserve"> "АлАс"</v>
      </c>
      <c r="I29" s="488"/>
      <c r="J29" s="444"/>
      <c r="K29" s="443"/>
      <c r="L29" s="75">
        <f>VLOOKUP(I29,Справочник!$A$2:$F$415,5,FALSE)</f>
        <v>0</v>
      </c>
      <c r="M29" s="75">
        <f>VLOOKUP(I29,Справочник!$A$2:$F$415,6,FALSE)</f>
        <v>0</v>
      </c>
    </row>
    <row r="30" spans="1:13">
      <c r="A30" s="278" t="str">
        <f t="shared" si="0"/>
        <v xml:space="preserve"> "АлАс"</v>
      </c>
      <c r="B30" s="488">
        <v>4010</v>
      </c>
      <c r="C30" s="444"/>
      <c r="D30" s="443">
        <v>28125000</v>
      </c>
      <c r="E30" s="75" t="str">
        <f>VLOOKUP(B30,Справочник!$A$2:$F$415,5,FALSE)</f>
        <v>получение займов</v>
      </c>
      <c r="F30" s="75" t="str">
        <f>VLOOKUP(B30,Справочник!$A$2:$F$415,6,FALSE)</f>
        <v>погашение займов</v>
      </c>
      <c r="H30" s="278" t="str">
        <f t="shared" si="1"/>
        <v xml:space="preserve"> "АлАс"</v>
      </c>
      <c r="I30" s="488"/>
      <c r="J30" s="443"/>
      <c r="K30" s="443"/>
      <c r="L30" s="75">
        <f>VLOOKUP(I30,Справочник!$A$2:$F$415,5,FALSE)</f>
        <v>0</v>
      </c>
      <c r="M30" s="75">
        <f>VLOOKUP(I30,Справочник!$A$2:$F$415,6,FALSE)</f>
        <v>0</v>
      </c>
    </row>
    <row r="31" spans="1:13">
      <c r="A31" s="278" t="str">
        <f t="shared" si="0"/>
        <v xml:space="preserve"> "АлАс"</v>
      </c>
      <c r="B31" s="488">
        <v>7200</v>
      </c>
      <c r="C31" s="444"/>
      <c r="D31" s="443">
        <v>113014.53</v>
      </c>
      <c r="E31" s="75">
        <f>VLOOKUP(B31,Справочник!$A$2:$F$415,5,FALSE)</f>
        <v>0</v>
      </c>
      <c r="F31" s="75">
        <f>VLOOKUP(B31,Справочник!$A$2:$F$415,6,FALSE)</f>
        <v>0</v>
      </c>
      <c r="H31" s="278" t="str">
        <f t="shared" si="1"/>
        <v xml:space="preserve"> "АлАс"</v>
      </c>
      <c r="I31" s="488"/>
      <c r="J31" s="444"/>
      <c r="K31" s="443"/>
      <c r="L31" s="75">
        <f>VLOOKUP(I31,Справочник!$A$2:$F$415,5,FALSE)</f>
        <v>0</v>
      </c>
      <c r="M31" s="75">
        <f>VLOOKUP(I31,Справочник!$A$2:$F$415,6,FALSE)</f>
        <v>0</v>
      </c>
    </row>
    <row r="32" spans="1:13">
      <c r="A32" s="278" t="str">
        <f t="shared" si="0"/>
        <v xml:space="preserve"> "АлАс"</v>
      </c>
      <c r="B32" s="488">
        <v>7210</v>
      </c>
      <c r="C32" s="444"/>
      <c r="D32" s="443">
        <v>113014.53</v>
      </c>
      <c r="E32" s="75" t="str">
        <f>VLOOKUP(B32,Справочник!$A$2:$F$415,5,FALSE)</f>
        <v>прочие поступления</v>
      </c>
      <c r="F32" s="75" t="str">
        <f>VLOOKUP(B32,Справочник!$A$2:$F$415,6,FALSE)</f>
        <v>прочие выплаты</v>
      </c>
      <c r="H32" s="278" t="str">
        <f t="shared" si="1"/>
        <v xml:space="preserve"> "АлАс"</v>
      </c>
      <c r="I32" s="488"/>
      <c r="J32" s="443"/>
      <c r="K32" s="443"/>
      <c r="L32" s="75">
        <f>VLOOKUP(I32,Справочник!$A$2:$F$415,5,FALSE)</f>
        <v>0</v>
      </c>
      <c r="M32" s="75">
        <f>VLOOKUP(I32,Справочник!$A$2:$F$415,6,FALSE)</f>
        <v>0</v>
      </c>
    </row>
    <row r="33" spans="1:13">
      <c r="A33" s="278" t="str">
        <f t="shared" si="0"/>
        <v xml:space="preserve"> "АлАс"</v>
      </c>
      <c r="B33" s="494" t="s">
        <v>608</v>
      </c>
      <c r="C33" s="495">
        <v>122831900</v>
      </c>
      <c r="D33" s="495">
        <v>122490585.20999999</v>
      </c>
      <c r="E33" s="75" t="e">
        <f>VLOOKUP(B33,Справочник!$A$2:$F$415,5,FALSE)</f>
        <v>#N/A</v>
      </c>
      <c r="F33" s="75" t="e">
        <f>VLOOKUP(B33,Справочник!$A$2:$F$415,6,FALSE)</f>
        <v>#N/A</v>
      </c>
      <c r="H33" s="278" t="str">
        <f t="shared" si="1"/>
        <v xml:space="preserve"> "АлАс"</v>
      </c>
      <c r="I33" s="488"/>
      <c r="J33" s="444"/>
      <c r="K33" s="443"/>
      <c r="L33" s="75">
        <f>VLOOKUP(I33,Справочник!$A$2:$F$415,5,FALSE)</f>
        <v>0</v>
      </c>
      <c r="M33" s="75">
        <f>VLOOKUP(I33,Справочник!$A$2:$F$415,6,FALSE)</f>
        <v>0</v>
      </c>
    </row>
    <row r="34" spans="1:13" ht="24">
      <c r="A34" s="278" t="str">
        <f t="shared" si="0"/>
        <v xml:space="preserve"> "АлАс"</v>
      </c>
      <c r="B34" s="459" t="s">
        <v>698</v>
      </c>
      <c r="C34" s="495">
        <v>461009.42</v>
      </c>
      <c r="D34" s="443"/>
      <c r="E34" s="75" t="e">
        <f>VLOOKUP(B34,Справочник!$A$2:$F$415,5,FALSE)</f>
        <v>#N/A</v>
      </c>
      <c r="F34" s="75" t="e">
        <f>VLOOKUP(B34,Справочник!$A$2:$F$415,6,FALSE)</f>
        <v>#N/A</v>
      </c>
      <c r="H34" s="278" t="str">
        <f t="shared" si="1"/>
        <v xml:space="preserve"> "АлАс"</v>
      </c>
      <c r="I34" s="488"/>
      <c r="J34" s="444"/>
      <c r="K34" s="443"/>
      <c r="L34" s="75">
        <f>VLOOKUP(I34,Справочник!$A$2:$F$415,5,FALSE)</f>
        <v>0</v>
      </c>
      <c r="M34" s="75">
        <f>VLOOKUP(I34,Справочник!$A$2:$F$415,6,FALSE)</f>
        <v>0</v>
      </c>
    </row>
    <row r="35" spans="1:13">
      <c r="A35" s="278" t="str">
        <f t="shared" si="0"/>
        <v xml:space="preserve"> "АлАс"</v>
      </c>
      <c r="B35" s="488"/>
      <c r="C35" s="443"/>
      <c r="D35" s="443"/>
      <c r="E35" s="75">
        <f>VLOOKUP(B35,Справочник!$A$2:$F$415,5,FALSE)</f>
        <v>0</v>
      </c>
      <c r="F35" s="75">
        <f>VLOOKUP(B35,Справочник!$A$2:$F$415,6,FALSE)</f>
        <v>0</v>
      </c>
      <c r="H35" s="278" t="str">
        <f t="shared" si="1"/>
        <v xml:space="preserve"> "АлАс"</v>
      </c>
      <c r="I35" s="488"/>
      <c r="J35" s="444"/>
      <c r="K35" s="443"/>
      <c r="L35" s="75">
        <f>VLOOKUP(I35,Справочник!$A$2:$F$415,5,FALSE)</f>
        <v>0</v>
      </c>
      <c r="M35" s="75">
        <f>VLOOKUP(I35,Справочник!$A$2:$F$415,6,FALSE)</f>
        <v>0</v>
      </c>
    </row>
    <row r="36" spans="1:13">
      <c r="A36" s="278" t="str">
        <f t="shared" si="0"/>
        <v xml:space="preserve"> "АлАс"</v>
      </c>
      <c r="B36" s="488"/>
      <c r="C36" s="443"/>
      <c r="D36" s="443"/>
      <c r="E36" s="75">
        <f>VLOOKUP(B36,Справочник!$A$2:$F$415,5,FALSE)</f>
        <v>0</v>
      </c>
      <c r="F36" s="75">
        <f>VLOOKUP(B36,Справочник!$A$2:$F$415,6,FALSE)</f>
        <v>0</v>
      </c>
      <c r="H36" s="278" t="str">
        <f t="shared" si="1"/>
        <v xml:space="preserve"> "АлАс"</v>
      </c>
      <c r="I36" s="488"/>
      <c r="J36" s="443"/>
      <c r="K36" s="443"/>
      <c r="L36" s="75">
        <f>VLOOKUP(I36,Справочник!$A$2:$F$415,5,FALSE)</f>
        <v>0</v>
      </c>
      <c r="M36" s="75">
        <f>VLOOKUP(I36,Справочник!$A$2:$F$415,6,FALSE)</f>
        <v>0</v>
      </c>
    </row>
    <row r="37" spans="1:13">
      <c r="A37" s="278" t="str">
        <f t="shared" si="0"/>
        <v xml:space="preserve"> "АлАс"</v>
      </c>
      <c r="B37" s="488"/>
      <c r="C37" s="443"/>
      <c r="D37" s="444"/>
      <c r="E37" s="75">
        <f>VLOOKUP(B37,Справочник!$A$2:$F$415,5,FALSE)</f>
        <v>0</v>
      </c>
      <c r="F37" s="75">
        <f>VLOOKUP(B37,Справочник!$A$2:$F$415,6,FALSE)</f>
        <v>0</v>
      </c>
      <c r="H37" s="278" t="str">
        <f t="shared" si="1"/>
        <v xml:space="preserve"> "АлАс"</v>
      </c>
      <c r="I37" s="488"/>
      <c r="J37" s="443"/>
      <c r="K37" s="443"/>
      <c r="L37" s="75">
        <f>VLOOKUP(I37,Справочник!$A$2:$F$415,5,FALSE)</f>
        <v>0</v>
      </c>
      <c r="M37" s="75">
        <f>VLOOKUP(I37,Справочник!$A$2:$F$415,6,FALSE)</f>
        <v>0</v>
      </c>
    </row>
    <row r="38" spans="1:13">
      <c r="A38" s="278" t="str">
        <f t="shared" si="0"/>
        <v xml:space="preserve"> "АлАс"</v>
      </c>
      <c r="B38" s="488"/>
      <c r="C38" s="443"/>
      <c r="D38" s="444"/>
      <c r="E38" s="75">
        <f>VLOOKUP(B38,Справочник!$A$2:$F$415,5,FALSE)</f>
        <v>0</v>
      </c>
      <c r="F38" s="75">
        <f>VLOOKUP(B38,Справочник!$A$2:$F$415,6,FALSE)</f>
        <v>0</v>
      </c>
      <c r="H38" s="278" t="str">
        <f t="shared" si="1"/>
        <v xml:space="preserve"> "АлАс"</v>
      </c>
      <c r="I38" s="488"/>
      <c r="J38" s="443"/>
      <c r="K38" s="443"/>
      <c r="L38" s="75">
        <f>VLOOKUP(I38,Справочник!$A$2:$F$415,5,FALSE)</f>
        <v>0</v>
      </c>
      <c r="M38" s="75">
        <f>VLOOKUP(I38,Справочник!$A$2:$F$415,6,FALSE)</f>
        <v>0</v>
      </c>
    </row>
    <row r="39" spans="1:13">
      <c r="A39" s="278" t="str">
        <f t="shared" si="0"/>
        <v xml:space="preserve"> "АлАс"</v>
      </c>
      <c r="B39" s="488"/>
      <c r="C39" s="456"/>
      <c r="D39" s="444"/>
      <c r="E39" s="75">
        <f>VLOOKUP(B39,Справочник!$A$2:$F$415,5,FALSE)</f>
        <v>0</v>
      </c>
      <c r="F39" s="75">
        <f>VLOOKUP(B39,Справочник!$A$2:$F$415,6,FALSE)</f>
        <v>0</v>
      </c>
      <c r="H39" s="278" t="str">
        <f t="shared" si="1"/>
        <v xml:space="preserve"> "АлАс"</v>
      </c>
      <c r="I39" s="488"/>
      <c r="J39" s="443"/>
      <c r="K39" s="443"/>
      <c r="L39" s="75">
        <f>VLOOKUP(I39,Справочник!$A$2:$F$415,5,FALSE)</f>
        <v>0</v>
      </c>
      <c r="M39" s="75">
        <f>VLOOKUP(I39,Справочник!$A$2:$F$415,6,FALSE)</f>
        <v>0</v>
      </c>
    </row>
    <row r="40" spans="1:13">
      <c r="A40" s="278" t="str">
        <f t="shared" si="0"/>
        <v xml:space="preserve"> "АлАс"</v>
      </c>
      <c r="B40" s="488"/>
      <c r="C40" s="444"/>
      <c r="D40" s="443"/>
      <c r="E40" s="75">
        <f>VLOOKUP(B40,Справочник!$A$2:$F$415,5,FALSE)</f>
        <v>0</v>
      </c>
      <c r="F40" s="75">
        <f>VLOOKUP(B40,Справочник!$A$2:$F$415,6,FALSE)</f>
        <v>0</v>
      </c>
      <c r="H40" s="278" t="str">
        <f t="shared" si="1"/>
        <v xml:space="preserve"> "АлАс"</v>
      </c>
      <c r="I40" s="488"/>
      <c r="J40" s="443"/>
      <c r="K40" s="443"/>
      <c r="L40" s="75">
        <f>VLOOKUP(I40,Справочник!$A$2:$F$415,5,FALSE)</f>
        <v>0</v>
      </c>
      <c r="M40" s="75">
        <f>VLOOKUP(I40,Справочник!$A$2:$F$415,6,FALSE)</f>
        <v>0</v>
      </c>
    </row>
    <row r="41" spans="1:13">
      <c r="A41" s="278" t="str">
        <f t="shared" si="0"/>
        <v xml:space="preserve"> "АлАс"</v>
      </c>
      <c r="B41" s="488"/>
      <c r="C41" s="444"/>
      <c r="D41" s="443"/>
      <c r="E41" s="75">
        <f>VLOOKUP(B41,Справочник!$A$2:$F$415,5,FALSE)</f>
        <v>0</v>
      </c>
      <c r="F41" s="75">
        <f>VLOOKUP(B41,Справочник!$A$2:$F$415,6,FALSE)</f>
        <v>0</v>
      </c>
      <c r="H41" s="278" t="str">
        <f t="shared" si="1"/>
        <v xml:space="preserve"> "АлАс"</v>
      </c>
      <c r="I41" s="488"/>
      <c r="J41" s="444"/>
      <c r="K41" s="443"/>
      <c r="L41" s="75">
        <f>VLOOKUP(I41,Справочник!$A$2:$F$415,5,FALSE)</f>
        <v>0</v>
      </c>
      <c r="M41" s="75">
        <f>VLOOKUP(I41,Справочник!$A$2:$F$415,6,FALSE)</f>
        <v>0</v>
      </c>
    </row>
    <row r="42" spans="1:13">
      <c r="A42" s="278" t="str">
        <f t="shared" si="0"/>
        <v xml:space="preserve"> "АлАс"</v>
      </c>
      <c r="B42" s="488"/>
      <c r="C42" s="444"/>
      <c r="D42" s="443"/>
      <c r="E42" s="75">
        <f>VLOOKUP(B42,Справочник!$A$2:$F$415,5,FALSE)</f>
        <v>0</v>
      </c>
      <c r="F42" s="75">
        <f>VLOOKUP(B42,Справочник!$A$2:$F$415,6,FALSE)</f>
        <v>0</v>
      </c>
      <c r="H42" s="278" t="str">
        <f t="shared" si="1"/>
        <v xml:space="preserve"> "АлАс"</v>
      </c>
      <c r="I42" s="488"/>
      <c r="J42" s="443"/>
      <c r="K42" s="443"/>
      <c r="L42" s="75">
        <f>VLOOKUP(I42,Справочник!$A$2:$F$415,5,FALSE)</f>
        <v>0</v>
      </c>
      <c r="M42" s="75">
        <f>VLOOKUP(I42,Справочник!$A$2:$F$415,6,FALSE)</f>
        <v>0</v>
      </c>
    </row>
    <row r="43" spans="1:13">
      <c r="A43" s="278" t="str">
        <f t="shared" si="0"/>
        <v xml:space="preserve"> "АлАс"</v>
      </c>
      <c r="B43" s="488"/>
      <c r="C43" s="444"/>
      <c r="D43" s="443"/>
      <c r="E43" s="75">
        <f>VLOOKUP(B43,Справочник!$A$2:$F$415,5,FALSE)</f>
        <v>0</v>
      </c>
      <c r="F43" s="75">
        <f>VLOOKUP(B43,Справочник!$A$2:$F$415,6,FALSE)</f>
        <v>0</v>
      </c>
      <c r="H43" s="278" t="str">
        <f t="shared" si="1"/>
        <v xml:space="preserve"> "АлАс"</v>
      </c>
      <c r="I43" s="488"/>
      <c r="J43" s="443"/>
      <c r="K43" s="443"/>
      <c r="L43" s="75">
        <f>VLOOKUP(I43,Справочник!$A$2:$F$415,5,FALSE)</f>
        <v>0</v>
      </c>
      <c r="M43" s="75">
        <f>VLOOKUP(I43,Справочник!$A$2:$F$415,6,FALSE)</f>
        <v>0</v>
      </c>
    </row>
    <row r="44" spans="1:13">
      <c r="A44" s="278" t="str">
        <f t="shared" si="0"/>
        <v xml:space="preserve"> "АлАс"</v>
      </c>
      <c r="B44" s="488"/>
      <c r="C44" s="444"/>
      <c r="D44" s="443"/>
      <c r="E44" s="75">
        <f>VLOOKUP(B44,Справочник!$A$2:$F$415,5,FALSE)</f>
        <v>0</v>
      </c>
      <c r="F44" s="75">
        <f>VLOOKUP(B44,Справочник!$A$2:$F$415,6,FALSE)</f>
        <v>0</v>
      </c>
      <c r="H44" s="278" t="str">
        <f t="shared" si="1"/>
        <v xml:space="preserve"> "АлАс"</v>
      </c>
      <c r="I44" s="488"/>
      <c r="J44" s="444"/>
      <c r="K44" s="443"/>
      <c r="L44" s="75">
        <f>VLOOKUP(I44,Справочник!$A$2:$F$415,5,FALSE)</f>
        <v>0</v>
      </c>
      <c r="M44" s="75">
        <f>VLOOKUP(I44,Справочник!$A$2:$F$415,6,FALSE)</f>
        <v>0</v>
      </c>
    </row>
    <row r="45" spans="1:13">
      <c r="A45" s="278" t="str">
        <f t="shared" si="0"/>
        <v xml:space="preserve"> "АлАс"</v>
      </c>
      <c r="B45" s="494"/>
      <c r="C45" s="495"/>
      <c r="D45" s="495"/>
      <c r="E45" s="75">
        <f>VLOOKUP(B45,Справочник!$A$2:$F$415,5,FALSE)</f>
        <v>0</v>
      </c>
      <c r="F45" s="75">
        <f>VLOOKUP(B45,Справочник!$A$2:$F$415,6,FALSE)</f>
        <v>0</v>
      </c>
      <c r="H45" s="278" t="str">
        <f t="shared" si="1"/>
        <v xml:space="preserve"> "АлАс"</v>
      </c>
      <c r="I45" s="488"/>
      <c r="J45" s="444"/>
      <c r="K45" s="443"/>
      <c r="L45" s="75">
        <f>VLOOKUP(I45,Справочник!$A$2:$F$415,5,FALSE)</f>
        <v>0</v>
      </c>
      <c r="M45" s="75">
        <f>VLOOKUP(I45,Справочник!$A$2:$F$415,6,FALSE)</f>
        <v>0</v>
      </c>
    </row>
    <row r="46" spans="1:13">
      <c r="A46" s="278" t="str">
        <f t="shared" si="0"/>
        <v xml:space="preserve"> "АлАс"</v>
      </c>
      <c r="B46" s="459"/>
      <c r="C46" s="495"/>
      <c r="D46" s="443"/>
      <c r="E46" s="75"/>
      <c r="F46" s="75"/>
      <c r="H46" s="278" t="str">
        <f t="shared" si="1"/>
        <v xml:space="preserve"> "АлАс"</v>
      </c>
      <c r="I46" s="488"/>
      <c r="J46" s="444"/>
      <c r="K46" s="443"/>
      <c r="L46" s="75">
        <f>VLOOKUP(I46,Справочник!$A$2:$F$415,5,FALSE)</f>
        <v>0</v>
      </c>
      <c r="M46" s="75">
        <f>VLOOKUP(I46,Справочник!$A$2:$F$415,6,FALSE)</f>
        <v>0</v>
      </c>
    </row>
    <row r="47" spans="1:13">
      <c r="A47" s="278" t="str">
        <f t="shared" si="0"/>
        <v xml:space="preserve"> "АлАс"</v>
      </c>
      <c r="B47" s="488"/>
      <c r="C47" s="443"/>
      <c r="D47" s="444"/>
      <c r="E47" s="75"/>
      <c r="F47" s="75"/>
      <c r="H47" s="278" t="str">
        <f t="shared" si="1"/>
        <v xml:space="preserve"> "АлАс"</v>
      </c>
      <c r="I47" s="488"/>
      <c r="J47" s="443"/>
      <c r="K47" s="443"/>
      <c r="L47" s="75">
        <f>VLOOKUP(I47,Справочник!$A$2:$F$415,5,FALSE)</f>
        <v>0</v>
      </c>
      <c r="M47" s="75">
        <f>VLOOKUP(I47,Справочник!$A$2:$F$415,6,FALSE)</f>
        <v>0</v>
      </c>
    </row>
    <row r="48" spans="1:13">
      <c r="A48" s="278" t="str">
        <f t="shared" si="0"/>
        <v xml:space="preserve"> "АлАс"</v>
      </c>
      <c r="B48" s="488"/>
      <c r="C48" s="443"/>
      <c r="D48" s="444"/>
      <c r="E48" s="75">
        <f>VLOOKUP(B48,Справочник!$A$2:$F$415,5,FALSE)</f>
        <v>0</v>
      </c>
      <c r="F48" s="75">
        <f>VLOOKUP(B48,Справочник!$A$2:$F$415,6,FALSE)</f>
        <v>0</v>
      </c>
      <c r="H48" s="278" t="str">
        <f t="shared" si="1"/>
        <v xml:space="preserve"> "АлАс"</v>
      </c>
      <c r="I48" s="488"/>
      <c r="J48" s="443"/>
      <c r="K48" s="443"/>
      <c r="L48" s="75">
        <f>VLOOKUP(I48,Справочник!$A$2:$F$415,5,FALSE)</f>
        <v>0</v>
      </c>
      <c r="M48" s="75">
        <f>VLOOKUP(I48,Справочник!$A$2:$F$415,6,FALSE)</f>
        <v>0</v>
      </c>
    </row>
    <row r="49" spans="1:13">
      <c r="A49" s="278" t="str">
        <f t="shared" si="0"/>
        <v xml:space="preserve"> "АлАс"</v>
      </c>
      <c r="B49" s="488"/>
      <c r="C49" s="443"/>
      <c r="D49" s="444"/>
      <c r="E49" s="75">
        <f>VLOOKUP(B49,Справочник!$A$2:$F$415,5,FALSE)</f>
        <v>0</v>
      </c>
      <c r="F49" s="75">
        <f>VLOOKUP(B49,Справочник!$A$2:$F$415,6,FALSE)</f>
        <v>0</v>
      </c>
      <c r="H49" s="278" t="str">
        <f t="shared" si="1"/>
        <v xml:space="preserve"> "АлАс"</v>
      </c>
      <c r="I49" s="488"/>
      <c r="J49" s="443"/>
      <c r="K49" s="444"/>
      <c r="L49" s="75">
        <f>VLOOKUP(I49,Справочник!$A$2:$F$415,5,FALSE)</f>
        <v>0</v>
      </c>
      <c r="M49" s="75">
        <f>VLOOKUP(I49,Справочник!$A$2:$F$415,6,FALSE)</f>
        <v>0</v>
      </c>
    </row>
    <row r="50" spans="1:13">
      <c r="A50" s="278" t="str">
        <f t="shared" si="0"/>
        <v xml:space="preserve"> "АлАс"</v>
      </c>
      <c r="B50" s="488"/>
      <c r="C50" s="443"/>
      <c r="D50" s="444"/>
      <c r="E50" s="75">
        <f>VLOOKUP(B50,Справочник!$A$2:$F$415,5,FALSE)</f>
        <v>0</v>
      </c>
      <c r="F50" s="75">
        <f>VLOOKUP(B50,Справочник!$A$2:$F$415,6,FALSE)</f>
        <v>0</v>
      </c>
      <c r="H50" s="278" t="str">
        <f t="shared" si="1"/>
        <v xml:space="preserve"> "АлАс"</v>
      </c>
      <c r="I50" s="488"/>
      <c r="J50" s="456"/>
      <c r="K50" s="444"/>
      <c r="L50" s="75">
        <f>VLOOKUP(I50,Справочник!$A$2:$F$415,5,FALSE)</f>
        <v>0</v>
      </c>
      <c r="M50" s="75">
        <f>VLOOKUP(I50,Справочник!$A$2:$F$415,6,FALSE)</f>
        <v>0</v>
      </c>
    </row>
    <row r="51" spans="1:13">
      <c r="A51" s="278" t="str">
        <f t="shared" si="0"/>
        <v xml:space="preserve"> "АлАс"</v>
      </c>
      <c r="B51" s="488"/>
      <c r="C51" s="444"/>
      <c r="D51" s="443"/>
      <c r="E51" s="75">
        <f>VLOOKUP(B51,Справочник!$A$2:$F$415,5,FALSE)</f>
        <v>0</v>
      </c>
      <c r="F51" s="75">
        <f>VLOOKUP(B51,Справочник!$A$2:$F$415,6,FALSE)</f>
        <v>0</v>
      </c>
      <c r="H51" s="278" t="str">
        <f t="shared" si="1"/>
        <v xml:space="preserve"> "АлАс"</v>
      </c>
      <c r="I51" s="488"/>
      <c r="J51" s="443"/>
      <c r="K51" s="444"/>
      <c r="L51" s="75">
        <f>VLOOKUP(I51,Справочник!$A$2:$F$415,5,FALSE)</f>
        <v>0</v>
      </c>
      <c r="M51" s="75">
        <f>VLOOKUP(I51,Справочник!$A$2:$F$415,6,FALSE)</f>
        <v>0</v>
      </c>
    </row>
    <row r="52" spans="1:13">
      <c r="A52" s="278" t="str">
        <f t="shared" si="0"/>
        <v xml:space="preserve"> "АлАс"</v>
      </c>
      <c r="B52" s="488"/>
      <c r="C52" s="444"/>
      <c r="D52" s="443"/>
      <c r="E52" s="75">
        <f>VLOOKUP(B52,Справочник!$A$2:$F$415,5,FALSE)</f>
        <v>0</v>
      </c>
      <c r="F52" s="75">
        <f>VLOOKUP(B52,Справочник!$A$2:$F$415,6,FALSE)</f>
        <v>0</v>
      </c>
      <c r="H52" s="278" t="str">
        <f t="shared" si="1"/>
        <v xml:space="preserve"> "АлАс"</v>
      </c>
      <c r="I52" s="488"/>
      <c r="J52" s="443"/>
      <c r="K52" s="444"/>
      <c r="L52" s="75">
        <f>VLOOKUP(I52,Справочник!$A$2:$F$415,5,FALSE)</f>
        <v>0</v>
      </c>
      <c r="M52" s="75">
        <f>VLOOKUP(I52,Справочник!$A$2:$F$415,6,FALSE)</f>
        <v>0</v>
      </c>
    </row>
    <row r="53" spans="1:13">
      <c r="A53" s="278" t="str">
        <f t="shared" si="0"/>
        <v xml:space="preserve"> "АлАс"</v>
      </c>
      <c r="B53" s="488"/>
      <c r="C53" s="444"/>
      <c r="D53" s="443"/>
      <c r="E53" s="75">
        <f>VLOOKUP(B53,Справочник!$A$2:$F$415,5,FALSE)</f>
        <v>0</v>
      </c>
      <c r="F53" s="75">
        <f>VLOOKUP(B53,Справочник!$A$2:$F$415,6,FALSE)</f>
        <v>0</v>
      </c>
      <c r="H53" s="278" t="str">
        <f t="shared" si="1"/>
        <v xml:space="preserve"> "АлАс"</v>
      </c>
      <c r="I53" s="488"/>
      <c r="J53" s="456"/>
      <c r="K53" s="444"/>
      <c r="L53" s="75">
        <f>VLOOKUP(I53,Справочник!$A$2:$F$415,5,FALSE)</f>
        <v>0</v>
      </c>
      <c r="M53" s="75">
        <f>VLOOKUP(I53,Справочник!$A$2:$F$415,6,FALSE)</f>
        <v>0</v>
      </c>
    </row>
    <row r="54" spans="1:13">
      <c r="A54" s="278" t="str">
        <f t="shared" si="0"/>
        <v xml:space="preserve"> "АлАс"</v>
      </c>
      <c r="B54" s="488"/>
      <c r="C54" s="444"/>
      <c r="D54" s="443"/>
      <c r="E54" s="75">
        <f>VLOOKUP(B54,Справочник!$A$2:$F$415,5,FALSE)</f>
        <v>0</v>
      </c>
      <c r="F54" s="75">
        <f>VLOOKUP(B54,Справочник!$A$2:$F$415,6,FALSE)</f>
        <v>0</v>
      </c>
      <c r="H54" s="278" t="str">
        <f t="shared" si="1"/>
        <v xml:space="preserve"> "АлАс"</v>
      </c>
      <c r="I54" s="488"/>
      <c r="J54" s="443"/>
      <c r="K54" s="444"/>
      <c r="L54" s="75">
        <f>VLOOKUP(I54,Справочник!$A$2:$F$415,5,FALSE)</f>
        <v>0</v>
      </c>
      <c r="M54" s="75">
        <f>VLOOKUP(I54,Справочник!$A$2:$F$415,6,FALSE)</f>
        <v>0</v>
      </c>
    </row>
    <row r="55" spans="1:13">
      <c r="A55" s="278" t="str">
        <f t="shared" si="0"/>
        <v xml:space="preserve"> "АлАс"</v>
      </c>
      <c r="B55" s="488"/>
      <c r="C55" s="444"/>
      <c r="D55" s="443"/>
      <c r="E55" s="75">
        <f>VLOOKUP(B55,Справочник!$A$2:$F$415,5,FALSE)</f>
        <v>0</v>
      </c>
      <c r="F55" s="75">
        <f>VLOOKUP(B55,Справочник!$A$2:$F$415,6,FALSE)</f>
        <v>0</v>
      </c>
      <c r="H55" s="278" t="str">
        <f t="shared" si="1"/>
        <v xml:space="preserve"> "АлАс"</v>
      </c>
      <c r="I55" s="488"/>
      <c r="J55" s="443"/>
      <c r="K55" s="443"/>
      <c r="L55" s="75">
        <f>VLOOKUP(I55,Справочник!$A$2:$F$415,5,FALSE)</f>
        <v>0</v>
      </c>
      <c r="M55" s="75">
        <f>VLOOKUP(I55,Справочник!$A$2:$F$415,6,FALSE)</f>
        <v>0</v>
      </c>
    </row>
    <row r="56" spans="1:13">
      <c r="A56" s="278" t="str">
        <f t="shared" si="0"/>
        <v xml:space="preserve"> "АлАс"</v>
      </c>
      <c r="B56" s="459"/>
      <c r="C56" s="490"/>
      <c r="D56" s="490"/>
      <c r="E56" s="75">
        <f>VLOOKUP(B56,Справочник!$A$2:$F$415,5,FALSE)</f>
        <v>0</v>
      </c>
      <c r="F56" s="75">
        <f>VLOOKUP(B56,Справочник!$A$2:$F$415,6,FALSE)</f>
        <v>0</v>
      </c>
      <c r="H56" s="278" t="str">
        <f t="shared" si="1"/>
        <v xml:space="preserve"> "АлАс"</v>
      </c>
      <c r="I56" s="488"/>
      <c r="J56" s="443"/>
      <c r="K56" s="443"/>
      <c r="L56" s="75">
        <f>VLOOKUP(I56,Справочник!$A$2:$F$415,5,FALSE)</f>
        <v>0</v>
      </c>
      <c r="M56" s="75">
        <f>VLOOKUP(I56,Справочник!$A$2:$F$415,6,FALSE)</f>
        <v>0</v>
      </c>
    </row>
    <row r="57" spans="1:13">
      <c r="A57" s="278" t="str">
        <f t="shared" si="0"/>
        <v xml:space="preserve"> "АлАс"</v>
      </c>
      <c r="B57" s="459"/>
      <c r="C57" s="490"/>
      <c r="D57" s="409"/>
      <c r="E57" s="75">
        <f>VLOOKUP(B57,Справочник!$A$2:$F$415,5,FALSE)</f>
        <v>0</v>
      </c>
      <c r="F57" s="75">
        <f>VLOOKUP(B57,Справочник!$A$2:$F$415,6,FALSE)</f>
        <v>0</v>
      </c>
      <c r="H57" s="278" t="str">
        <f t="shared" si="1"/>
        <v xml:space="preserve"> "АлАс"</v>
      </c>
      <c r="I57" s="488"/>
      <c r="J57" s="444"/>
      <c r="K57" s="443"/>
      <c r="L57" s="75">
        <f>VLOOKUP(I57,Справочник!$A$2:$F$415,5,FALSE)</f>
        <v>0</v>
      </c>
      <c r="M57" s="75">
        <f>VLOOKUP(I57,Справочник!$A$2:$F$415,6,FALSE)</f>
        <v>0</v>
      </c>
    </row>
    <row r="58" spans="1:13">
      <c r="A58" s="278" t="str">
        <f t="shared" si="0"/>
        <v xml:space="preserve"> "АлАс"</v>
      </c>
      <c r="B58" s="406"/>
      <c r="C58" s="407"/>
      <c r="D58" s="409"/>
      <c r="E58" s="75">
        <f>VLOOKUP(B58,Справочник!$A$2:$F$415,5,FALSE)</f>
        <v>0</v>
      </c>
      <c r="F58" s="75">
        <f>VLOOKUP(B58,Справочник!$A$2:$F$415,6,FALSE)</f>
        <v>0</v>
      </c>
      <c r="H58" s="278" t="str">
        <f t="shared" si="1"/>
        <v xml:space="preserve"> "АлАс"</v>
      </c>
      <c r="I58" s="488"/>
      <c r="J58" s="444"/>
      <c r="K58" s="443"/>
      <c r="L58" s="75">
        <f>VLOOKUP(I58,Справочник!$A$2:$F$415,5,FALSE)</f>
        <v>0</v>
      </c>
      <c r="M58" s="75">
        <f>VLOOKUP(I58,Справочник!$A$2:$F$415,6,FALSE)</f>
        <v>0</v>
      </c>
    </row>
    <row r="59" spans="1:13">
      <c r="A59" s="278" t="str">
        <f t="shared" si="0"/>
        <v xml:space="preserve"> "АлАс"</v>
      </c>
      <c r="B59" s="406"/>
      <c r="C59" s="408"/>
      <c r="D59" s="407"/>
      <c r="E59" s="75">
        <f>VLOOKUP(B59,Справочник!$A$2:$F$415,5,FALSE)</f>
        <v>0</v>
      </c>
      <c r="F59" s="75">
        <f>VLOOKUP(B59,Справочник!$A$2:$F$415,6,FALSE)</f>
        <v>0</v>
      </c>
      <c r="H59" s="278" t="str">
        <f t="shared" si="1"/>
        <v xml:space="preserve"> "АлАс"</v>
      </c>
      <c r="I59" s="489"/>
      <c r="J59" s="490"/>
      <c r="K59" s="490"/>
      <c r="L59" s="75">
        <f>VLOOKUP(I59,Справочник!$A$2:$F$415,5,FALSE)</f>
        <v>0</v>
      </c>
      <c r="M59" s="75">
        <f>VLOOKUP(I59,Справочник!$A$2:$F$415,6,FALSE)</f>
        <v>0</v>
      </c>
    </row>
    <row r="60" spans="1:13">
      <c r="A60" s="278" t="str">
        <f t="shared" si="0"/>
        <v xml:space="preserve"> "АлАс"</v>
      </c>
      <c r="B60" s="406"/>
      <c r="C60" s="408"/>
      <c r="D60" s="407"/>
      <c r="E60" s="75">
        <f>VLOOKUP(B60,Справочник!$A$2:$F$415,5,FALSE)</f>
        <v>0</v>
      </c>
      <c r="F60" s="75">
        <f>VLOOKUP(B60,Справочник!$A$2:$F$415,6,FALSE)</f>
        <v>0</v>
      </c>
      <c r="H60" s="278" t="str">
        <f t="shared" si="1"/>
        <v xml:space="preserve"> "АлАс"</v>
      </c>
      <c r="I60" s="459"/>
      <c r="J60" s="490"/>
      <c r="K60" s="407"/>
      <c r="L60" s="75">
        <f>VLOOKUP(I60,Справочник!$A$2:$F$415,5,FALSE)</f>
        <v>0</v>
      </c>
      <c r="M60" s="75">
        <f>VLOOKUP(I60,Справочник!$A$2:$F$415,6,FALSE)</f>
        <v>0</v>
      </c>
    </row>
    <row r="61" spans="1:13">
      <c r="A61" s="278" t="str">
        <f t="shared" si="0"/>
        <v xml:space="preserve"> "АлАс"</v>
      </c>
      <c r="B61" s="406"/>
      <c r="C61" s="408"/>
      <c r="D61" s="407"/>
      <c r="E61" s="75">
        <f>VLOOKUP(B61,Справочник!$A$2:$F$415,5,FALSE)</f>
        <v>0</v>
      </c>
      <c r="F61" s="75">
        <f>VLOOKUP(B61,Справочник!$A$2:$F$415,6,FALSE)</f>
        <v>0</v>
      </c>
      <c r="H61" s="278" t="str">
        <f t="shared" si="1"/>
        <v xml:space="preserve"> "АлАс"</v>
      </c>
      <c r="I61" s="406"/>
      <c r="J61" s="408"/>
      <c r="K61" s="407"/>
      <c r="L61" s="75">
        <f>VLOOKUP(I61,Справочник!$A$2:$F$415,5,FALSE)</f>
        <v>0</v>
      </c>
      <c r="M61" s="75">
        <f>VLOOKUP(I61,Справочник!$A$2:$F$415,6,FALSE)</f>
        <v>0</v>
      </c>
    </row>
    <row r="62" spans="1:13">
      <c r="A62" s="278" t="str">
        <f t="shared" si="0"/>
        <v xml:space="preserve"> "АлАс"</v>
      </c>
      <c r="B62" s="406"/>
      <c r="C62" s="408"/>
      <c r="D62" s="407"/>
      <c r="E62" s="75">
        <f>VLOOKUP(B62,Справочник!$A$2:$F$415,5,FALSE)</f>
        <v>0</v>
      </c>
      <c r="F62" s="75">
        <f>VLOOKUP(B62,Справочник!$A$2:$F$415,6,FALSE)</f>
        <v>0</v>
      </c>
      <c r="H62" s="278" t="str">
        <f t="shared" si="1"/>
        <v xml:space="preserve"> "АлАс"</v>
      </c>
      <c r="I62" s="406"/>
      <c r="J62" s="408"/>
      <c r="K62" s="407"/>
      <c r="L62" s="75">
        <f>VLOOKUP(I62,Справочник!$A$2:$F$415,5,FALSE)</f>
        <v>0</v>
      </c>
      <c r="M62" s="75">
        <f>VLOOKUP(I62,Справочник!$A$2:$F$415,6,FALSE)</f>
        <v>0</v>
      </c>
    </row>
    <row r="63" spans="1:13">
      <c r="A63" s="278" t="str">
        <f t="shared" si="0"/>
        <v xml:space="preserve"> "АлАс"</v>
      </c>
      <c r="B63" s="403"/>
      <c r="C63" s="404"/>
      <c r="D63" s="404"/>
      <c r="E63" s="75"/>
      <c r="F63" s="75"/>
      <c r="H63" s="278" t="str">
        <f t="shared" si="1"/>
        <v xml:space="preserve"> "АлАс"</v>
      </c>
      <c r="I63" s="403"/>
      <c r="J63" s="404"/>
      <c r="K63" s="404"/>
      <c r="L63" s="75">
        <f>VLOOKUP(I63,Справочник!$A$2:$F$415,5,FALSE)</f>
        <v>0</v>
      </c>
      <c r="M63" s="75">
        <f>VLOOKUP(I63,Справочник!$A$2:$F$415,6,FALSE)</f>
        <v>0</v>
      </c>
    </row>
    <row r="64" spans="1:13">
      <c r="A64" s="278" t="str">
        <f t="shared" si="0"/>
        <v xml:space="preserve"> "АлАс"</v>
      </c>
      <c r="B64" s="403"/>
      <c r="C64" s="404"/>
      <c r="D64" s="405"/>
      <c r="E64" s="75"/>
      <c r="F64" s="75"/>
      <c r="H64" s="278" t="str">
        <f t="shared" si="1"/>
        <v xml:space="preserve"> "АлАс"</v>
      </c>
      <c r="I64" s="403"/>
      <c r="J64" s="404"/>
      <c r="K64" s="405"/>
      <c r="L64" s="75">
        <f>VLOOKUP(I64,Справочник!$A$2:$F$415,5,FALSE)</f>
        <v>0</v>
      </c>
      <c r="M64" s="75">
        <f>VLOOKUP(I64,Справочник!$A$2:$F$415,6,FALSE)</f>
        <v>0</v>
      </c>
    </row>
    <row r="65" spans="1:13">
      <c r="A65" s="278" t="str">
        <f t="shared" si="0"/>
        <v xml:space="preserve"> "АлАс"</v>
      </c>
      <c r="B65" s="381"/>
      <c r="C65" s="382"/>
      <c r="D65" s="382"/>
      <c r="E65" s="75">
        <f>VLOOKUP(B65,Справочник!$A$2:$F$415,5,FALSE)</f>
        <v>0</v>
      </c>
      <c r="F65" s="75">
        <f>VLOOKUP(B65,Справочник!$A$2:$F$415,6,FALSE)</f>
        <v>0</v>
      </c>
      <c r="H65" s="278" t="str">
        <f t="shared" si="1"/>
        <v xml:space="preserve"> "АлАс"</v>
      </c>
      <c r="I65" s="381"/>
      <c r="J65" s="382"/>
      <c r="K65" s="383"/>
      <c r="L65" s="75">
        <f>VLOOKUP(I65,Справочник!$A$2:$F$415,5,FALSE)</f>
        <v>0</v>
      </c>
      <c r="M65" s="75">
        <f>VLOOKUP(I65,Справочник!$A$2:$F$415,6,FALSE)</f>
        <v>0</v>
      </c>
    </row>
    <row r="66" spans="1:13">
      <c r="A66" s="278" t="str">
        <f t="shared" si="0"/>
        <v xml:space="preserve"> "АлАс"</v>
      </c>
      <c r="B66" s="381"/>
      <c r="C66" s="382"/>
      <c r="D66" s="383"/>
      <c r="E66" s="75">
        <f>VLOOKUP(B66,Справочник!$A$2:$F$415,5,FALSE)</f>
        <v>0</v>
      </c>
      <c r="F66" s="75">
        <f>VLOOKUP(B66,Справочник!$A$2:$F$415,6,FALSE)</f>
        <v>0</v>
      </c>
      <c r="H66" s="278" t="str">
        <f t="shared" si="1"/>
        <v xml:space="preserve"> "АлАс"</v>
      </c>
      <c r="I66" s="381"/>
      <c r="J66" s="382"/>
      <c r="K66" s="383"/>
      <c r="L66" s="75">
        <f>VLOOKUP(I66,Справочник!$A$2:$F$415,5,FALSE)</f>
        <v>0</v>
      </c>
      <c r="M66" s="75">
        <f>VLOOKUP(I66,Справочник!$A$2:$F$415,6,FALSE)</f>
        <v>0</v>
      </c>
    </row>
    <row r="67" spans="1:13">
      <c r="A67" s="278" t="str">
        <f t="shared" si="0"/>
        <v xml:space="preserve"> "АлАс"</v>
      </c>
      <c r="B67" s="381"/>
      <c r="C67" s="382"/>
      <c r="D67" s="383"/>
      <c r="E67" s="75">
        <f>VLOOKUP(B67,Справочник!$A$2:$F$415,5,FALSE)</f>
        <v>0</v>
      </c>
      <c r="F67" s="75">
        <f>VLOOKUP(B67,Справочник!$A$2:$F$415,6,FALSE)</f>
        <v>0</v>
      </c>
      <c r="H67" s="278" t="str">
        <f t="shared" si="1"/>
        <v xml:space="preserve"> "АлАс"</v>
      </c>
      <c r="I67" s="381"/>
      <c r="J67" s="384"/>
      <c r="K67" s="383"/>
      <c r="L67" s="75">
        <f>VLOOKUP(I67,Справочник!$A$2:$F$415,5,FALSE)</f>
        <v>0</v>
      </c>
      <c r="M67" s="75">
        <f>VLOOKUP(I67,Справочник!$A$2:$F$415,6,FALSE)</f>
        <v>0</v>
      </c>
    </row>
    <row r="68" spans="1:13">
      <c r="A68" s="278" t="str">
        <f t="shared" si="0"/>
        <v xml:space="preserve"> "АлАс"</v>
      </c>
      <c r="B68" s="381"/>
      <c r="C68" s="382"/>
      <c r="D68" s="383"/>
      <c r="E68" s="75">
        <f>VLOOKUP(B68,Справочник!$A$2:$F$415,5,FALSE)</f>
        <v>0</v>
      </c>
      <c r="F68" s="75">
        <f>VLOOKUP(B68,Справочник!$A$2:$F$415,6,FALSE)</f>
        <v>0</v>
      </c>
      <c r="H68" s="278" t="str">
        <f t="shared" si="1"/>
        <v xml:space="preserve"> "АлАс"</v>
      </c>
      <c r="I68" s="381"/>
      <c r="J68" s="383"/>
      <c r="K68" s="382"/>
      <c r="L68" s="75">
        <f>VLOOKUP(I68,Справочник!$A$2:$F$415,5,FALSE)</f>
        <v>0</v>
      </c>
      <c r="M68" s="75">
        <f>VLOOKUP(I68,Справочник!$A$2:$F$415,6,FALSE)</f>
        <v>0</v>
      </c>
    </row>
    <row r="69" spans="1:13">
      <c r="A69" s="278" t="str">
        <f t="shared" si="0"/>
        <v xml:space="preserve"> "АлАс"</v>
      </c>
      <c r="B69" s="381"/>
      <c r="C69" s="382"/>
      <c r="D69" s="383"/>
      <c r="E69" s="75">
        <f>VLOOKUP(B69,Справочник!$A$2:$F$415,5,FALSE)</f>
        <v>0</v>
      </c>
      <c r="F69" s="75">
        <f>VLOOKUP(B69,Справочник!$A$2:$F$415,6,FALSE)</f>
        <v>0</v>
      </c>
      <c r="H69" s="278" t="str">
        <f t="shared" si="1"/>
        <v xml:space="preserve"> "АлАс"</v>
      </c>
      <c r="I69" s="381"/>
      <c r="J69" s="383"/>
      <c r="K69" s="382"/>
      <c r="L69" s="75">
        <f>VLOOKUP(I69,Справочник!$A$2:$F$415,5,FALSE)</f>
        <v>0</v>
      </c>
      <c r="M69" s="75">
        <f>VLOOKUP(I69,Справочник!$A$2:$F$415,6,FALSE)</f>
        <v>0</v>
      </c>
    </row>
    <row r="70" spans="1:13">
      <c r="A70" s="278" t="str">
        <f t="shared" si="0"/>
        <v xml:space="preserve"> "АлАс"</v>
      </c>
      <c r="B70" s="381"/>
      <c r="C70" s="382"/>
      <c r="D70" s="384"/>
      <c r="E70" s="75">
        <f>VLOOKUP(B70,Справочник!$A$2:$F$415,5,FALSE)</f>
        <v>0</v>
      </c>
      <c r="F70" s="75">
        <f>VLOOKUP(B70,Справочник!$A$2:$F$415,6,FALSE)</f>
        <v>0</v>
      </c>
      <c r="H70" s="278" t="str">
        <f t="shared" si="1"/>
        <v xml:space="preserve"> "АлАс"</v>
      </c>
      <c r="I70" s="381"/>
      <c r="J70" s="383"/>
      <c r="K70" s="382"/>
      <c r="L70" s="75">
        <f>VLOOKUP(I70,Справочник!$A$2:$F$415,5,FALSE)</f>
        <v>0</v>
      </c>
      <c r="M70" s="75">
        <f>VLOOKUP(I70,Справочник!$A$2:$F$415,6,FALSE)</f>
        <v>0</v>
      </c>
    </row>
    <row r="71" spans="1:13">
      <c r="A71" s="278" t="str">
        <f t="shared" si="0"/>
        <v xml:space="preserve"> "АлАс"</v>
      </c>
      <c r="B71" s="381"/>
      <c r="C71" s="382"/>
      <c r="D71" s="384"/>
      <c r="E71" s="75">
        <f>VLOOKUP(B71,Справочник!$A$2:$F$415,5,FALSE)</f>
        <v>0</v>
      </c>
      <c r="F71" s="75">
        <f>VLOOKUP(B71,Справочник!$A$2:$F$415,6,FALSE)</f>
        <v>0</v>
      </c>
      <c r="H71" s="278" t="str">
        <f t="shared" si="1"/>
        <v xml:space="preserve"> "АлАс"</v>
      </c>
      <c r="I71" s="381"/>
      <c r="J71" s="383"/>
      <c r="K71" s="382"/>
      <c r="L71" s="75">
        <f>VLOOKUP(I71,Справочник!$A$2:$F$415,5,FALSE)</f>
        <v>0</v>
      </c>
      <c r="M71" s="75">
        <f>VLOOKUP(I71,Справочник!$A$2:$F$415,6,FALSE)</f>
        <v>0</v>
      </c>
    </row>
    <row r="72" spans="1:13">
      <c r="A72" s="278" t="str">
        <f t="shared" si="0"/>
        <v xml:space="preserve"> "АлАс"</v>
      </c>
      <c r="B72" s="381"/>
      <c r="C72" s="382"/>
      <c r="D72" s="383"/>
      <c r="E72" s="75">
        <f>VLOOKUP(B72,Справочник!$A$2:$F$415,5,FALSE)</f>
        <v>0</v>
      </c>
      <c r="F72" s="75">
        <f>VLOOKUP(B72,Справочник!$A$2:$F$415,6,FALSE)</f>
        <v>0</v>
      </c>
      <c r="H72" s="278" t="str">
        <f t="shared" si="1"/>
        <v xml:space="preserve"> "АлАс"</v>
      </c>
      <c r="I72" s="381"/>
      <c r="J72" s="383"/>
      <c r="K72" s="382"/>
      <c r="L72" s="75">
        <f>VLOOKUP(I72,Справочник!$A$2:$F$415,5,FALSE)</f>
        <v>0</v>
      </c>
      <c r="M72" s="75">
        <f>VLOOKUP(I72,Справочник!$A$2:$F$415,6,FALSE)</f>
        <v>0</v>
      </c>
    </row>
    <row r="73" spans="1:13">
      <c r="A73" s="278" t="str">
        <f t="shared" si="0"/>
        <v xml:space="preserve"> "АлАс"</v>
      </c>
      <c r="B73" s="381"/>
      <c r="C73" s="383"/>
      <c r="D73" s="382"/>
      <c r="E73" s="75">
        <f>VLOOKUP(B73,Справочник!$A$2:$F$415,5,FALSE)</f>
        <v>0</v>
      </c>
      <c r="F73" s="75">
        <f>VLOOKUP(B73,Справочник!$A$2:$F$415,6,FALSE)</f>
        <v>0</v>
      </c>
      <c r="H73" s="278" t="str">
        <f t="shared" si="1"/>
        <v xml:space="preserve"> "АлАс"</v>
      </c>
      <c r="I73" s="279"/>
      <c r="J73" s="280"/>
      <c r="K73" s="239"/>
      <c r="L73" s="75">
        <f>VLOOKUP(I73,Справочник!$A$2:$F$415,5,FALSE)</f>
        <v>0</v>
      </c>
      <c r="M73" s="75">
        <f>VLOOKUP(I73,Справочник!$A$2:$F$415,6,FALSE)</f>
        <v>0</v>
      </c>
    </row>
    <row r="74" spans="1:13">
      <c r="A74" s="278" t="str">
        <f t="shared" ref="A74:A77" si="2">A73</f>
        <v xml:space="preserve"> "АлАс"</v>
      </c>
      <c r="B74" s="381"/>
      <c r="C74" s="383"/>
      <c r="D74" s="382"/>
      <c r="E74" s="75">
        <f>VLOOKUP(B74,Справочник!$A$2:$F$415,5,FALSE)</f>
        <v>0</v>
      </c>
      <c r="F74" s="75">
        <f>VLOOKUP(B74,Справочник!$A$2:$F$415,6,FALSE)</f>
        <v>0</v>
      </c>
      <c r="H74" s="278" t="str">
        <f t="shared" ref="H74:H77" si="3">H73</f>
        <v xml:space="preserve"> "АлАс"</v>
      </c>
      <c r="I74" s="279"/>
      <c r="J74" s="238"/>
      <c r="K74" s="239"/>
      <c r="L74" s="75">
        <f>VLOOKUP(I74,Справочник!$A$2:$F$415,5,FALSE)</f>
        <v>0</v>
      </c>
      <c r="M74" s="75">
        <f>VLOOKUP(I74,Справочник!$A$2:$F$415,6,FALSE)</f>
        <v>0</v>
      </c>
    </row>
    <row r="75" spans="1:13">
      <c r="A75" s="278" t="str">
        <f t="shared" si="2"/>
        <v xml:space="preserve"> "АлАс"</v>
      </c>
      <c r="B75" s="381"/>
      <c r="C75" s="383"/>
      <c r="D75" s="382"/>
      <c r="E75" s="75">
        <f>VLOOKUP(B75,Справочник!$A$2:$F$415,5,FALSE)</f>
        <v>0</v>
      </c>
      <c r="F75" s="75">
        <f>VLOOKUP(B75,Справочник!$A$2:$F$415,6,FALSE)</f>
        <v>0</v>
      </c>
      <c r="H75" s="278" t="str">
        <f t="shared" si="3"/>
        <v xml:space="preserve"> "АлАс"</v>
      </c>
      <c r="I75" s="279"/>
      <c r="J75" s="238"/>
      <c r="K75" s="281"/>
      <c r="L75" s="75">
        <f>VLOOKUP(I75,Справочник!$A$2:$F$415,5,FALSE)</f>
        <v>0</v>
      </c>
      <c r="M75" s="75">
        <f>VLOOKUP(I75,Справочник!$A$2:$F$415,6,FALSE)</f>
        <v>0</v>
      </c>
    </row>
    <row r="76" spans="1:13">
      <c r="A76" s="278" t="str">
        <f t="shared" si="2"/>
        <v xml:space="preserve"> "АлАс"</v>
      </c>
      <c r="B76" s="381"/>
      <c r="C76" s="383"/>
      <c r="D76" s="382"/>
      <c r="E76" s="75">
        <f>VLOOKUP(B76,Справочник!$A$2:$F$415,5,FALSE)</f>
        <v>0</v>
      </c>
      <c r="F76" s="75">
        <f>VLOOKUP(B76,Справочник!$A$2:$F$415,6,FALSE)</f>
        <v>0</v>
      </c>
      <c r="H76" s="278" t="str">
        <f t="shared" si="3"/>
        <v xml:space="preserve"> "АлАс"</v>
      </c>
      <c r="I76" s="279"/>
      <c r="J76" s="280"/>
      <c r="K76" s="239"/>
      <c r="L76" s="75">
        <f>VLOOKUP(I76,Справочник!$A$2:$F$415,5,FALSE)</f>
        <v>0</v>
      </c>
      <c r="M76" s="75">
        <f>VLOOKUP(I76,Справочник!$A$2:$F$415,6,FALSE)</f>
        <v>0</v>
      </c>
    </row>
    <row r="77" spans="1:13" ht="15.75" thickBot="1">
      <c r="A77" s="278" t="str">
        <f t="shared" si="2"/>
        <v xml:space="preserve"> "АлАс"</v>
      </c>
      <c r="B77" s="381"/>
      <c r="C77" s="383"/>
      <c r="D77" s="382"/>
      <c r="E77" s="75">
        <f>VLOOKUP(B77,Справочник!$A$2:$F$415,5,FALSE)</f>
        <v>0</v>
      </c>
      <c r="F77" s="75">
        <f>VLOOKUP(B77,Справочник!$A$2:$F$415,6,FALSE)</f>
        <v>0</v>
      </c>
      <c r="H77" s="278" t="str">
        <f t="shared" si="3"/>
        <v xml:space="preserve"> "АлАс"</v>
      </c>
      <c r="I77" s="279"/>
      <c r="J77" s="280"/>
      <c r="K77" s="239"/>
      <c r="L77" s="75">
        <f>VLOOKUP(I77,Справочник!$A$2:$F$415,5,FALSE)</f>
        <v>0</v>
      </c>
      <c r="M77" s="75">
        <f>VLOOKUP(I77,Справочник!$A$2:$F$415,6,FALSE)</f>
        <v>0</v>
      </c>
    </row>
    <row r="78" spans="1:13">
      <c r="A78" s="282" t="s">
        <v>696</v>
      </c>
      <c r="B78" s="283"/>
      <c r="C78" s="385"/>
      <c r="D78" s="385"/>
      <c r="E78" s="75"/>
      <c r="F78" s="75"/>
      <c r="H78" s="282" t="s">
        <v>696</v>
      </c>
      <c r="I78" s="283"/>
      <c r="J78" s="385"/>
      <c r="K78" s="385"/>
      <c r="L78" s="75"/>
      <c r="M78" s="75"/>
    </row>
    <row r="79" spans="1:13" ht="15.75" thickBot="1">
      <c r="A79" s="284"/>
      <c r="B79" s="285"/>
      <c r="C79" s="385"/>
      <c r="D79" s="386"/>
      <c r="H79" s="284"/>
      <c r="I79" s="285"/>
      <c r="J79" s="385"/>
      <c r="K79" s="386"/>
      <c r="L79" s="75"/>
      <c r="M79" s="75"/>
    </row>
    <row r="80" spans="1:13">
      <c r="C80" s="467">
        <f>SUBTOTAL(9,C16:C77)</f>
        <v>247539709.41999999</v>
      </c>
      <c r="D80" s="467">
        <f>SUBTOTAL(9,D16:D77)</f>
        <v>202950217.63</v>
      </c>
      <c r="J80" s="467">
        <f>SUBTOTAL(9,J17:J72)</f>
        <v>185284194.63</v>
      </c>
      <c r="K80" s="467">
        <f>SUBTOTAL(9,K17:K72)</f>
        <v>242736606.94</v>
      </c>
    </row>
    <row r="81" spans="3:10">
      <c r="C81" s="387">
        <f>C80+C8-D80</f>
        <v>44709186.419999987</v>
      </c>
      <c r="J81" s="387">
        <f>J80+J8-K80</f>
        <v>-57332009.210000008</v>
      </c>
    </row>
  </sheetData>
  <mergeCells count="4">
    <mergeCell ref="A3:C3"/>
    <mergeCell ref="H3:J3"/>
    <mergeCell ref="A4:C4"/>
    <mergeCell ref="H4:J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81"/>
  <sheetViews>
    <sheetView topLeftCell="A37" workbookViewId="0">
      <selection activeCell="E18" sqref="E18"/>
    </sheetView>
  </sheetViews>
  <sheetFormatPr defaultRowHeight="15"/>
  <cols>
    <col min="1" max="1" width="38.28515625" style="467" bestFit="1" customWidth="1"/>
    <col min="2" max="2" width="8.7109375" style="467" bestFit="1" customWidth="1"/>
    <col min="3" max="4" width="14.85546875" style="467" bestFit="1" customWidth="1"/>
    <col min="5" max="5" width="14.28515625" style="467" customWidth="1"/>
    <col min="6" max="6" width="18.28515625" style="467" customWidth="1"/>
    <col min="7" max="7" width="9.140625" style="467"/>
    <col min="8" max="8" width="38.28515625" style="467" bestFit="1" customWidth="1"/>
    <col min="9" max="9" width="8.7109375" style="467" bestFit="1" customWidth="1"/>
    <col min="10" max="11" width="14.85546875" style="467" bestFit="1" customWidth="1"/>
    <col min="12" max="12" width="43.140625" style="467" bestFit="1" customWidth="1"/>
    <col min="13" max="16384" width="9.140625" style="467"/>
  </cols>
  <sheetData>
    <row r="1" spans="1:13" ht="15.75">
      <c r="A1" s="397" t="s">
        <v>750</v>
      </c>
      <c r="B1" s="269"/>
      <c r="C1" s="269"/>
      <c r="D1" s="269"/>
      <c r="H1" s="268" t="s">
        <v>677</v>
      </c>
      <c r="I1" s="269"/>
      <c r="J1" s="269"/>
      <c r="K1" s="269"/>
    </row>
    <row r="2" spans="1:13">
      <c r="A2" s="270"/>
      <c r="B2" s="269"/>
      <c r="C2" s="269"/>
      <c r="D2" s="269"/>
      <c r="H2" s="270" t="s">
        <v>734</v>
      </c>
      <c r="I2" s="269"/>
      <c r="J2" s="269"/>
      <c r="K2" s="269"/>
    </row>
    <row r="3" spans="1:13">
      <c r="A3" s="683" t="s">
        <v>678</v>
      </c>
      <c r="B3" s="683"/>
      <c r="C3" s="683"/>
      <c r="D3" s="269"/>
      <c r="H3" s="683" t="s">
        <v>678</v>
      </c>
      <c r="I3" s="683"/>
      <c r="J3" s="683"/>
      <c r="K3" s="269"/>
    </row>
    <row r="4" spans="1:13">
      <c r="A4" s="683" t="s">
        <v>359</v>
      </c>
      <c r="B4" s="683"/>
      <c r="C4" s="683"/>
      <c r="D4" s="269"/>
      <c r="H4" s="683" t="s">
        <v>359</v>
      </c>
      <c r="I4" s="683"/>
      <c r="J4" s="683"/>
      <c r="K4" s="269"/>
    </row>
    <row r="5" spans="1:13" ht="15.75" thickBot="1">
      <c r="A5" s="269"/>
      <c r="B5" s="269"/>
      <c r="C5" s="269"/>
      <c r="D5" s="269"/>
      <c r="H5" s="269"/>
      <c r="I5" s="269"/>
      <c r="J5" s="269"/>
      <c r="K5" s="269"/>
    </row>
    <row r="6" spans="1:13">
      <c r="A6" s="271" t="s">
        <v>695</v>
      </c>
      <c r="B6" s="272" t="s">
        <v>606</v>
      </c>
      <c r="C6" s="272" t="s">
        <v>650</v>
      </c>
      <c r="D6" s="273" t="s">
        <v>651</v>
      </c>
      <c r="H6" s="271" t="s">
        <v>695</v>
      </c>
      <c r="I6" s="272" t="s">
        <v>606</v>
      </c>
      <c r="J6" s="272" t="s">
        <v>650</v>
      </c>
      <c r="K6" s="273" t="s">
        <v>651</v>
      </c>
    </row>
    <row r="7" spans="1:13" ht="15.75" thickBot="1">
      <c r="A7" s="274"/>
      <c r="B7" s="275"/>
      <c r="C7" s="275"/>
      <c r="D7" s="276"/>
      <c r="H7" s="274"/>
      <c r="I7" s="275"/>
      <c r="J7" s="275"/>
      <c r="K7" s="276"/>
    </row>
    <row r="8" spans="1:13" ht="24">
      <c r="A8" s="316" t="s">
        <v>754</v>
      </c>
      <c r="B8" s="277" t="s">
        <v>607</v>
      </c>
      <c r="C8" s="536">
        <v>233522026.41999999</v>
      </c>
      <c r="D8" s="405"/>
      <c r="H8" s="316" t="s">
        <v>754</v>
      </c>
      <c r="I8" s="277" t="s">
        <v>607</v>
      </c>
      <c r="J8" s="536">
        <v>13651072</v>
      </c>
      <c r="K8" s="405"/>
    </row>
    <row r="9" spans="1:13" ht="15" customHeight="1">
      <c r="A9" s="278" t="str">
        <f>A8</f>
        <v xml:space="preserve"> "РЕСТ Ко"</v>
      </c>
      <c r="B9" s="531">
        <v>1000</v>
      </c>
      <c r="C9" s="532">
        <v>2347075443.1599998</v>
      </c>
      <c r="D9" s="532">
        <v>2347075443.1599998</v>
      </c>
      <c r="E9" s="75">
        <f>VLOOKUP(B9,Справочник!$A$2:$F$415,5,FALSE)</f>
        <v>0</v>
      </c>
      <c r="F9" s="75">
        <f>VLOOKUP(B9,Справочник!$A$2:$F$415,6,FALSE)</f>
        <v>0</v>
      </c>
      <c r="H9" s="278" t="str">
        <f>H8</f>
        <v xml:space="preserve"> "РЕСТ Ко"</v>
      </c>
      <c r="I9" s="531">
        <v>1000</v>
      </c>
      <c r="J9" s="532">
        <v>2709895294.1999998</v>
      </c>
      <c r="K9" s="532">
        <v>2709895294.1999998</v>
      </c>
      <c r="L9" s="75">
        <f>VLOOKUP(I9,Справочник!$A$2:$F$415,5,FALSE)</f>
        <v>0</v>
      </c>
      <c r="M9" s="75">
        <f>VLOOKUP(I9,Справочник!$A$2:$F$415,6,FALSE)</f>
        <v>0</v>
      </c>
    </row>
    <row r="10" spans="1:13" ht="15" customHeight="1">
      <c r="A10" s="278" t="str">
        <f t="shared" ref="A10:A73" si="0">A9</f>
        <v xml:space="preserve"> "РЕСТ Ко"</v>
      </c>
      <c r="B10" s="531">
        <v>1010</v>
      </c>
      <c r="C10" s="532">
        <v>1344664033.6899998</v>
      </c>
      <c r="D10" s="532">
        <v>535346033.69</v>
      </c>
      <c r="E10" s="75">
        <f>VLOOKUP(B10,Справочник!$A$2:$F$415,5,FALSE)</f>
        <v>0</v>
      </c>
      <c r="F10" s="75">
        <f>VLOOKUP(B10,Справочник!$A$2:$F$415,6,FALSE)</f>
        <v>0</v>
      </c>
      <c r="H10" s="278" t="str">
        <f t="shared" ref="H10:H73" si="1">H9</f>
        <v xml:space="preserve"> "РЕСТ Ко"</v>
      </c>
      <c r="I10" s="531">
        <v>1010</v>
      </c>
      <c r="J10" s="532">
        <v>1347980162.2</v>
      </c>
      <c r="K10" s="532">
        <v>836074254.20000005</v>
      </c>
      <c r="L10" s="75">
        <f>VLOOKUP(I10,Справочник!$A$2:$F$415,5,FALSE)</f>
        <v>0</v>
      </c>
      <c r="M10" s="75">
        <f>VLOOKUP(I10,Справочник!$A$2:$F$415,6,FALSE)</f>
        <v>0</v>
      </c>
    </row>
    <row r="11" spans="1:13" ht="15" customHeight="1">
      <c r="A11" s="278" t="str">
        <f t="shared" si="0"/>
        <v xml:space="preserve"> "РЕСТ Ко"</v>
      </c>
      <c r="B11" s="531">
        <v>1020</v>
      </c>
      <c r="C11" s="532">
        <v>708592319.88999999</v>
      </c>
      <c r="D11" s="532">
        <v>708592319.88999999</v>
      </c>
      <c r="E11" s="75">
        <f>VLOOKUP(B11,Справочник!$A$2:$F$415,5,FALSE)</f>
        <v>0</v>
      </c>
      <c r="F11" s="75">
        <f>VLOOKUP(B11,Справочник!$A$2:$F$415,6,FALSE)</f>
        <v>0</v>
      </c>
      <c r="H11" s="278" t="str">
        <f t="shared" si="1"/>
        <v xml:space="preserve"> "РЕСТ Ко"</v>
      </c>
      <c r="I11" s="531">
        <v>1020</v>
      </c>
      <c r="J11" s="532">
        <v>1008574802.5</v>
      </c>
      <c r="K11" s="532">
        <v>1006574802.5</v>
      </c>
      <c r="L11" s="75">
        <f>VLOOKUP(I11,Справочник!$A$2:$F$415,5,FALSE)</f>
        <v>0</v>
      </c>
      <c r="M11" s="75">
        <f>VLOOKUP(I11,Справочник!$A$2:$F$415,6,FALSE)</f>
        <v>0</v>
      </c>
    </row>
    <row r="12" spans="1:13" ht="15" customHeight="1">
      <c r="A12" s="278" t="str">
        <f t="shared" si="0"/>
        <v xml:space="preserve"> "РЕСТ Ко"</v>
      </c>
      <c r="B12" s="531">
        <v>1021</v>
      </c>
      <c r="C12" s="532">
        <v>707390944.69000006</v>
      </c>
      <c r="D12" s="532">
        <v>707390944.69000006</v>
      </c>
      <c r="E12" s="75">
        <f>VLOOKUP(B12,Справочник!$A$2:$F$415,5,FALSE)</f>
        <v>0</v>
      </c>
      <c r="F12" s="75">
        <f>VLOOKUP(B12,Справочник!$A$2:$F$415,6,FALSE)</f>
        <v>0</v>
      </c>
      <c r="H12" s="278" t="str">
        <f t="shared" si="1"/>
        <v xml:space="preserve"> "РЕСТ Ко"</v>
      </c>
      <c r="I12" s="531">
        <v>1021</v>
      </c>
      <c r="J12" s="532">
        <v>1002155968.89</v>
      </c>
      <c r="K12" s="532">
        <v>1000155968.89</v>
      </c>
      <c r="L12" s="75">
        <f>VLOOKUP(I12,Справочник!$A$2:$F$415,5,FALSE)</f>
        <v>0</v>
      </c>
      <c r="M12" s="75">
        <f>VLOOKUP(I12,Справочник!$A$2:$F$415,6,FALSE)</f>
        <v>0</v>
      </c>
    </row>
    <row r="13" spans="1:13" ht="15" customHeight="1">
      <c r="A13" s="278" t="str">
        <f t="shared" si="0"/>
        <v xml:space="preserve"> "РЕСТ Ко"</v>
      </c>
      <c r="B13" s="531">
        <v>1022</v>
      </c>
      <c r="C13" s="532">
        <v>1201375.2</v>
      </c>
      <c r="D13" s="532">
        <v>1201375.2</v>
      </c>
      <c r="E13" s="75">
        <f>VLOOKUP(B13,Справочник!$A$2:$F$415,5,FALSE)</f>
        <v>0</v>
      </c>
      <c r="F13" s="75">
        <f>VLOOKUP(B13,Справочник!$A$2:$F$415,6,FALSE)</f>
        <v>0</v>
      </c>
      <c r="H13" s="278" t="str">
        <f t="shared" si="1"/>
        <v xml:space="preserve"> "РЕСТ Ко"</v>
      </c>
      <c r="I13" s="531">
        <v>1022</v>
      </c>
      <c r="J13" s="532">
        <v>6418833.6100000003</v>
      </c>
      <c r="K13" s="532">
        <v>6418833.6100000003</v>
      </c>
      <c r="L13" s="75">
        <f>VLOOKUP(I13,Справочник!$A$2:$F$415,5,FALSE)</f>
        <v>0</v>
      </c>
      <c r="M13" s="75">
        <f>VLOOKUP(I13,Справочник!$A$2:$F$415,6,FALSE)</f>
        <v>0</v>
      </c>
    </row>
    <row r="14" spans="1:13" ht="15" customHeight="1">
      <c r="A14" s="278" t="str">
        <f t="shared" si="0"/>
        <v xml:space="preserve"> "РЕСТ Ко"</v>
      </c>
      <c r="B14" s="531">
        <v>1030</v>
      </c>
      <c r="C14" s="532">
        <v>245481833.58000001</v>
      </c>
      <c r="D14" s="532">
        <v>1054671939.58</v>
      </c>
      <c r="E14" s="75">
        <f>VLOOKUP(B14,Справочник!$A$2:$F$415,5,FALSE)</f>
        <v>0</v>
      </c>
      <c r="F14" s="75">
        <f>VLOOKUP(B14,Справочник!$A$2:$F$415,6,FALSE)</f>
        <v>0</v>
      </c>
      <c r="H14" s="278" t="str">
        <f t="shared" si="1"/>
        <v xml:space="preserve"> "РЕСТ Ко"</v>
      </c>
      <c r="I14" s="531">
        <v>1030</v>
      </c>
      <c r="J14" s="532">
        <v>353340329.5</v>
      </c>
      <c r="K14" s="532">
        <v>866871237.5</v>
      </c>
      <c r="L14" s="75">
        <f>VLOOKUP(I14,Справочник!$A$2:$F$415,5,FALSE)</f>
        <v>0</v>
      </c>
      <c r="M14" s="75">
        <f>VLOOKUP(I14,Справочник!$A$2:$F$415,6,FALSE)</f>
        <v>0</v>
      </c>
    </row>
    <row r="15" spans="1:13" ht="15" customHeight="1">
      <c r="A15" s="278" t="str">
        <f t="shared" si="0"/>
        <v xml:space="preserve"> "РЕСТ Ко"</v>
      </c>
      <c r="B15" s="531">
        <v>1050</v>
      </c>
      <c r="C15" s="532">
        <v>48337256</v>
      </c>
      <c r="D15" s="532">
        <v>48465150</v>
      </c>
      <c r="E15" s="75">
        <f>VLOOKUP(B15,Справочник!$A$2:$F$415,5,FALSE)</f>
        <v>0</v>
      </c>
      <c r="F15" s="75">
        <f>VLOOKUP(B15,Справочник!$A$2:$F$415,6,FALSE)</f>
        <v>0</v>
      </c>
      <c r="H15" s="278" t="str">
        <f t="shared" si="1"/>
        <v xml:space="preserve"> "РЕСТ Ко"</v>
      </c>
      <c r="I15" s="531">
        <v>1050</v>
      </c>
      <c r="J15" s="533"/>
      <c r="K15" s="532">
        <v>375000</v>
      </c>
      <c r="L15" s="75">
        <f>VLOOKUP(I15,Справочник!$A$2:$F$415,5,FALSE)</f>
        <v>0</v>
      </c>
      <c r="M15" s="75">
        <f>VLOOKUP(I15,Справочник!$A$2:$F$415,6,FALSE)</f>
        <v>0</v>
      </c>
    </row>
    <row r="16" spans="1:13">
      <c r="A16" s="278" t="str">
        <f t="shared" si="0"/>
        <v xml:space="preserve"> "РЕСТ Ко"</v>
      </c>
      <c r="B16" s="531">
        <v>1100</v>
      </c>
      <c r="C16" s="532">
        <v>4901960</v>
      </c>
      <c r="D16" s="532">
        <v>51700945</v>
      </c>
      <c r="E16" s="75">
        <f>VLOOKUP(B16,Справочник!$A$2:$F$415,5,FALSE)</f>
        <v>0</v>
      </c>
      <c r="F16" s="75">
        <f>VLOOKUP(B16,Справочник!$A$2:$F$415,6,FALSE)</f>
        <v>0</v>
      </c>
      <c r="H16" s="278" t="str">
        <f t="shared" si="1"/>
        <v xml:space="preserve"> "РЕСТ Ко"</v>
      </c>
      <c r="I16" s="531">
        <v>1100</v>
      </c>
      <c r="J16" s="532">
        <v>46989500</v>
      </c>
      <c r="K16" s="532">
        <v>66815721.200000003</v>
      </c>
      <c r="L16" s="75">
        <f>VLOOKUP(I16,Справочник!$A$2:$F$415,5,FALSE)</f>
        <v>0</v>
      </c>
      <c r="M16" s="75">
        <f>VLOOKUP(I16,Справочник!$A$2:$F$415,6,FALSE)</f>
        <v>0</v>
      </c>
    </row>
    <row r="17" spans="1:13">
      <c r="A17" s="278" t="str">
        <f t="shared" si="0"/>
        <v xml:space="preserve"> "РЕСТ Ко"</v>
      </c>
      <c r="B17" s="531">
        <v>1110</v>
      </c>
      <c r="C17" s="532">
        <v>4901960</v>
      </c>
      <c r="D17" s="532">
        <v>51700945</v>
      </c>
      <c r="E17" s="75" t="str">
        <f>VLOOKUP(B17,Справочник!$A$2:$F$415,5,FALSE)</f>
        <v>прочие поступления (инвест)</v>
      </c>
      <c r="F17" s="75" t="str">
        <f>VLOOKUP(B17,Справочник!$A$2:$F$415,6,FALSE)</f>
        <v>предоставление займов</v>
      </c>
      <c r="H17" s="278" t="str">
        <f t="shared" si="1"/>
        <v xml:space="preserve"> "РЕСТ Ко"</v>
      </c>
      <c r="I17" s="531">
        <v>1110</v>
      </c>
      <c r="J17" s="532">
        <v>46989500</v>
      </c>
      <c r="K17" s="532">
        <v>66815721.200000003</v>
      </c>
      <c r="L17" s="75" t="str">
        <f>VLOOKUP(I17,Справочник!$A$2:$F$415,5,FALSE)</f>
        <v>прочие поступления (инвест)</v>
      </c>
      <c r="M17" s="75" t="str">
        <f>VLOOKUP(I17,Справочник!$A$2:$F$415,6,FALSE)</f>
        <v>предоставление займов</v>
      </c>
    </row>
    <row r="18" spans="1:13" ht="15" customHeight="1">
      <c r="A18" s="278" t="str">
        <f t="shared" si="0"/>
        <v xml:space="preserve"> "РЕСТ Ко"</v>
      </c>
      <c r="B18" s="531">
        <v>1200</v>
      </c>
      <c r="C18" s="532">
        <v>1311557642.95</v>
      </c>
      <c r="D18" s="532">
        <v>155051003.65000001</v>
      </c>
      <c r="E18" s="75">
        <f>VLOOKUP(B18,Справочник!$A$2:$F$415,5,FALSE)</f>
        <v>0</v>
      </c>
      <c r="F18" s="75">
        <f>VLOOKUP(B18,Справочник!$A$2:$F$415,6,FALSE)</f>
        <v>0</v>
      </c>
      <c r="H18" s="278" t="str">
        <f t="shared" si="1"/>
        <v xml:space="preserve"> "РЕСТ Ко"</v>
      </c>
      <c r="I18" s="531">
        <v>1200</v>
      </c>
      <c r="J18" s="532">
        <v>2274564141.79</v>
      </c>
      <c r="K18" s="532">
        <v>668401961.42999995</v>
      </c>
      <c r="L18" s="75">
        <f>VLOOKUP(I18,Справочник!$A$2:$F$415,5,FALSE)</f>
        <v>0</v>
      </c>
      <c r="M18" s="75">
        <f>VLOOKUP(I18,Справочник!$A$2:$F$415,6,FALSE)</f>
        <v>0</v>
      </c>
    </row>
    <row r="19" spans="1:13">
      <c r="A19" s="278" t="str">
        <f t="shared" si="0"/>
        <v xml:space="preserve"> "РЕСТ Ко"</v>
      </c>
      <c r="B19" s="531">
        <v>1210</v>
      </c>
      <c r="C19" s="532">
        <v>1199657788.8499999</v>
      </c>
      <c r="D19" s="532">
        <v>1591208</v>
      </c>
      <c r="E19" s="75" t="str">
        <f>VLOOKUP(B19,Справочник!$A$2:$F$415,5,FALSE)</f>
        <v>реализация товаров и услуг</v>
      </c>
      <c r="F19" s="75" t="str">
        <f>VLOOKUP(B19,Справочник!$A$2:$F$415,6,FALSE)</f>
        <v>прочие выплаты</v>
      </c>
      <c r="H19" s="278" t="str">
        <f t="shared" si="1"/>
        <v xml:space="preserve"> "РЕСТ Ко"</v>
      </c>
      <c r="I19" s="531">
        <v>1210</v>
      </c>
      <c r="J19" s="532">
        <v>1964361672.4300001</v>
      </c>
      <c r="K19" s="532">
        <v>5509389.1900000004</v>
      </c>
      <c r="L19" s="75" t="str">
        <f>VLOOKUP(I19,Справочник!$A$2:$F$415,5,FALSE)</f>
        <v>реализация товаров и услуг</v>
      </c>
      <c r="M19" s="75" t="str">
        <f>VLOOKUP(I19,Справочник!$A$2:$F$415,6,FALSE)</f>
        <v>прочие выплаты</v>
      </c>
    </row>
    <row r="20" spans="1:13">
      <c r="A20" s="278" t="str">
        <f t="shared" si="0"/>
        <v xml:space="preserve"> "РЕСТ Ко"</v>
      </c>
      <c r="B20" s="531">
        <v>1250</v>
      </c>
      <c r="C20" s="532">
        <v>111772065.09</v>
      </c>
      <c r="D20" s="532">
        <v>153459795.65000001</v>
      </c>
      <c r="E20" s="75">
        <f>VLOOKUP(B20,Справочник!$A$2:$F$415,5,FALSE)</f>
        <v>0</v>
      </c>
      <c r="F20" s="75">
        <f>VLOOKUP(B20,Справочник!$A$2:$F$415,6,FALSE)</f>
        <v>0</v>
      </c>
      <c r="H20" s="278" t="str">
        <f t="shared" si="1"/>
        <v xml:space="preserve"> "РЕСТ Ко"</v>
      </c>
      <c r="I20" s="531">
        <v>1250</v>
      </c>
      <c r="J20" s="532">
        <v>307799705.29000002</v>
      </c>
      <c r="K20" s="532">
        <v>659853372.24000001</v>
      </c>
      <c r="L20" s="75">
        <f>VLOOKUP(I20,Справочник!$A$2:$F$415,5,FALSE)</f>
        <v>0</v>
      </c>
      <c r="M20" s="75">
        <f>VLOOKUP(I20,Справочник!$A$2:$F$415,6,FALSE)</f>
        <v>0</v>
      </c>
    </row>
    <row r="21" spans="1:13">
      <c r="A21" s="278" t="str">
        <f t="shared" si="0"/>
        <v xml:space="preserve"> "РЕСТ Ко"</v>
      </c>
      <c r="B21" s="531">
        <v>1251</v>
      </c>
      <c r="C21" s="532">
        <v>111772065.09</v>
      </c>
      <c r="D21" s="532">
        <v>153459795.65000001</v>
      </c>
      <c r="E21" s="75" t="str">
        <f>VLOOKUP(B21,Справочник!$A$2:$F$415,5,FALSE)</f>
        <v>прочие поступления</v>
      </c>
      <c r="F21" s="75" t="str">
        <f>VLOOKUP(B21,Справочник!$A$2:$F$415,6,FALSE)</f>
        <v>прочие выплаты</v>
      </c>
      <c r="H21" s="278" t="str">
        <f t="shared" si="1"/>
        <v xml:space="preserve"> "РЕСТ Ко"</v>
      </c>
      <c r="I21" s="531">
        <v>1251</v>
      </c>
      <c r="J21" s="532">
        <v>303579757.29000002</v>
      </c>
      <c r="K21" s="532">
        <v>659619546.24000001</v>
      </c>
      <c r="L21" s="75" t="str">
        <f>VLOOKUP(I21,Справочник!$A$2:$F$415,5,FALSE)</f>
        <v>прочие поступления</v>
      </c>
      <c r="M21" s="75" t="str">
        <f>VLOOKUP(I21,Справочник!$A$2:$F$415,6,FALSE)</f>
        <v>прочие выплаты</v>
      </c>
    </row>
    <row r="22" spans="1:13">
      <c r="A22" s="278" t="str">
        <f t="shared" si="0"/>
        <v xml:space="preserve"> "РЕСТ Ко"</v>
      </c>
      <c r="B22" s="531">
        <v>1270</v>
      </c>
      <c r="C22" s="532">
        <v>2789.01</v>
      </c>
      <c r="D22" s="533"/>
      <c r="E22" s="75" t="str">
        <f>VLOOKUP(B22,Справочник!$A$2:$F$415,5,FALSE)</f>
        <v>полученные вознаграждения</v>
      </c>
      <c r="F22" s="75" t="str">
        <f>VLOOKUP(B22,Справочник!$A$2:$F$415,6,FALSE)</f>
        <v>прочие выплаты</v>
      </c>
      <c r="H22" s="278" t="str">
        <f t="shared" si="1"/>
        <v xml:space="preserve"> "РЕСТ Ко"</v>
      </c>
      <c r="I22" s="531">
        <v>1253</v>
      </c>
      <c r="J22" s="532">
        <v>4219948</v>
      </c>
      <c r="K22" s="533"/>
      <c r="L22" s="75" t="str">
        <f>VLOOKUP(I22,Справочник!$A$2:$F$415,5,FALSE)</f>
        <v>прочие поступления</v>
      </c>
      <c r="M22" s="75" t="str">
        <f>VLOOKUP(I22,Справочник!$A$2:$F$415,6,FALSE)</f>
        <v>прочие выплаты</v>
      </c>
    </row>
    <row r="23" spans="1:13" ht="15" customHeight="1">
      <c r="A23" s="278" t="str">
        <f t="shared" si="0"/>
        <v xml:space="preserve"> "РЕСТ Ко"</v>
      </c>
      <c r="B23" s="531">
        <v>1280</v>
      </c>
      <c r="C23" s="532">
        <v>125000</v>
      </c>
      <c r="D23" s="533"/>
      <c r="E23" s="75">
        <f>VLOOKUP(B23,Справочник!$A$2:$F$415,5,FALSE)</f>
        <v>0</v>
      </c>
      <c r="F23" s="75">
        <f>VLOOKUP(B23,Справочник!$A$2:$F$415,6,FALSE)</f>
        <v>0</v>
      </c>
      <c r="H23" s="278" t="str">
        <f t="shared" si="1"/>
        <v xml:space="preserve"> "РЕСТ Ко"</v>
      </c>
      <c r="I23" s="531">
        <v>1254</v>
      </c>
      <c r="J23" s="533"/>
      <c r="K23" s="532">
        <v>233826</v>
      </c>
      <c r="L23" s="75" t="str">
        <f>VLOOKUP(I23,Справочник!$A$2:$F$415,5,FALSE)</f>
        <v>прочие поступления</v>
      </c>
      <c r="M23" s="75" t="str">
        <f>VLOOKUP(I23,Справочник!$A$2:$F$415,6,FALSE)</f>
        <v>прочие выплаты</v>
      </c>
    </row>
    <row r="24" spans="1:13">
      <c r="A24" s="278" t="str">
        <f t="shared" si="0"/>
        <v xml:space="preserve"> "РЕСТ Ко"</v>
      </c>
      <c r="B24" s="531">
        <v>1284</v>
      </c>
      <c r="C24" s="532">
        <v>125000</v>
      </c>
      <c r="D24" s="533"/>
      <c r="E24" s="75" t="str">
        <f>VLOOKUP(B24,Справочник!$A$2:$F$415,5,FALSE)</f>
        <v>прочие поступления</v>
      </c>
      <c r="F24" s="75" t="str">
        <f>VLOOKUP(B24,Справочник!$A$2:$F$415,6,FALSE)</f>
        <v>прочие выплаты</v>
      </c>
      <c r="H24" s="278" t="str">
        <f t="shared" si="1"/>
        <v xml:space="preserve"> "РЕСТ Ко"</v>
      </c>
      <c r="I24" s="531">
        <v>1270</v>
      </c>
      <c r="J24" s="532">
        <v>3605.07</v>
      </c>
      <c r="K24" s="533"/>
      <c r="L24" s="75" t="str">
        <f>VLOOKUP(I24,Справочник!$A$2:$F$415,5,FALSE)</f>
        <v>полученные вознаграждения</v>
      </c>
      <c r="M24" s="75" t="str">
        <f>VLOOKUP(I24,Справочник!$A$2:$F$415,6,FALSE)</f>
        <v>прочие выплаты</v>
      </c>
    </row>
    <row r="25" spans="1:13" ht="15" customHeight="1">
      <c r="A25" s="278" t="str">
        <f t="shared" si="0"/>
        <v xml:space="preserve"> "РЕСТ Ко"</v>
      </c>
      <c r="B25" s="531">
        <v>1600</v>
      </c>
      <c r="C25" s="532">
        <v>2387.36</v>
      </c>
      <c r="D25" s="532">
        <v>243631670.38999999</v>
      </c>
      <c r="E25" s="75">
        <f>VLOOKUP(B25,Справочник!$A$2:$F$415,5,FALSE)</f>
        <v>0</v>
      </c>
      <c r="F25" s="75">
        <f>VLOOKUP(B25,Справочник!$A$2:$F$415,6,FALSE)</f>
        <v>0</v>
      </c>
      <c r="H25" s="278" t="str">
        <f t="shared" si="1"/>
        <v xml:space="preserve"> "РЕСТ Ко"</v>
      </c>
      <c r="I25" s="531">
        <v>1280</v>
      </c>
      <c r="J25" s="532">
        <v>2399159</v>
      </c>
      <c r="K25" s="532">
        <v>3039200</v>
      </c>
      <c r="L25" s="75">
        <f>VLOOKUP(I25,Справочник!$A$2:$F$415,5,FALSE)</f>
        <v>0</v>
      </c>
      <c r="M25" s="75">
        <f>VLOOKUP(I25,Справочник!$A$2:$F$415,6,FALSE)</f>
        <v>0</v>
      </c>
    </row>
    <row r="26" spans="1:13">
      <c r="A26" s="278" t="str">
        <f t="shared" si="0"/>
        <v xml:space="preserve"> "РЕСТ Ко"</v>
      </c>
      <c r="B26" s="531">
        <v>1610</v>
      </c>
      <c r="C26" s="532">
        <v>2387.36</v>
      </c>
      <c r="D26" s="532">
        <v>243631670.38999999</v>
      </c>
      <c r="E26" s="75" t="str">
        <f>VLOOKUP(B26,Справочник!$A$2:$F$415,5,FALSE)</f>
        <v>прочие поступления</v>
      </c>
      <c r="F26" s="75" t="str">
        <f>VLOOKUP(B26,Справочник!$A$2:$F$415,6,FALSE)</f>
        <v>авансы, выданные поставщикам товаров и услуг</v>
      </c>
      <c r="H26" s="278" t="str">
        <f t="shared" si="1"/>
        <v xml:space="preserve"> "РЕСТ Ко"</v>
      </c>
      <c r="I26" s="531">
        <v>1284</v>
      </c>
      <c r="J26" s="532">
        <v>2399159</v>
      </c>
      <c r="K26" s="532">
        <v>3039200</v>
      </c>
      <c r="L26" s="75" t="str">
        <f>VLOOKUP(I26,Справочник!$A$2:$F$415,5,FALSE)</f>
        <v>прочие поступления</v>
      </c>
      <c r="M26" s="75" t="str">
        <f>VLOOKUP(I26,Справочник!$A$2:$F$415,6,FALSE)</f>
        <v>прочие выплаты</v>
      </c>
    </row>
    <row r="27" spans="1:13" ht="15" customHeight="1">
      <c r="A27" s="278" t="str">
        <f t="shared" si="0"/>
        <v xml:space="preserve"> "РЕСТ Ко"</v>
      </c>
      <c r="B27" s="531">
        <v>3100</v>
      </c>
      <c r="C27" s="533"/>
      <c r="D27" s="532">
        <v>88422493.629999995</v>
      </c>
      <c r="E27" s="75">
        <f>VLOOKUP(B27,Справочник!$A$2:$F$415,5,FALSE)</f>
        <v>0</v>
      </c>
      <c r="F27" s="75">
        <f>VLOOKUP(B27,Справочник!$A$2:$F$415,6,FALSE)</f>
        <v>0</v>
      </c>
      <c r="H27" s="278" t="str">
        <f t="shared" si="1"/>
        <v xml:space="preserve"> "РЕСТ Ко"</v>
      </c>
      <c r="I27" s="531">
        <v>1400</v>
      </c>
      <c r="J27" s="533"/>
      <c r="K27" s="532">
        <v>15120</v>
      </c>
      <c r="L27" s="75">
        <f>VLOOKUP(I27,Справочник!$A$2:$F$415,5,FALSE)</f>
        <v>0</v>
      </c>
      <c r="M27" s="75">
        <f>VLOOKUP(I27,Справочник!$A$2:$F$415,6,FALSE)</f>
        <v>0</v>
      </c>
    </row>
    <row r="28" spans="1:13">
      <c r="A28" s="278" t="str">
        <f t="shared" si="0"/>
        <v xml:space="preserve"> "РЕСТ Ко"</v>
      </c>
      <c r="B28" s="531">
        <v>3120</v>
      </c>
      <c r="C28" s="533"/>
      <c r="D28" s="532">
        <v>25759743.739999998</v>
      </c>
      <c r="E28" s="75" t="str">
        <f>VLOOKUP(B28,Справочник!$A$2:$F$415,5,FALSE)</f>
        <v>прочие поступления</v>
      </c>
      <c r="F28" s="75" t="str">
        <f>VLOOKUP(B28,Справочник!$A$2:$F$415,6,FALSE)</f>
        <v>прочие выплаты</v>
      </c>
      <c r="H28" s="278" t="str">
        <f t="shared" si="1"/>
        <v xml:space="preserve"> "РЕСТ Ко"</v>
      </c>
      <c r="I28" s="531">
        <v>1430</v>
      </c>
      <c r="J28" s="533"/>
      <c r="K28" s="532">
        <v>15120</v>
      </c>
      <c r="L28" s="75" t="str">
        <f>VLOOKUP(I28,Справочник!$A$2:$F$415,5,FALSE)</f>
        <v>прочие поступления</v>
      </c>
      <c r="M28" s="75" t="str">
        <f>VLOOKUP(I28,Справочник!$A$2:$F$415,6,FALSE)</f>
        <v>прочие выплаты</v>
      </c>
    </row>
    <row r="29" spans="1:13">
      <c r="A29" s="278" t="str">
        <f t="shared" si="0"/>
        <v xml:space="preserve"> "РЕСТ Ко"</v>
      </c>
      <c r="B29" s="531">
        <v>3130</v>
      </c>
      <c r="C29" s="533"/>
      <c r="D29" s="532">
        <v>46880141.659999996</v>
      </c>
      <c r="E29" s="75" t="str">
        <f>VLOOKUP(B29,Справочник!$A$2:$F$415,5,FALSE)</f>
        <v>прочие поступления</v>
      </c>
      <c r="F29" s="75" t="str">
        <f>VLOOKUP(B29,Справочник!$A$2:$F$415,6,FALSE)</f>
        <v>прочие выплаты</v>
      </c>
      <c r="H29" s="278" t="str">
        <f t="shared" si="1"/>
        <v xml:space="preserve"> "РЕСТ Ко"</v>
      </c>
      <c r="I29" s="531">
        <v>1600</v>
      </c>
      <c r="J29" s="532">
        <v>3465128</v>
      </c>
      <c r="K29" s="532">
        <v>307548824.31999999</v>
      </c>
      <c r="L29" s="75">
        <f>VLOOKUP(I29,Справочник!$A$2:$F$415,5,FALSE)</f>
        <v>0</v>
      </c>
      <c r="M29" s="75">
        <f>VLOOKUP(I29,Справочник!$A$2:$F$415,6,FALSE)</f>
        <v>0</v>
      </c>
    </row>
    <row r="30" spans="1:13">
      <c r="A30" s="278" t="str">
        <f t="shared" si="0"/>
        <v xml:space="preserve"> "РЕСТ Ко"</v>
      </c>
      <c r="B30" s="531">
        <v>3150</v>
      </c>
      <c r="C30" s="533"/>
      <c r="D30" s="532">
        <v>15391988.359999999</v>
      </c>
      <c r="E30" s="75" t="str">
        <f>VLOOKUP(B30,Справочник!$A$2:$F$415,5,FALSE)</f>
        <v>прочие поступления</v>
      </c>
      <c r="F30" s="75" t="str">
        <f>VLOOKUP(B30,Справочник!$A$2:$F$415,6,FALSE)</f>
        <v>прочие выплаты</v>
      </c>
      <c r="H30" s="278" t="str">
        <f t="shared" si="1"/>
        <v xml:space="preserve"> "РЕСТ Ко"</v>
      </c>
      <c r="I30" s="531">
        <v>1610</v>
      </c>
      <c r="J30" s="532">
        <v>3465128</v>
      </c>
      <c r="K30" s="532">
        <v>307548824.31999999</v>
      </c>
      <c r="L30" s="75" t="str">
        <f>VLOOKUP(I30,Справочник!$A$2:$F$415,5,FALSE)</f>
        <v>прочие поступления</v>
      </c>
      <c r="M30" s="75" t="str">
        <f>VLOOKUP(I30,Справочник!$A$2:$F$415,6,FALSE)</f>
        <v>авансы, выданные поставщикам товаров и услуг</v>
      </c>
    </row>
    <row r="31" spans="1:13">
      <c r="A31" s="278" t="str">
        <f t="shared" si="0"/>
        <v xml:space="preserve"> "РЕСТ Ко"</v>
      </c>
      <c r="B31" s="531">
        <v>3190</v>
      </c>
      <c r="C31" s="533"/>
      <c r="D31" s="532">
        <v>390619.87</v>
      </c>
      <c r="E31" s="75" t="str">
        <f>VLOOKUP(B31,Справочник!$A$2:$F$415,5,FALSE)</f>
        <v>прочие поступления</v>
      </c>
      <c r="F31" s="75" t="str">
        <f>VLOOKUP(B31,Справочник!$A$2:$F$415,6,FALSE)</f>
        <v>прочие выплаты</v>
      </c>
      <c r="H31" s="278" t="str">
        <f t="shared" si="1"/>
        <v xml:space="preserve"> "РЕСТ Ко"</v>
      </c>
      <c r="I31" s="531">
        <v>2100</v>
      </c>
      <c r="J31" s="533"/>
      <c r="K31" s="532">
        <v>13039686.279999999</v>
      </c>
      <c r="L31" s="75">
        <f>VLOOKUP(I31,Справочник!$A$2:$F$415,5,FALSE)</f>
        <v>0</v>
      </c>
      <c r="M31" s="75">
        <f>VLOOKUP(I31,Справочник!$A$2:$F$415,6,FALSE)</f>
        <v>0</v>
      </c>
    </row>
    <row r="32" spans="1:13">
      <c r="A32" s="278" t="str">
        <f t="shared" si="0"/>
        <v xml:space="preserve"> "РЕСТ Ко"</v>
      </c>
      <c r="B32" s="531">
        <v>3200</v>
      </c>
      <c r="C32" s="532">
        <v>662749.5</v>
      </c>
      <c r="D32" s="532">
        <v>39735123.259999998</v>
      </c>
      <c r="E32" s="75">
        <f>VLOOKUP(B32,Справочник!$A$2:$F$415,5,FALSE)</f>
        <v>0</v>
      </c>
      <c r="F32" s="75">
        <f>VLOOKUP(B32,Справочник!$A$2:$F$415,6,FALSE)</f>
        <v>0</v>
      </c>
      <c r="H32" s="278" t="str">
        <f t="shared" si="1"/>
        <v xml:space="preserve"> "РЕСТ Ко"</v>
      </c>
      <c r="I32" s="531">
        <v>2180</v>
      </c>
      <c r="J32" s="533"/>
      <c r="K32" s="532">
        <v>13039686.279999999</v>
      </c>
      <c r="L32" s="75">
        <f>VLOOKUP(I32,Справочник!$A$2:$F$415,5,FALSE)</f>
        <v>0</v>
      </c>
      <c r="M32" s="75">
        <f>VLOOKUP(I32,Справочник!$A$2:$F$415,6,FALSE)</f>
        <v>0</v>
      </c>
    </row>
    <row r="33" spans="1:13">
      <c r="A33" s="278" t="str">
        <f t="shared" si="0"/>
        <v xml:space="preserve"> "РЕСТ Ко"</v>
      </c>
      <c r="B33" s="531">
        <v>3210</v>
      </c>
      <c r="C33" s="532">
        <v>200879.5</v>
      </c>
      <c r="D33" s="532">
        <v>12163667.390000001</v>
      </c>
      <c r="E33" s="75" t="str">
        <f>VLOOKUP(B33,Справочник!$A$2:$F$415,5,FALSE)</f>
        <v>прочие поступления</v>
      </c>
      <c r="F33" s="75" t="str">
        <f>VLOOKUP(B33,Справочник!$A$2:$F$415,6,FALSE)</f>
        <v>прочие выплаты</v>
      </c>
      <c r="H33" s="278" t="str">
        <f t="shared" si="1"/>
        <v xml:space="preserve"> "РЕСТ Ко"</v>
      </c>
      <c r="I33" s="531">
        <v>2184</v>
      </c>
      <c r="J33" s="533"/>
      <c r="K33" s="532">
        <v>13039686.279999999</v>
      </c>
      <c r="L33" s="75" t="str">
        <f>VLOOKUP(I33,Справочник!$A$2:$F$415,5,FALSE)</f>
        <v>реализация товаров и услуг</v>
      </c>
      <c r="M33" s="75" t="str">
        <f>VLOOKUP(I33,Справочник!$A$2:$F$415,6,FALSE)</f>
        <v>прочие выплаты</v>
      </c>
    </row>
    <row r="34" spans="1:13">
      <c r="A34" s="278" t="str">
        <f t="shared" si="0"/>
        <v xml:space="preserve"> "РЕСТ Ко"</v>
      </c>
      <c r="B34" s="531">
        <v>3220</v>
      </c>
      <c r="C34" s="532">
        <v>461870</v>
      </c>
      <c r="D34" s="532">
        <v>27571455.870000001</v>
      </c>
      <c r="E34" s="75" t="str">
        <f>VLOOKUP(B34,Справочник!$A$2:$F$415,5,FALSE)</f>
        <v>прочие поступления</v>
      </c>
      <c r="F34" s="75" t="str">
        <f>VLOOKUP(B34,Справочник!$A$2:$F$415,6,FALSE)</f>
        <v>прочие выплаты</v>
      </c>
      <c r="H34" s="278" t="str">
        <f t="shared" si="1"/>
        <v xml:space="preserve"> "РЕСТ Ко"</v>
      </c>
      <c r="I34" s="531">
        <v>3100</v>
      </c>
      <c r="J34" s="533"/>
      <c r="K34" s="532">
        <v>57169821.920000002</v>
      </c>
      <c r="L34" s="75">
        <f>VLOOKUP(I34,Справочник!$A$2:$F$415,5,FALSE)</f>
        <v>0</v>
      </c>
      <c r="M34" s="75">
        <f>VLOOKUP(I34,Справочник!$A$2:$F$415,6,FALSE)</f>
        <v>0</v>
      </c>
    </row>
    <row r="35" spans="1:13">
      <c r="A35" s="278" t="str">
        <f t="shared" si="0"/>
        <v xml:space="preserve"> "РЕСТ Ко"</v>
      </c>
      <c r="B35" s="531">
        <v>3300</v>
      </c>
      <c r="C35" s="532">
        <v>14520975.25</v>
      </c>
      <c r="D35" s="532">
        <v>1159665166.54</v>
      </c>
      <c r="E35" s="75">
        <f>VLOOKUP(B35,Справочник!$A$2:$F$415,5,FALSE)</f>
        <v>0</v>
      </c>
      <c r="F35" s="75">
        <f>VLOOKUP(B35,Справочник!$A$2:$F$415,6,FALSE)</f>
        <v>0</v>
      </c>
      <c r="H35" s="278" t="str">
        <f t="shared" si="1"/>
        <v xml:space="preserve"> "РЕСТ Ко"</v>
      </c>
      <c r="I35" s="531">
        <v>3110</v>
      </c>
      <c r="J35" s="533"/>
      <c r="K35" s="532">
        <v>1642771</v>
      </c>
      <c r="L35" s="75" t="str">
        <f>VLOOKUP(I35,Справочник!$A$2:$F$415,5,FALSE)</f>
        <v>прочие поступления</v>
      </c>
      <c r="M35" s="75" t="str">
        <f>VLOOKUP(I35,Справочник!$A$2:$F$415,6,FALSE)</f>
        <v>подоходный налог и другие платежи в бюджет</v>
      </c>
    </row>
    <row r="36" spans="1:13">
      <c r="A36" s="278" t="str">
        <f t="shared" si="0"/>
        <v xml:space="preserve"> "РЕСТ Ко"</v>
      </c>
      <c r="B36" s="531">
        <v>3310</v>
      </c>
      <c r="C36" s="532">
        <v>3097909.25</v>
      </c>
      <c r="D36" s="532">
        <v>884608321.75999999</v>
      </c>
      <c r="E36" s="75" t="str">
        <f>VLOOKUP(B36,Справочник!$A$2:$F$415,5,FALSE)</f>
        <v>прочие поступления</v>
      </c>
      <c r="F36" s="75" t="str">
        <f>VLOOKUP(B36,Справочник!$A$2:$F$415,6,FALSE)</f>
        <v>платежи поставщикам за товары и услуги</v>
      </c>
      <c r="H36" s="278" t="str">
        <f t="shared" si="1"/>
        <v xml:space="preserve"> "РЕСТ Ко"</v>
      </c>
      <c r="I36" s="531">
        <v>3120</v>
      </c>
      <c r="J36" s="533"/>
      <c r="K36" s="532">
        <v>24247265.920000002</v>
      </c>
      <c r="L36" s="75" t="str">
        <f>VLOOKUP(I36,Справочник!$A$2:$F$415,5,FALSE)</f>
        <v>прочие поступления</v>
      </c>
      <c r="M36" s="75" t="str">
        <f>VLOOKUP(I36,Справочник!$A$2:$F$415,6,FALSE)</f>
        <v>прочие выплаты</v>
      </c>
    </row>
    <row r="37" spans="1:13">
      <c r="A37" s="278" t="str">
        <f t="shared" si="0"/>
        <v xml:space="preserve"> "РЕСТ Ко"</v>
      </c>
      <c r="B37" s="531">
        <v>3350</v>
      </c>
      <c r="C37" s="532">
        <v>11416816</v>
      </c>
      <c r="D37" s="532">
        <v>243218269.78</v>
      </c>
      <c r="E37" s="75" t="str">
        <f>VLOOKUP(B37,Справочник!$A$2:$F$415,5,FALSE)</f>
        <v>прочие поступления</v>
      </c>
      <c r="F37" s="75" t="str">
        <f>VLOOKUP(B37,Справочник!$A$2:$F$415,6,FALSE)</f>
        <v>выплаты по оплате труда</v>
      </c>
      <c r="H37" s="278" t="str">
        <f t="shared" si="1"/>
        <v xml:space="preserve"> "РЕСТ Ко"</v>
      </c>
      <c r="I37" s="531">
        <v>3130</v>
      </c>
      <c r="J37" s="533"/>
      <c r="K37" s="532">
        <v>14837820</v>
      </c>
      <c r="L37" s="75" t="str">
        <f>VLOOKUP(I37,Справочник!$A$2:$F$415,5,FALSE)</f>
        <v>прочие поступления</v>
      </c>
      <c r="M37" s="75" t="str">
        <f>VLOOKUP(I37,Справочник!$A$2:$F$415,6,FALSE)</f>
        <v>прочие выплаты</v>
      </c>
    </row>
    <row r="38" spans="1:13">
      <c r="A38" s="278" t="str">
        <f t="shared" si="0"/>
        <v xml:space="preserve"> "РЕСТ Ко"</v>
      </c>
      <c r="B38" s="531">
        <v>3390</v>
      </c>
      <c r="C38" s="532">
        <v>6250</v>
      </c>
      <c r="D38" s="532">
        <v>31838575</v>
      </c>
      <c r="E38" s="75">
        <f>VLOOKUP(B38,Справочник!$A$2:$F$415,5,FALSE)</f>
        <v>0</v>
      </c>
      <c r="F38" s="75">
        <f>VLOOKUP(B38,Справочник!$A$2:$F$415,6,FALSE)</f>
        <v>0</v>
      </c>
      <c r="H38" s="278" t="str">
        <f t="shared" si="1"/>
        <v xml:space="preserve"> "РЕСТ Ко"</v>
      </c>
      <c r="I38" s="531">
        <v>3150</v>
      </c>
      <c r="J38" s="533"/>
      <c r="K38" s="532">
        <v>14983589</v>
      </c>
      <c r="L38" s="75" t="str">
        <f>VLOOKUP(I38,Справочник!$A$2:$F$415,5,FALSE)</f>
        <v>прочие поступления</v>
      </c>
      <c r="M38" s="75" t="str">
        <f>VLOOKUP(I38,Справочник!$A$2:$F$415,6,FALSE)</f>
        <v>прочие выплаты</v>
      </c>
    </row>
    <row r="39" spans="1:13">
      <c r="A39" s="278" t="str">
        <f t="shared" si="0"/>
        <v xml:space="preserve"> "РЕСТ Ко"</v>
      </c>
      <c r="B39" s="531">
        <v>3392</v>
      </c>
      <c r="C39" s="533"/>
      <c r="D39" s="532">
        <v>1912755</v>
      </c>
      <c r="E39" s="75" t="str">
        <f>VLOOKUP(B39,Справочник!$A$2:$F$415,5,FALSE)</f>
        <v>прочие поступления</v>
      </c>
      <c r="F39" s="75" t="str">
        <f>VLOOKUP(B39,Справочник!$A$2:$F$415,6,FALSE)</f>
        <v>прочие выплаты</v>
      </c>
      <c r="H39" s="278" t="str">
        <f t="shared" si="1"/>
        <v xml:space="preserve"> "РЕСТ Ко"</v>
      </c>
      <c r="I39" s="531">
        <v>3190</v>
      </c>
      <c r="J39" s="533"/>
      <c r="K39" s="532">
        <v>1458376</v>
      </c>
      <c r="L39" s="75" t="str">
        <f>VLOOKUP(I39,Справочник!$A$2:$F$415,5,FALSE)</f>
        <v>прочие поступления</v>
      </c>
      <c r="M39" s="75" t="str">
        <f>VLOOKUP(I39,Справочник!$A$2:$F$415,6,FALSE)</f>
        <v>прочие выплаты</v>
      </c>
    </row>
    <row r="40" spans="1:13">
      <c r="A40" s="278" t="str">
        <f t="shared" si="0"/>
        <v xml:space="preserve"> "РЕСТ Ко"</v>
      </c>
      <c r="B40" s="531">
        <v>3395</v>
      </c>
      <c r="C40" s="533"/>
      <c r="D40" s="532">
        <v>68169</v>
      </c>
      <c r="E40" s="75" t="str">
        <f>VLOOKUP(B40,Справочник!$A$2:$F$415,5,FALSE)</f>
        <v>прочие поступления</v>
      </c>
      <c r="F40" s="75" t="str">
        <f>VLOOKUP(B40,Справочник!$A$2:$F$415,6,FALSE)</f>
        <v>прочие выплаты</v>
      </c>
      <c r="H40" s="278" t="str">
        <f t="shared" si="1"/>
        <v xml:space="preserve"> "РЕСТ Ко"</v>
      </c>
      <c r="I40" s="531">
        <v>3200</v>
      </c>
      <c r="J40" s="532">
        <v>832411.87</v>
      </c>
      <c r="K40" s="532">
        <v>37703101.380000003</v>
      </c>
      <c r="L40" s="75">
        <f>VLOOKUP(I40,Справочник!$A$2:$F$415,5,FALSE)</f>
        <v>0</v>
      </c>
      <c r="M40" s="75">
        <f>VLOOKUP(I40,Справочник!$A$2:$F$415,6,FALSE)</f>
        <v>0</v>
      </c>
    </row>
    <row r="41" spans="1:13">
      <c r="A41" s="278" t="str">
        <f t="shared" si="0"/>
        <v xml:space="preserve"> "РЕСТ Ко"</v>
      </c>
      <c r="B41" s="531">
        <v>3397</v>
      </c>
      <c r="C41" s="532">
        <v>6250</v>
      </c>
      <c r="D41" s="532">
        <v>29857651</v>
      </c>
      <c r="E41" s="75" t="str">
        <f>VLOOKUP(B41,Справочник!$A$2:$F$415,5,FALSE)</f>
        <v>прочие поступления</v>
      </c>
      <c r="F41" s="75" t="str">
        <f>VLOOKUP(B41,Справочник!$A$2:$F$415,6,FALSE)</f>
        <v>прочие выплаты</v>
      </c>
      <c r="H41" s="278" t="str">
        <f t="shared" si="1"/>
        <v xml:space="preserve"> "РЕСТ Ко"</v>
      </c>
      <c r="I41" s="531">
        <v>3210</v>
      </c>
      <c r="J41" s="532">
        <v>295691.52000000002</v>
      </c>
      <c r="K41" s="532">
        <v>11578557.17</v>
      </c>
      <c r="L41" s="75" t="str">
        <f>VLOOKUP(I41,Справочник!$A$2:$F$415,5,FALSE)</f>
        <v>прочие поступления</v>
      </c>
      <c r="M41" s="75" t="str">
        <f>VLOOKUP(I41,Справочник!$A$2:$F$415,6,FALSE)</f>
        <v>прочие выплаты</v>
      </c>
    </row>
    <row r="42" spans="1:13">
      <c r="A42" s="278" t="str">
        <f t="shared" si="0"/>
        <v xml:space="preserve"> "РЕСТ Ко"</v>
      </c>
      <c r="B42" s="531">
        <v>3500</v>
      </c>
      <c r="C42" s="532">
        <v>205375573.27000001</v>
      </c>
      <c r="D42" s="532">
        <v>16407013.800000001</v>
      </c>
      <c r="E42" s="75">
        <f>VLOOKUP(B42,Справочник!$A$2:$F$415,5,FALSE)</f>
        <v>0</v>
      </c>
      <c r="F42" s="75">
        <f>VLOOKUP(B42,Справочник!$A$2:$F$415,6,FALSE)</f>
        <v>0</v>
      </c>
      <c r="H42" s="278" t="str">
        <f t="shared" si="1"/>
        <v xml:space="preserve"> "РЕСТ Ко"</v>
      </c>
      <c r="I42" s="531">
        <v>3220</v>
      </c>
      <c r="J42" s="532">
        <v>536720.35</v>
      </c>
      <c r="K42" s="532">
        <v>26124544.210000001</v>
      </c>
      <c r="L42" s="75" t="str">
        <f>VLOOKUP(I42,Справочник!$A$2:$F$415,5,FALSE)</f>
        <v>прочие поступления</v>
      </c>
      <c r="M42" s="75" t="str">
        <f>VLOOKUP(I42,Справочник!$A$2:$F$415,6,FALSE)</f>
        <v>прочие выплаты</v>
      </c>
    </row>
    <row r="43" spans="1:13">
      <c r="A43" s="278" t="str">
        <f t="shared" si="0"/>
        <v xml:space="preserve"> "РЕСТ Ко"</v>
      </c>
      <c r="B43" s="531">
        <v>3510</v>
      </c>
      <c r="C43" s="532">
        <v>205375573.27000001</v>
      </c>
      <c r="D43" s="532">
        <v>275093.8</v>
      </c>
      <c r="E43" s="75" t="str">
        <f>VLOOKUP(B43,Справочник!$A$2:$F$415,5,FALSE)</f>
        <v>авансы, полученные от покупателей, заказчиков</v>
      </c>
      <c r="F43" s="75" t="str">
        <f>VLOOKUP(B43,Справочник!$A$2:$F$415,6,FALSE)</f>
        <v>прочие выплаты</v>
      </c>
      <c r="H43" s="278" t="str">
        <f t="shared" si="1"/>
        <v xml:space="preserve"> "РЕСТ Ко"</v>
      </c>
      <c r="I43" s="531">
        <v>3300</v>
      </c>
      <c r="J43" s="532">
        <v>5303536.83</v>
      </c>
      <c r="K43" s="532">
        <v>1310993844.2099998</v>
      </c>
      <c r="L43" s="75">
        <f>VLOOKUP(I43,Справочник!$A$2:$F$415,5,FALSE)</f>
        <v>0</v>
      </c>
      <c r="M43" s="75">
        <f>VLOOKUP(I43,Справочник!$A$2:$F$415,6,FALSE)</f>
        <v>0</v>
      </c>
    </row>
    <row r="44" spans="1:13">
      <c r="A44" s="278" t="str">
        <f t="shared" si="0"/>
        <v xml:space="preserve"> "РЕСТ Ко"</v>
      </c>
      <c r="B44" s="531">
        <v>3540</v>
      </c>
      <c r="C44" s="533"/>
      <c r="D44" s="532">
        <v>16131920</v>
      </c>
      <c r="E44" s="75" t="str">
        <f>VLOOKUP(B44,Справочник!$A$2:$F$415,5,FALSE)</f>
        <v>авансы, полученные от покупателей, заказчиков</v>
      </c>
      <c r="F44" s="75" t="str">
        <f>VLOOKUP(B44,Справочник!$A$2:$F$415,6,FALSE)</f>
        <v>прочие выплаты</v>
      </c>
      <c r="H44" s="278" t="str">
        <f t="shared" si="1"/>
        <v xml:space="preserve"> "РЕСТ Ко"</v>
      </c>
      <c r="I44" s="531">
        <v>3310</v>
      </c>
      <c r="J44" s="532">
        <v>3538919.14</v>
      </c>
      <c r="K44" s="532">
        <v>1028253550.11</v>
      </c>
      <c r="L44" s="75" t="str">
        <f>VLOOKUP(I44,Справочник!$A$2:$F$415,5,FALSE)</f>
        <v>прочие поступления</v>
      </c>
      <c r="M44" s="75" t="str">
        <f>VLOOKUP(I44,Справочник!$A$2:$F$415,6,FALSE)</f>
        <v>платежи поставщикам за товары и услуги</v>
      </c>
    </row>
    <row r="45" spans="1:13">
      <c r="A45" s="278" t="str">
        <f t="shared" si="0"/>
        <v xml:space="preserve"> "РЕСТ Ко"</v>
      </c>
      <c r="B45" s="531">
        <v>6100</v>
      </c>
      <c r="C45" s="534">
        <v>285.31</v>
      </c>
      <c r="D45" s="533"/>
      <c r="E45" s="75">
        <f>VLOOKUP(B45,Справочник!$A$2:$F$415,5,FALSE)</f>
        <v>0</v>
      </c>
      <c r="F45" s="75">
        <f>VLOOKUP(B45,Справочник!$A$2:$F$415,6,FALSE)</f>
        <v>0</v>
      </c>
      <c r="H45" s="278" t="str">
        <f t="shared" si="1"/>
        <v xml:space="preserve"> "РЕСТ Ко"</v>
      </c>
      <c r="I45" s="531">
        <v>3350</v>
      </c>
      <c r="J45" s="532">
        <v>1740617.69</v>
      </c>
      <c r="K45" s="532">
        <v>232576992.5</v>
      </c>
      <c r="L45" s="75" t="str">
        <f>VLOOKUP(I45,Справочник!$A$2:$F$415,5,FALSE)</f>
        <v>прочие поступления</v>
      </c>
      <c r="M45" s="75" t="str">
        <f>VLOOKUP(I45,Справочник!$A$2:$F$415,6,FALSE)</f>
        <v>выплаты по оплате труда</v>
      </c>
    </row>
    <row r="46" spans="1:13">
      <c r="A46" s="278" t="str">
        <f t="shared" si="0"/>
        <v xml:space="preserve"> "РЕСТ Ко"</v>
      </c>
      <c r="B46" s="531">
        <v>6110</v>
      </c>
      <c r="C46" s="534">
        <v>285.31</v>
      </c>
      <c r="D46" s="533"/>
      <c r="E46" s="75"/>
      <c r="F46" s="75"/>
      <c r="H46" s="278" t="str">
        <f t="shared" si="1"/>
        <v xml:space="preserve"> "РЕСТ Ко"</v>
      </c>
      <c r="I46" s="531">
        <v>3360</v>
      </c>
      <c r="J46" s="532">
        <v>14000</v>
      </c>
      <c r="K46" s="532">
        <v>30028000</v>
      </c>
      <c r="L46" s="75" t="str">
        <f>VLOOKUP(I46,Справочник!$A$2:$F$415,5,FALSE)</f>
        <v>прочие поступления</v>
      </c>
      <c r="M46" s="75" t="str">
        <f>VLOOKUP(I46,Справочник!$A$2:$F$415,6,FALSE)</f>
        <v>платежи поставщикам за товары и услуги</v>
      </c>
    </row>
    <row r="47" spans="1:13">
      <c r="A47" s="278" t="str">
        <f t="shared" si="0"/>
        <v xml:space="preserve"> "РЕСТ Ко"</v>
      </c>
      <c r="B47" s="531">
        <v>7200</v>
      </c>
      <c r="C47" s="533"/>
      <c r="D47" s="532">
        <v>76002.25</v>
      </c>
      <c r="E47" s="75"/>
      <c r="F47" s="75"/>
      <c r="H47" s="278" t="str">
        <f t="shared" si="1"/>
        <v xml:space="preserve"> "РЕСТ Ко"</v>
      </c>
      <c r="I47" s="531">
        <v>3390</v>
      </c>
      <c r="J47" s="532">
        <v>10000</v>
      </c>
      <c r="K47" s="532">
        <v>20135301.600000001</v>
      </c>
      <c r="L47" s="75">
        <f>VLOOKUP(I47,Справочник!$A$2:$F$415,5,FALSE)</f>
        <v>0</v>
      </c>
      <c r="M47" s="75">
        <f>VLOOKUP(I47,Справочник!$A$2:$F$415,6,FALSE)</f>
        <v>0</v>
      </c>
    </row>
    <row r="48" spans="1:13">
      <c r="A48" s="278" t="str">
        <f t="shared" si="0"/>
        <v xml:space="preserve"> "РЕСТ Ко"</v>
      </c>
      <c r="B48" s="531">
        <v>7210</v>
      </c>
      <c r="C48" s="533"/>
      <c r="D48" s="532">
        <v>76002.25</v>
      </c>
      <c r="E48" s="75" t="str">
        <f>VLOOKUP(B48,Справочник!$A$2:$F$415,5,FALSE)</f>
        <v>прочие поступления</v>
      </c>
      <c r="F48" s="75" t="str">
        <f>VLOOKUP(B48,Справочник!$A$2:$F$415,6,FALSE)</f>
        <v>прочие выплаты</v>
      </c>
      <c r="H48" s="278" t="str">
        <f t="shared" si="1"/>
        <v xml:space="preserve"> "РЕСТ Ко"</v>
      </c>
      <c r="I48" s="531">
        <v>3392</v>
      </c>
      <c r="J48" s="533"/>
      <c r="K48" s="532">
        <v>148965</v>
      </c>
      <c r="L48" s="75" t="str">
        <f>VLOOKUP(I48,Справочник!$A$2:$F$415,5,FALSE)</f>
        <v>прочие поступления</v>
      </c>
      <c r="M48" s="75" t="str">
        <f>VLOOKUP(I48,Справочник!$A$2:$F$415,6,FALSE)</f>
        <v>прочие выплаты</v>
      </c>
    </row>
    <row r="49" spans="1:13">
      <c r="A49" s="278" t="str">
        <f t="shared" si="0"/>
        <v xml:space="preserve"> "РЕСТ Ко"</v>
      </c>
      <c r="B49" s="531">
        <v>7400</v>
      </c>
      <c r="C49" s="533"/>
      <c r="D49" s="532">
        <v>2191.1999999999998</v>
      </c>
      <c r="E49" s="75">
        <f>VLOOKUP(B49,Справочник!$A$2:$F$415,5,FALSE)</f>
        <v>0</v>
      </c>
      <c r="F49" s="75">
        <f>VLOOKUP(B49,Справочник!$A$2:$F$415,6,FALSE)</f>
        <v>0</v>
      </c>
      <c r="H49" s="278" t="str">
        <f t="shared" si="1"/>
        <v xml:space="preserve"> "РЕСТ Ко"</v>
      </c>
      <c r="I49" s="531">
        <v>3397</v>
      </c>
      <c r="J49" s="532">
        <v>10000</v>
      </c>
      <c r="K49" s="532">
        <v>19986336.600000001</v>
      </c>
      <c r="L49" s="75" t="str">
        <f>VLOOKUP(I49,Справочник!$A$2:$F$415,5,FALSE)</f>
        <v>прочие поступления</v>
      </c>
      <c r="M49" s="75" t="str">
        <f>VLOOKUP(I49,Справочник!$A$2:$F$415,6,FALSE)</f>
        <v>прочие выплаты</v>
      </c>
    </row>
    <row r="50" spans="1:13">
      <c r="A50" s="278" t="str">
        <f t="shared" si="0"/>
        <v xml:space="preserve"> "РЕСТ Ко"</v>
      </c>
      <c r="B50" s="531">
        <v>7430</v>
      </c>
      <c r="C50" s="533"/>
      <c r="D50" s="532">
        <v>2191.1999999999998</v>
      </c>
      <c r="E50" s="75" t="str">
        <f>VLOOKUP(B50,Справочник!$A$2:$F$415,5,FALSE)</f>
        <v>прочие поступления</v>
      </c>
      <c r="F50" s="75" t="str">
        <f>VLOOKUP(B50,Справочник!$A$2:$F$415,6,FALSE)</f>
        <v>прочие выплаты</v>
      </c>
      <c r="H50" s="278" t="str">
        <f t="shared" si="1"/>
        <v xml:space="preserve"> "РЕСТ Ко"</v>
      </c>
      <c r="I50" s="531">
        <v>3500</v>
      </c>
      <c r="J50" s="532">
        <v>177308628.33000001</v>
      </c>
      <c r="K50" s="532">
        <v>18108584.239999998</v>
      </c>
      <c r="L50" s="75">
        <f>VLOOKUP(I50,Справочник!$A$2:$F$415,5,FALSE)</f>
        <v>0</v>
      </c>
      <c r="M50" s="75">
        <f>VLOOKUP(I50,Справочник!$A$2:$F$415,6,FALSE)</f>
        <v>0</v>
      </c>
    </row>
    <row r="51" spans="1:13">
      <c r="A51" s="278" t="str">
        <f t="shared" si="0"/>
        <v xml:space="preserve"> "РЕСТ Ко"</v>
      </c>
      <c r="B51" s="535" t="s">
        <v>608</v>
      </c>
      <c r="C51" s="536">
        <v>3884097016.8000002</v>
      </c>
      <c r="D51" s="536">
        <v>4101767052.8800001</v>
      </c>
      <c r="E51" s="75" t="e">
        <f>VLOOKUP(B51,Справочник!$A$2:$F$415,5,FALSE)</f>
        <v>#N/A</v>
      </c>
      <c r="F51" s="75" t="e">
        <f>VLOOKUP(B51,Справочник!$A$2:$F$415,6,FALSE)</f>
        <v>#N/A</v>
      </c>
      <c r="H51" s="278" t="str">
        <f t="shared" si="1"/>
        <v xml:space="preserve"> "РЕСТ Ко"</v>
      </c>
      <c r="I51" s="531">
        <v>3510</v>
      </c>
      <c r="J51" s="532">
        <v>177308628.33000001</v>
      </c>
      <c r="K51" s="532">
        <v>405950</v>
      </c>
      <c r="L51" s="75" t="str">
        <f>VLOOKUP(I51,Справочник!$A$2:$F$415,5,FALSE)</f>
        <v>авансы, полученные от покупателей, заказчиков</v>
      </c>
      <c r="M51" s="75" t="str">
        <f>VLOOKUP(I51,Справочник!$A$2:$F$415,6,FALSE)</f>
        <v>прочие выплаты</v>
      </c>
    </row>
    <row r="52" spans="1:13" ht="24">
      <c r="A52" s="278" t="str">
        <f t="shared" si="0"/>
        <v xml:space="preserve"> "РЕСТ Ко"</v>
      </c>
      <c r="B52" s="459" t="s">
        <v>698</v>
      </c>
      <c r="C52" s="536">
        <v>15851990.34</v>
      </c>
      <c r="D52" s="443"/>
      <c r="E52" s="75" t="e">
        <f>VLOOKUP(B52,Справочник!$A$2:$F$415,5,FALSE)</f>
        <v>#N/A</v>
      </c>
      <c r="F52" s="75" t="e">
        <f>VLOOKUP(B52,Справочник!$A$2:$F$415,6,FALSE)</f>
        <v>#N/A</v>
      </c>
      <c r="H52" s="278" t="str">
        <f t="shared" si="1"/>
        <v xml:space="preserve"> "РЕСТ Ко"</v>
      </c>
      <c r="I52" s="531">
        <v>3540</v>
      </c>
      <c r="J52" s="533"/>
      <c r="K52" s="532">
        <v>17702634.239999998</v>
      </c>
      <c r="L52" s="75" t="str">
        <f>VLOOKUP(I52,Справочник!$A$2:$F$415,5,FALSE)</f>
        <v>авансы, полученные от покупателей, заказчиков</v>
      </c>
      <c r="M52" s="75" t="str">
        <f>VLOOKUP(I52,Справочник!$A$2:$F$415,6,FALSE)</f>
        <v>прочие выплаты</v>
      </c>
    </row>
    <row r="53" spans="1:13">
      <c r="A53" s="278" t="str">
        <f t="shared" si="0"/>
        <v xml:space="preserve"> "РЕСТ Ко"</v>
      </c>
      <c r="B53" s="488"/>
      <c r="C53" s="444"/>
      <c r="D53" s="443"/>
      <c r="E53" s="75">
        <f>VLOOKUP(B53,Справочник!$A$2:$F$415,5,FALSE)</f>
        <v>0</v>
      </c>
      <c r="F53" s="75">
        <f>VLOOKUP(B53,Справочник!$A$2:$F$415,6,FALSE)</f>
        <v>0</v>
      </c>
      <c r="H53" s="278" t="str">
        <f t="shared" si="1"/>
        <v xml:space="preserve"> "РЕСТ Ко"</v>
      </c>
      <c r="I53" s="531">
        <v>5000</v>
      </c>
      <c r="J53" s="532">
        <v>192200000</v>
      </c>
      <c r="K53" s="533"/>
      <c r="L53" s="75">
        <f>VLOOKUP(I53,Справочник!$A$2:$F$415,5,FALSE)</f>
        <v>0</v>
      </c>
      <c r="M53" s="75">
        <f>VLOOKUP(I53,Справочник!$A$2:$F$415,6,FALSE)</f>
        <v>0</v>
      </c>
    </row>
    <row r="54" spans="1:13">
      <c r="A54" s="278" t="str">
        <f t="shared" si="0"/>
        <v xml:space="preserve"> "РЕСТ Ко"</v>
      </c>
      <c r="B54" s="488"/>
      <c r="C54" s="444"/>
      <c r="D54" s="443"/>
      <c r="E54" s="75">
        <f>VLOOKUP(B54,Справочник!$A$2:$F$415,5,FALSE)</f>
        <v>0</v>
      </c>
      <c r="F54" s="75">
        <f>VLOOKUP(B54,Справочник!$A$2:$F$415,6,FALSE)</f>
        <v>0</v>
      </c>
      <c r="H54" s="278" t="str">
        <f t="shared" si="1"/>
        <v xml:space="preserve"> "РЕСТ Ко"</v>
      </c>
      <c r="I54" s="531">
        <v>5030</v>
      </c>
      <c r="J54" s="532">
        <v>192200000</v>
      </c>
      <c r="K54" s="533"/>
      <c r="L54" s="75" t="str">
        <f>VLOOKUP(I54,Справочник!$A$2:$F$415,5,FALSE)</f>
        <v>эмиссия акций и других финансовых инструментов</v>
      </c>
      <c r="M54" s="75" t="str">
        <f>VLOOKUP(I54,Справочник!$A$2:$F$415,6,FALSE)</f>
        <v>выплаты собственникам по акциям организации</v>
      </c>
    </row>
    <row r="55" spans="1:13">
      <c r="A55" s="278" t="str">
        <f t="shared" si="0"/>
        <v xml:space="preserve"> "РЕСТ Ко"</v>
      </c>
      <c r="B55" s="488"/>
      <c r="C55" s="444"/>
      <c r="D55" s="443"/>
      <c r="E55" s="75">
        <f>VLOOKUP(B55,Справочник!$A$2:$F$415,5,FALSE)</f>
        <v>0</v>
      </c>
      <c r="F55" s="75">
        <f>VLOOKUP(B55,Справочник!$A$2:$F$415,6,FALSE)</f>
        <v>0</v>
      </c>
      <c r="H55" s="278" t="str">
        <f t="shared" si="1"/>
        <v xml:space="preserve"> "РЕСТ Ко"</v>
      </c>
      <c r="I55" s="531">
        <v>6100</v>
      </c>
      <c r="J55" s="532">
        <v>4241.29</v>
      </c>
      <c r="K55" s="533"/>
      <c r="L55" s="75">
        <f>VLOOKUP(I55,Справочник!$A$2:$F$415,5,FALSE)</f>
        <v>0</v>
      </c>
      <c r="M55" s="75">
        <f>VLOOKUP(I55,Справочник!$A$2:$F$415,6,FALSE)</f>
        <v>0</v>
      </c>
    </row>
    <row r="56" spans="1:13">
      <c r="A56" s="278" t="str">
        <f t="shared" si="0"/>
        <v xml:space="preserve"> "РЕСТ Ко"</v>
      </c>
      <c r="B56" s="459"/>
      <c r="C56" s="490"/>
      <c r="D56" s="490"/>
      <c r="E56" s="75">
        <f>VLOOKUP(B56,Справочник!$A$2:$F$415,5,FALSE)</f>
        <v>0</v>
      </c>
      <c r="F56" s="75">
        <f>VLOOKUP(B56,Справочник!$A$2:$F$415,6,FALSE)</f>
        <v>0</v>
      </c>
      <c r="H56" s="278" t="str">
        <f t="shared" si="1"/>
        <v xml:space="preserve"> "РЕСТ Ко"</v>
      </c>
      <c r="I56" s="531">
        <v>6110</v>
      </c>
      <c r="J56" s="532">
        <v>4241.29</v>
      </c>
      <c r="K56" s="533"/>
      <c r="L56" s="75" t="str">
        <f>VLOOKUP(I56,Справочник!$A$2:$F$415,5,FALSE)</f>
        <v>полученные вознаграждения (финанс)</v>
      </c>
      <c r="M56" s="75">
        <f>VLOOKUP(I56,Справочник!$A$2:$F$415,6,FALSE)</f>
        <v>0</v>
      </c>
    </row>
    <row r="57" spans="1:13">
      <c r="A57" s="278" t="str">
        <f t="shared" si="0"/>
        <v xml:space="preserve"> "РЕСТ Ко"</v>
      </c>
      <c r="B57" s="459"/>
      <c r="C57" s="490"/>
      <c r="D57" s="409"/>
      <c r="E57" s="75">
        <f>VLOOKUP(B57,Справочник!$A$2:$F$415,5,FALSE)</f>
        <v>0</v>
      </c>
      <c r="F57" s="75">
        <f>VLOOKUP(B57,Справочник!$A$2:$F$415,6,FALSE)</f>
        <v>0</v>
      </c>
      <c r="H57" s="278" t="str">
        <f t="shared" si="1"/>
        <v xml:space="preserve"> "РЕСТ Ко"</v>
      </c>
      <c r="I57" s="531">
        <v>6200</v>
      </c>
      <c r="J57" s="532">
        <v>3108.41</v>
      </c>
      <c r="K57" s="534">
        <v>726.23</v>
      </c>
      <c r="L57" s="75">
        <f>VLOOKUP(I57,Справочник!$A$2:$F$415,5,FALSE)</f>
        <v>0</v>
      </c>
      <c r="M57" s="75">
        <f>VLOOKUP(I57,Справочник!$A$2:$F$415,6,FALSE)</f>
        <v>0</v>
      </c>
    </row>
    <row r="58" spans="1:13">
      <c r="A58" s="278" t="str">
        <f t="shared" si="0"/>
        <v xml:space="preserve"> "РЕСТ Ко"</v>
      </c>
      <c r="B58" s="406"/>
      <c r="C58" s="407"/>
      <c r="D58" s="409"/>
      <c r="E58" s="75">
        <f>VLOOKUP(B58,Справочник!$A$2:$F$415,5,FALSE)</f>
        <v>0</v>
      </c>
      <c r="F58" s="75">
        <f>VLOOKUP(B58,Справочник!$A$2:$F$415,6,FALSE)</f>
        <v>0</v>
      </c>
      <c r="H58" s="278" t="str">
        <f t="shared" si="1"/>
        <v xml:space="preserve"> "РЕСТ Ко"</v>
      </c>
      <c r="I58" s="531">
        <v>6250</v>
      </c>
      <c r="J58" s="532">
        <v>3108.41</v>
      </c>
      <c r="K58" s="534">
        <v>726.23</v>
      </c>
      <c r="L58" s="75" t="str">
        <f>VLOOKUP(I58,Справочник!$A$2:$F$415,5,FALSE)</f>
        <v>прочие поступления</v>
      </c>
      <c r="M58" s="75" t="str">
        <f>VLOOKUP(I58,Справочник!$A$2:$F$415,6,FALSE)</f>
        <v>прочие выплаты</v>
      </c>
    </row>
    <row r="59" spans="1:13">
      <c r="A59" s="278" t="str">
        <f t="shared" si="0"/>
        <v xml:space="preserve"> "РЕСТ Ко"</v>
      </c>
      <c r="B59" s="406"/>
      <c r="C59" s="408"/>
      <c r="D59" s="407"/>
      <c r="E59" s="75">
        <f>VLOOKUP(B59,Справочник!$A$2:$F$415,5,FALSE)</f>
        <v>0</v>
      </c>
      <c r="F59" s="75">
        <f>VLOOKUP(B59,Справочник!$A$2:$F$415,6,FALSE)</f>
        <v>0</v>
      </c>
      <c r="H59" s="278" t="str">
        <f t="shared" si="1"/>
        <v xml:space="preserve"> "РЕСТ Ко"</v>
      </c>
      <c r="I59" s="531">
        <v>7200</v>
      </c>
      <c r="J59" s="533"/>
      <c r="K59" s="532">
        <v>989904.14</v>
      </c>
      <c r="L59" s="75">
        <f>VLOOKUP(I59,Справочник!$A$2:$F$415,5,FALSE)</f>
        <v>0</v>
      </c>
      <c r="M59" s="75">
        <f>VLOOKUP(I59,Справочник!$A$2:$F$415,6,FALSE)</f>
        <v>0</v>
      </c>
    </row>
    <row r="60" spans="1:13">
      <c r="A60" s="278" t="str">
        <f t="shared" si="0"/>
        <v xml:space="preserve"> "РЕСТ Ко"</v>
      </c>
      <c r="B60" s="406"/>
      <c r="C60" s="408"/>
      <c r="D60" s="407"/>
      <c r="E60" s="75">
        <f>VLOOKUP(B60,Справочник!$A$2:$F$415,5,FALSE)</f>
        <v>0</v>
      </c>
      <c r="F60" s="75">
        <f>VLOOKUP(B60,Справочник!$A$2:$F$415,6,FALSE)</f>
        <v>0</v>
      </c>
      <c r="H60" s="278" t="str">
        <f t="shared" si="1"/>
        <v xml:space="preserve"> "РЕСТ Ко"</v>
      </c>
      <c r="I60" s="531">
        <v>7210</v>
      </c>
      <c r="J60" s="533"/>
      <c r="K60" s="532">
        <v>989904.14</v>
      </c>
      <c r="L60" s="75" t="str">
        <f>VLOOKUP(I60,Справочник!$A$2:$F$415,5,FALSE)</f>
        <v>прочие поступления</v>
      </c>
      <c r="M60" s="75" t="str">
        <f>VLOOKUP(I60,Справочник!$A$2:$F$415,6,FALSE)</f>
        <v>прочие выплаты</v>
      </c>
    </row>
    <row r="61" spans="1:13">
      <c r="A61" s="278" t="str">
        <f t="shared" si="0"/>
        <v xml:space="preserve"> "РЕСТ Ко"</v>
      </c>
      <c r="B61" s="406"/>
      <c r="C61" s="408"/>
      <c r="D61" s="407"/>
      <c r="E61" s="75">
        <f>VLOOKUP(B61,Справочник!$A$2:$F$415,5,FALSE)</f>
        <v>0</v>
      </c>
      <c r="F61" s="75">
        <f>VLOOKUP(B61,Справочник!$A$2:$F$415,6,FALSE)</f>
        <v>0</v>
      </c>
      <c r="H61" s="278" t="str">
        <f t="shared" si="1"/>
        <v xml:space="preserve"> "РЕСТ Ко"</v>
      </c>
      <c r="I61" s="531">
        <v>7400</v>
      </c>
      <c r="J61" s="533"/>
      <c r="K61" s="532">
        <v>12446.75</v>
      </c>
      <c r="L61" s="75">
        <f>VLOOKUP(I61,Справочник!$A$2:$F$415,5,FALSE)</f>
        <v>0</v>
      </c>
      <c r="M61" s="75">
        <f>VLOOKUP(I61,Справочник!$A$2:$F$415,6,FALSE)</f>
        <v>0</v>
      </c>
    </row>
    <row r="62" spans="1:13">
      <c r="A62" s="278" t="str">
        <f t="shared" si="0"/>
        <v xml:space="preserve"> "РЕСТ Ко"</v>
      </c>
      <c r="B62" s="406"/>
      <c r="C62" s="408"/>
      <c r="D62" s="407"/>
      <c r="E62" s="75">
        <f>VLOOKUP(B62,Справочник!$A$2:$F$415,5,FALSE)</f>
        <v>0</v>
      </c>
      <c r="F62" s="75">
        <f>VLOOKUP(B62,Справочник!$A$2:$F$415,6,FALSE)</f>
        <v>0</v>
      </c>
      <c r="H62" s="278" t="str">
        <f t="shared" si="1"/>
        <v xml:space="preserve"> "РЕСТ Ко"</v>
      </c>
      <c r="I62" s="531">
        <v>7430</v>
      </c>
      <c r="J62" s="533"/>
      <c r="K62" s="532">
        <v>12446.75</v>
      </c>
      <c r="L62" s="75" t="str">
        <f>VLOOKUP(I62,Справочник!$A$2:$F$415,5,FALSE)</f>
        <v>прочие поступления</v>
      </c>
      <c r="M62" s="75" t="str">
        <f>VLOOKUP(I62,Справочник!$A$2:$F$415,6,FALSE)</f>
        <v>прочие выплаты</v>
      </c>
    </row>
    <row r="63" spans="1:13">
      <c r="A63" s="278" t="str">
        <f t="shared" si="0"/>
        <v xml:space="preserve"> "РЕСТ Ко"</v>
      </c>
      <c r="B63" s="403"/>
      <c r="C63" s="404"/>
      <c r="D63" s="404"/>
      <c r="E63" s="75"/>
      <c r="F63" s="75"/>
      <c r="H63" s="278" t="str">
        <f t="shared" si="1"/>
        <v xml:space="preserve"> "РЕСТ Ко"</v>
      </c>
      <c r="I63" s="535" t="s">
        <v>608</v>
      </c>
      <c r="J63" s="536">
        <v>5410565990.7200003</v>
      </c>
      <c r="K63" s="536">
        <v>5190695036.3000002</v>
      </c>
      <c r="L63" s="75" t="e">
        <f>VLOOKUP(I63,Справочник!$A$2:$F$415,5,FALSE)</f>
        <v>#N/A</v>
      </c>
      <c r="M63" s="75" t="e">
        <f>VLOOKUP(I63,Справочник!$A$2:$F$415,6,FALSE)</f>
        <v>#N/A</v>
      </c>
    </row>
    <row r="64" spans="1:13" ht="24">
      <c r="A64" s="278" t="str">
        <f t="shared" si="0"/>
        <v xml:space="preserve"> "РЕСТ Ко"</v>
      </c>
      <c r="B64" s="403"/>
      <c r="C64" s="404"/>
      <c r="D64" s="405"/>
      <c r="E64" s="75"/>
      <c r="F64" s="75"/>
      <c r="H64" s="278" t="str">
        <f t="shared" si="1"/>
        <v xml:space="preserve"> "РЕСТ Ко"</v>
      </c>
      <c r="I64" s="459" t="s">
        <v>698</v>
      </c>
      <c r="J64" s="536">
        <v>233522026.41999999</v>
      </c>
      <c r="K64" s="405"/>
      <c r="L64" s="75" t="e">
        <f>VLOOKUP(I64,Справочник!$A$2:$F$415,5,FALSE)</f>
        <v>#N/A</v>
      </c>
      <c r="M64" s="75" t="e">
        <f>VLOOKUP(I64,Справочник!$A$2:$F$415,6,FALSE)</f>
        <v>#N/A</v>
      </c>
    </row>
    <row r="65" spans="1:13">
      <c r="A65" s="278" t="str">
        <f t="shared" si="0"/>
        <v xml:space="preserve"> "РЕСТ Ко"</v>
      </c>
      <c r="B65" s="381"/>
      <c r="C65" s="382"/>
      <c r="D65" s="382"/>
      <c r="E65" s="75">
        <f>VLOOKUP(B65,Справочник!$A$2:$F$415,5,FALSE)</f>
        <v>0</v>
      </c>
      <c r="F65" s="75">
        <f>VLOOKUP(B65,Справочник!$A$2:$F$415,6,FALSE)</f>
        <v>0</v>
      </c>
      <c r="H65" s="278" t="str">
        <f t="shared" si="1"/>
        <v xml:space="preserve"> "РЕСТ Ко"</v>
      </c>
      <c r="I65" s="381"/>
      <c r="J65" s="382"/>
      <c r="K65" s="383"/>
      <c r="L65" s="75">
        <f>VLOOKUP(I65,Справочник!$A$2:$F$415,5,FALSE)</f>
        <v>0</v>
      </c>
      <c r="M65" s="75">
        <f>VLOOKUP(I65,Справочник!$A$2:$F$415,6,FALSE)</f>
        <v>0</v>
      </c>
    </row>
    <row r="66" spans="1:13">
      <c r="A66" s="278" t="str">
        <f t="shared" si="0"/>
        <v xml:space="preserve"> "РЕСТ Ко"</v>
      </c>
      <c r="B66" s="381"/>
      <c r="C66" s="382"/>
      <c r="D66" s="383"/>
      <c r="E66" s="75">
        <f>VLOOKUP(B66,Справочник!$A$2:$F$415,5,FALSE)</f>
        <v>0</v>
      </c>
      <c r="F66" s="75">
        <f>VLOOKUP(B66,Справочник!$A$2:$F$415,6,FALSE)</f>
        <v>0</v>
      </c>
      <c r="H66" s="278" t="str">
        <f t="shared" si="1"/>
        <v xml:space="preserve"> "РЕСТ Ко"</v>
      </c>
      <c r="I66" s="381"/>
      <c r="J66" s="382"/>
      <c r="K66" s="383"/>
      <c r="L66" s="75">
        <f>VLOOKUP(I66,Справочник!$A$2:$F$415,5,FALSE)</f>
        <v>0</v>
      </c>
      <c r="M66" s="75">
        <f>VLOOKUP(I66,Справочник!$A$2:$F$415,6,FALSE)</f>
        <v>0</v>
      </c>
    </row>
    <row r="67" spans="1:13">
      <c r="A67" s="278" t="str">
        <f t="shared" si="0"/>
        <v xml:space="preserve"> "РЕСТ Ко"</v>
      </c>
      <c r="B67" s="381"/>
      <c r="C67" s="382"/>
      <c r="D67" s="383"/>
      <c r="E67" s="75">
        <f>VLOOKUP(B67,Справочник!$A$2:$F$415,5,FALSE)</f>
        <v>0</v>
      </c>
      <c r="F67" s="75">
        <f>VLOOKUP(B67,Справочник!$A$2:$F$415,6,FALSE)</f>
        <v>0</v>
      </c>
      <c r="H67" s="278" t="str">
        <f t="shared" si="1"/>
        <v xml:space="preserve"> "РЕСТ Ко"</v>
      </c>
      <c r="I67" s="381"/>
      <c r="J67" s="384"/>
      <c r="K67" s="383"/>
      <c r="L67" s="75">
        <f>VLOOKUP(I67,Справочник!$A$2:$F$415,5,FALSE)</f>
        <v>0</v>
      </c>
      <c r="M67" s="75">
        <f>VLOOKUP(I67,Справочник!$A$2:$F$415,6,FALSE)</f>
        <v>0</v>
      </c>
    </row>
    <row r="68" spans="1:13">
      <c r="A68" s="278" t="str">
        <f t="shared" si="0"/>
        <v xml:space="preserve"> "РЕСТ Ко"</v>
      </c>
      <c r="B68" s="381"/>
      <c r="C68" s="382"/>
      <c r="D68" s="383"/>
      <c r="E68" s="75">
        <f>VLOOKUP(B68,Справочник!$A$2:$F$415,5,FALSE)</f>
        <v>0</v>
      </c>
      <c r="F68" s="75">
        <f>VLOOKUP(B68,Справочник!$A$2:$F$415,6,FALSE)</f>
        <v>0</v>
      </c>
      <c r="H68" s="278" t="str">
        <f t="shared" si="1"/>
        <v xml:space="preserve"> "РЕСТ Ко"</v>
      </c>
      <c r="I68" s="381"/>
      <c r="J68" s="383"/>
      <c r="K68" s="382"/>
      <c r="L68" s="75">
        <f>VLOOKUP(I68,Справочник!$A$2:$F$415,5,FALSE)</f>
        <v>0</v>
      </c>
      <c r="M68" s="75">
        <f>VLOOKUP(I68,Справочник!$A$2:$F$415,6,FALSE)</f>
        <v>0</v>
      </c>
    </row>
    <row r="69" spans="1:13">
      <c r="A69" s="278" t="str">
        <f t="shared" si="0"/>
        <v xml:space="preserve"> "РЕСТ Ко"</v>
      </c>
      <c r="B69" s="381"/>
      <c r="C69" s="382"/>
      <c r="D69" s="383"/>
      <c r="E69" s="75">
        <f>VLOOKUP(B69,Справочник!$A$2:$F$415,5,FALSE)</f>
        <v>0</v>
      </c>
      <c r="F69" s="75">
        <f>VLOOKUP(B69,Справочник!$A$2:$F$415,6,FALSE)</f>
        <v>0</v>
      </c>
      <c r="H69" s="278" t="str">
        <f t="shared" si="1"/>
        <v xml:space="preserve"> "РЕСТ Ко"</v>
      </c>
      <c r="I69" s="381"/>
      <c r="J69" s="383"/>
      <c r="K69" s="382"/>
      <c r="L69" s="75">
        <f>VLOOKUP(I69,Справочник!$A$2:$F$415,5,FALSE)</f>
        <v>0</v>
      </c>
      <c r="M69" s="75">
        <f>VLOOKUP(I69,Справочник!$A$2:$F$415,6,FALSE)</f>
        <v>0</v>
      </c>
    </row>
    <row r="70" spans="1:13">
      <c r="A70" s="278" t="str">
        <f t="shared" si="0"/>
        <v xml:space="preserve"> "РЕСТ Ко"</v>
      </c>
      <c r="B70" s="381"/>
      <c r="C70" s="382"/>
      <c r="D70" s="384"/>
      <c r="E70" s="75">
        <f>VLOOKUP(B70,Справочник!$A$2:$F$415,5,FALSE)</f>
        <v>0</v>
      </c>
      <c r="F70" s="75">
        <f>VLOOKUP(B70,Справочник!$A$2:$F$415,6,FALSE)</f>
        <v>0</v>
      </c>
      <c r="H70" s="278" t="str">
        <f t="shared" si="1"/>
        <v xml:space="preserve"> "РЕСТ Ко"</v>
      </c>
      <c r="I70" s="381"/>
      <c r="J70" s="383"/>
      <c r="K70" s="382"/>
      <c r="L70" s="75">
        <f>VLOOKUP(I70,Справочник!$A$2:$F$415,5,FALSE)</f>
        <v>0</v>
      </c>
      <c r="M70" s="75">
        <f>VLOOKUP(I70,Справочник!$A$2:$F$415,6,FALSE)</f>
        <v>0</v>
      </c>
    </row>
    <row r="71" spans="1:13">
      <c r="A71" s="278" t="str">
        <f t="shared" si="0"/>
        <v xml:space="preserve"> "РЕСТ Ко"</v>
      </c>
      <c r="B71" s="381"/>
      <c r="C71" s="382"/>
      <c r="D71" s="384"/>
      <c r="E71" s="75">
        <f>VLOOKUP(B71,Справочник!$A$2:$F$415,5,FALSE)</f>
        <v>0</v>
      </c>
      <c r="F71" s="75">
        <f>VLOOKUP(B71,Справочник!$A$2:$F$415,6,FALSE)</f>
        <v>0</v>
      </c>
      <c r="H71" s="278" t="str">
        <f t="shared" si="1"/>
        <v xml:space="preserve"> "РЕСТ Ко"</v>
      </c>
      <c r="I71" s="381"/>
      <c r="J71" s="383"/>
      <c r="K71" s="382"/>
      <c r="L71" s="75">
        <f>VLOOKUP(I71,Справочник!$A$2:$F$415,5,FALSE)</f>
        <v>0</v>
      </c>
      <c r="M71" s="75">
        <f>VLOOKUP(I71,Справочник!$A$2:$F$415,6,FALSE)</f>
        <v>0</v>
      </c>
    </row>
    <row r="72" spans="1:13">
      <c r="A72" s="278" t="str">
        <f t="shared" si="0"/>
        <v xml:space="preserve"> "РЕСТ Ко"</v>
      </c>
      <c r="B72" s="381"/>
      <c r="C72" s="382"/>
      <c r="D72" s="383"/>
      <c r="E72" s="75">
        <f>VLOOKUP(B72,Справочник!$A$2:$F$415,5,FALSE)</f>
        <v>0</v>
      </c>
      <c r="F72" s="75">
        <f>VLOOKUP(B72,Справочник!$A$2:$F$415,6,FALSE)</f>
        <v>0</v>
      </c>
      <c r="H72" s="278" t="str">
        <f t="shared" si="1"/>
        <v xml:space="preserve"> "РЕСТ Ко"</v>
      </c>
      <c r="I72" s="381"/>
      <c r="J72" s="383"/>
      <c r="K72" s="382"/>
      <c r="L72" s="75">
        <f>VLOOKUP(I72,Справочник!$A$2:$F$415,5,FALSE)</f>
        <v>0</v>
      </c>
      <c r="M72" s="75">
        <f>VLOOKUP(I72,Справочник!$A$2:$F$415,6,FALSE)</f>
        <v>0</v>
      </c>
    </row>
    <row r="73" spans="1:13">
      <c r="A73" s="278" t="str">
        <f t="shared" si="0"/>
        <v xml:space="preserve"> "РЕСТ Ко"</v>
      </c>
      <c r="B73" s="381"/>
      <c r="C73" s="383"/>
      <c r="D73" s="382"/>
      <c r="E73" s="75">
        <f>VLOOKUP(B73,Справочник!$A$2:$F$415,5,FALSE)</f>
        <v>0</v>
      </c>
      <c r="F73" s="75">
        <f>VLOOKUP(B73,Справочник!$A$2:$F$415,6,FALSE)</f>
        <v>0</v>
      </c>
      <c r="H73" s="278" t="str">
        <f t="shared" si="1"/>
        <v xml:space="preserve"> "РЕСТ Ко"</v>
      </c>
      <c r="I73" s="279"/>
      <c r="J73" s="280"/>
      <c r="K73" s="239"/>
      <c r="L73" s="75">
        <f>VLOOKUP(I73,Справочник!$A$2:$F$415,5,FALSE)</f>
        <v>0</v>
      </c>
      <c r="M73" s="75">
        <f>VLOOKUP(I73,Справочник!$A$2:$F$415,6,FALSE)</f>
        <v>0</v>
      </c>
    </row>
    <row r="74" spans="1:13">
      <c r="A74" s="278" t="str">
        <f t="shared" ref="A74:A77" si="2">A73</f>
        <v xml:space="preserve"> "РЕСТ Ко"</v>
      </c>
      <c r="B74" s="381"/>
      <c r="C74" s="383"/>
      <c r="D74" s="382"/>
      <c r="E74" s="75">
        <f>VLOOKUP(B74,Справочник!$A$2:$F$415,5,FALSE)</f>
        <v>0</v>
      </c>
      <c r="F74" s="75">
        <f>VLOOKUP(B74,Справочник!$A$2:$F$415,6,FALSE)</f>
        <v>0</v>
      </c>
      <c r="H74" s="278" t="str">
        <f t="shared" ref="H74:H77" si="3">H73</f>
        <v xml:space="preserve"> "РЕСТ Ко"</v>
      </c>
      <c r="I74" s="279"/>
      <c r="J74" s="238"/>
      <c r="K74" s="239"/>
      <c r="L74" s="75">
        <f>VLOOKUP(I74,Справочник!$A$2:$F$415,5,FALSE)</f>
        <v>0</v>
      </c>
      <c r="M74" s="75">
        <f>VLOOKUP(I74,Справочник!$A$2:$F$415,6,FALSE)</f>
        <v>0</v>
      </c>
    </row>
    <row r="75" spans="1:13">
      <c r="A75" s="278" t="str">
        <f t="shared" si="2"/>
        <v xml:space="preserve"> "РЕСТ Ко"</v>
      </c>
      <c r="B75" s="381"/>
      <c r="C75" s="383"/>
      <c r="D75" s="382"/>
      <c r="E75" s="75">
        <f>VLOOKUP(B75,Справочник!$A$2:$F$415,5,FALSE)</f>
        <v>0</v>
      </c>
      <c r="F75" s="75">
        <f>VLOOKUP(B75,Справочник!$A$2:$F$415,6,FALSE)</f>
        <v>0</v>
      </c>
      <c r="H75" s="278" t="str">
        <f t="shared" si="3"/>
        <v xml:space="preserve"> "РЕСТ Ко"</v>
      </c>
      <c r="I75" s="279"/>
      <c r="J75" s="238"/>
      <c r="K75" s="281"/>
      <c r="L75" s="75">
        <f>VLOOKUP(I75,Справочник!$A$2:$F$415,5,FALSE)</f>
        <v>0</v>
      </c>
      <c r="M75" s="75">
        <f>VLOOKUP(I75,Справочник!$A$2:$F$415,6,FALSE)</f>
        <v>0</v>
      </c>
    </row>
    <row r="76" spans="1:13">
      <c r="A76" s="278" t="str">
        <f t="shared" si="2"/>
        <v xml:space="preserve"> "РЕСТ Ко"</v>
      </c>
      <c r="B76" s="381"/>
      <c r="C76" s="383"/>
      <c r="D76" s="382"/>
      <c r="E76" s="75">
        <f>VLOOKUP(B76,Справочник!$A$2:$F$415,5,FALSE)</f>
        <v>0</v>
      </c>
      <c r="F76" s="75">
        <f>VLOOKUP(B76,Справочник!$A$2:$F$415,6,FALSE)</f>
        <v>0</v>
      </c>
      <c r="H76" s="278" t="str">
        <f t="shared" si="3"/>
        <v xml:space="preserve"> "РЕСТ Ко"</v>
      </c>
      <c r="I76" s="279"/>
      <c r="J76" s="280"/>
      <c r="K76" s="239"/>
      <c r="L76" s="75">
        <f>VLOOKUP(I76,Справочник!$A$2:$F$415,5,FALSE)</f>
        <v>0</v>
      </c>
      <c r="M76" s="75">
        <f>VLOOKUP(I76,Справочник!$A$2:$F$415,6,FALSE)</f>
        <v>0</v>
      </c>
    </row>
    <row r="77" spans="1:13" ht="15.75" thickBot="1">
      <c r="A77" s="278" t="str">
        <f t="shared" si="2"/>
        <v xml:space="preserve"> "РЕСТ Ко"</v>
      </c>
      <c r="B77" s="381"/>
      <c r="C77" s="383"/>
      <c r="D77" s="382"/>
      <c r="E77" s="75">
        <f>VLOOKUP(B77,Справочник!$A$2:$F$415,5,FALSE)</f>
        <v>0</v>
      </c>
      <c r="F77" s="75">
        <f>VLOOKUP(B77,Справочник!$A$2:$F$415,6,FALSE)</f>
        <v>0</v>
      </c>
      <c r="H77" s="278" t="str">
        <f t="shared" si="3"/>
        <v xml:space="preserve"> "РЕСТ Ко"</v>
      </c>
      <c r="I77" s="279"/>
      <c r="J77" s="280"/>
      <c r="K77" s="239"/>
      <c r="L77" s="75">
        <f>VLOOKUP(I77,Справочник!$A$2:$F$415,5,FALSE)</f>
        <v>0</v>
      </c>
      <c r="M77" s="75">
        <f>VLOOKUP(I77,Справочник!$A$2:$F$415,6,FALSE)</f>
        <v>0</v>
      </c>
    </row>
    <row r="78" spans="1:13">
      <c r="A78" s="282" t="s">
        <v>696</v>
      </c>
      <c r="B78" s="283"/>
      <c r="C78" s="385"/>
      <c r="D78" s="385"/>
      <c r="E78" s="75"/>
      <c r="F78" s="75"/>
      <c r="H78" s="282" t="s">
        <v>696</v>
      </c>
      <c r="I78" s="283"/>
      <c r="J78" s="385"/>
      <c r="K78" s="385"/>
      <c r="L78" s="75"/>
      <c r="M78" s="75"/>
    </row>
    <row r="79" spans="1:13" ht="15.75" thickBot="1">
      <c r="A79" s="284"/>
      <c r="B79" s="285"/>
      <c r="C79" s="385"/>
      <c r="D79" s="386"/>
      <c r="H79" s="284"/>
      <c r="I79" s="285"/>
      <c r="J79" s="385"/>
      <c r="K79" s="386"/>
      <c r="L79" s="75"/>
      <c r="M79" s="75"/>
    </row>
    <row r="80" spans="1:13">
      <c r="C80" s="467">
        <f>SUBTOTAL(9,C16:C77)</f>
        <v>7085895469.5100012</v>
      </c>
      <c r="D80" s="467">
        <f>SUBTOTAL(9,D16:D77)</f>
        <v>7796448642.9700012</v>
      </c>
      <c r="J80" s="467">
        <f>SUBTOTAL(9,J17:J72)</f>
        <v>11308648774.469999</v>
      </c>
      <c r="K80" s="467">
        <f>SUBTOTAL(9,K17:K72)</f>
        <v>10781546359.420002</v>
      </c>
    </row>
    <row r="81" spans="3:10">
      <c r="C81" s="387">
        <f>C80+C8-D80</f>
        <v>-477031147.03999996</v>
      </c>
      <c r="J81" s="387">
        <f>J80+J8-K80</f>
        <v>540753487.04999733</v>
      </c>
    </row>
  </sheetData>
  <mergeCells count="4">
    <mergeCell ref="A3:C3"/>
    <mergeCell ref="H3:J3"/>
    <mergeCell ref="A4:C4"/>
    <mergeCell ref="H4:J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81"/>
  <sheetViews>
    <sheetView topLeftCell="A28" workbookViewId="0">
      <selection activeCell="F45" sqref="F45:F46"/>
    </sheetView>
  </sheetViews>
  <sheetFormatPr defaultRowHeight="15"/>
  <cols>
    <col min="1" max="1" width="38.28515625" style="470" bestFit="1" customWidth="1"/>
    <col min="2" max="2" width="8.7109375" style="470" bestFit="1" customWidth="1"/>
    <col min="3" max="4" width="14.85546875" style="470" bestFit="1" customWidth="1"/>
    <col min="5" max="5" width="14.28515625" style="470" customWidth="1"/>
    <col min="6" max="6" width="18.28515625" style="470" customWidth="1"/>
    <col min="7" max="7" width="9.140625" style="470"/>
    <col min="8" max="8" width="38.28515625" style="470" bestFit="1" customWidth="1"/>
    <col min="9" max="9" width="8.7109375" style="470" bestFit="1" customWidth="1"/>
    <col min="10" max="11" width="14.85546875" style="470" bestFit="1" customWidth="1"/>
    <col min="12" max="12" width="43.140625" style="470" bestFit="1" customWidth="1"/>
    <col min="13" max="16384" width="9.140625" style="470"/>
  </cols>
  <sheetData>
    <row r="1" spans="1:13" ht="15.75">
      <c r="A1" s="397" t="s">
        <v>750</v>
      </c>
      <c r="B1" s="269"/>
      <c r="C1" s="269"/>
      <c r="D1" s="269"/>
      <c r="H1" s="268" t="s">
        <v>677</v>
      </c>
      <c r="I1" s="269"/>
      <c r="J1" s="269"/>
      <c r="K1" s="269"/>
    </row>
    <row r="2" spans="1:13">
      <c r="A2" s="270"/>
      <c r="B2" s="269"/>
      <c r="C2" s="269"/>
      <c r="D2" s="269"/>
      <c r="H2" s="270" t="s">
        <v>734</v>
      </c>
      <c r="I2" s="269"/>
      <c r="J2" s="269"/>
      <c r="K2" s="269"/>
    </row>
    <row r="3" spans="1:13">
      <c r="A3" s="683" t="s">
        <v>678</v>
      </c>
      <c r="B3" s="683"/>
      <c r="C3" s="683"/>
      <c r="D3" s="269"/>
      <c r="H3" s="683" t="s">
        <v>678</v>
      </c>
      <c r="I3" s="683"/>
      <c r="J3" s="683"/>
      <c r="K3" s="269"/>
    </row>
    <row r="4" spans="1:13">
      <c r="A4" s="683" t="s">
        <v>359</v>
      </c>
      <c r="B4" s="683"/>
      <c r="C4" s="683"/>
      <c r="D4" s="269"/>
      <c r="H4" s="683" t="s">
        <v>359</v>
      </c>
      <c r="I4" s="683"/>
      <c r="J4" s="683"/>
      <c r="K4" s="269"/>
    </row>
    <row r="5" spans="1:13" ht="15.75" thickBot="1">
      <c r="A5" s="269"/>
      <c r="B5" s="269"/>
      <c r="C5" s="269"/>
      <c r="D5" s="269"/>
      <c r="H5" s="269"/>
      <c r="I5" s="269"/>
      <c r="J5" s="269"/>
      <c r="K5" s="269"/>
    </row>
    <row r="6" spans="1:13">
      <c r="A6" s="271" t="s">
        <v>695</v>
      </c>
      <c r="B6" s="272" t="s">
        <v>606</v>
      </c>
      <c r="C6" s="272" t="s">
        <v>650</v>
      </c>
      <c r="D6" s="273" t="s">
        <v>651</v>
      </c>
      <c r="H6" s="271" t="s">
        <v>695</v>
      </c>
      <c r="I6" s="272" t="s">
        <v>606</v>
      </c>
      <c r="J6" s="272" t="s">
        <v>650</v>
      </c>
      <c r="K6" s="273" t="s">
        <v>651</v>
      </c>
    </row>
    <row r="7" spans="1:13" ht="15.75" thickBot="1">
      <c r="A7" s="274"/>
      <c r="B7" s="275"/>
      <c r="C7" s="275"/>
      <c r="D7" s="276"/>
      <c r="H7" s="274"/>
      <c r="I7" s="275"/>
      <c r="J7" s="275"/>
      <c r="K7" s="276"/>
    </row>
    <row r="8" spans="1:13" ht="24">
      <c r="A8" s="316" t="s">
        <v>755</v>
      </c>
      <c r="B8" s="277" t="s">
        <v>607</v>
      </c>
      <c r="C8" s="606">
        <v>35533584.289999999</v>
      </c>
      <c r="D8" s="405"/>
      <c r="H8" s="316" t="s">
        <v>755</v>
      </c>
      <c r="I8" s="277" t="s">
        <v>607</v>
      </c>
      <c r="J8" s="606">
        <v>16885308.440000001</v>
      </c>
      <c r="K8" s="405"/>
    </row>
    <row r="9" spans="1:13" ht="15" customHeight="1">
      <c r="A9" s="278" t="str">
        <f>A8</f>
        <v xml:space="preserve"> "Тема Ко"</v>
      </c>
      <c r="B9" s="602">
        <v>1000</v>
      </c>
      <c r="C9" s="603">
        <v>317116521.93000001</v>
      </c>
      <c r="D9" s="603">
        <v>317116521.93000001</v>
      </c>
      <c r="E9" s="75">
        <f>VLOOKUP(B9,Справочник!$A$2:$F$415,5,FALSE)</f>
        <v>0</v>
      </c>
      <c r="F9" s="75">
        <f>VLOOKUP(B9,Справочник!$A$2:$F$415,6,FALSE)</f>
        <v>0</v>
      </c>
      <c r="H9" s="278" t="str">
        <f>H8</f>
        <v xml:space="preserve"> "Тема Ко"</v>
      </c>
      <c r="I9" s="602">
        <v>1000</v>
      </c>
      <c r="J9" s="603">
        <v>1247470924.1299999</v>
      </c>
      <c r="K9" s="603">
        <v>1247470924.1299999</v>
      </c>
      <c r="L9" s="75">
        <f>VLOOKUP(I9,Справочник!$A$2:$F$415,5,FALSE)</f>
        <v>0</v>
      </c>
      <c r="M9" s="75">
        <f>VLOOKUP(I9,Справочник!$A$2:$F$415,6,FALSE)</f>
        <v>0</v>
      </c>
    </row>
    <row r="10" spans="1:13" ht="15" customHeight="1">
      <c r="A10" s="278" t="str">
        <f t="shared" ref="A10:A73" si="0">A9</f>
        <v xml:space="preserve"> "Тема Ко"</v>
      </c>
      <c r="B10" s="602">
        <v>1010</v>
      </c>
      <c r="C10" s="603">
        <v>156210463.86000001</v>
      </c>
      <c r="D10" s="603">
        <v>128306285</v>
      </c>
      <c r="E10" s="75">
        <f>VLOOKUP(B10,Справочник!$A$2:$F$415,5,FALSE)</f>
        <v>0</v>
      </c>
      <c r="F10" s="75">
        <f>VLOOKUP(B10,Справочник!$A$2:$F$415,6,FALSE)</f>
        <v>0</v>
      </c>
      <c r="H10" s="278" t="str">
        <f t="shared" ref="H10:H73" si="1">H9</f>
        <v xml:space="preserve"> "Тема Ко"</v>
      </c>
      <c r="I10" s="602">
        <v>1010</v>
      </c>
      <c r="J10" s="603">
        <v>635345427.41999996</v>
      </c>
      <c r="K10" s="603">
        <v>531374805.42000002</v>
      </c>
      <c r="L10" s="75">
        <f>VLOOKUP(I10,Справочник!$A$2:$F$415,5,FALSE)</f>
        <v>0</v>
      </c>
      <c r="M10" s="75">
        <f>VLOOKUP(I10,Справочник!$A$2:$F$415,6,FALSE)</f>
        <v>0</v>
      </c>
    </row>
    <row r="11" spans="1:13" ht="15" customHeight="1">
      <c r="A11" s="278" t="str">
        <f t="shared" si="0"/>
        <v xml:space="preserve"> "Тема Ко"</v>
      </c>
      <c r="B11" s="602">
        <v>1020</v>
      </c>
      <c r="C11" s="603">
        <v>144126700.84</v>
      </c>
      <c r="D11" s="603">
        <v>144236642.22999999</v>
      </c>
      <c r="E11" s="75">
        <f>VLOOKUP(B11,Справочник!$A$2:$F$415,5,FALSE)</f>
        <v>0</v>
      </c>
      <c r="F11" s="75">
        <f>VLOOKUP(B11,Справочник!$A$2:$F$415,6,FALSE)</f>
        <v>0</v>
      </c>
      <c r="H11" s="278" t="str">
        <f t="shared" si="1"/>
        <v xml:space="preserve"> "Тема Ко"</v>
      </c>
      <c r="I11" s="602">
        <v>1020</v>
      </c>
      <c r="J11" s="603">
        <v>548604963.90999997</v>
      </c>
      <c r="K11" s="603">
        <v>548779810.00999999</v>
      </c>
      <c r="L11" s="75">
        <f>VLOOKUP(I11,Справочник!$A$2:$F$415,5,FALSE)</f>
        <v>0</v>
      </c>
      <c r="M11" s="75">
        <f>VLOOKUP(I11,Справочник!$A$2:$F$415,6,FALSE)</f>
        <v>0</v>
      </c>
    </row>
    <row r="12" spans="1:13" ht="15" customHeight="1">
      <c r="A12" s="278" t="str">
        <f t="shared" si="0"/>
        <v xml:space="preserve"> "Тема Ко"</v>
      </c>
      <c r="B12" s="602">
        <v>1021</v>
      </c>
      <c r="C12" s="603">
        <v>128546457.67</v>
      </c>
      <c r="D12" s="603">
        <v>128546457.67</v>
      </c>
      <c r="E12" s="75">
        <f>VLOOKUP(B12,Справочник!$A$2:$F$415,5,FALSE)</f>
        <v>0</v>
      </c>
      <c r="F12" s="75">
        <f>VLOOKUP(B12,Справочник!$A$2:$F$415,6,FALSE)</f>
        <v>0</v>
      </c>
      <c r="H12" s="278" t="str">
        <f t="shared" si="1"/>
        <v xml:space="preserve"> "Тема Ко"</v>
      </c>
      <c r="I12" s="602">
        <v>1021</v>
      </c>
      <c r="J12" s="603">
        <v>512913627.20999998</v>
      </c>
      <c r="K12" s="603">
        <v>512913627.20999998</v>
      </c>
      <c r="L12" s="75">
        <f>VLOOKUP(I12,Справочник!$A$2:$F$415,5,FALSE)</f>
        <v>0</v>
      </c>
      <c r="M12" s="75">
        <f>VLOOKUP(I12,Справочник!$A$2:$F$415,6,FALSE)</f>
        <v>0</v>
      </c>
    </row>
    <row r="13" spans="1:13" ht="15" customHeight="1">
      <c r="A13" s="278" t="str">
        <f t="shared" si="0"/>
        <v xml:space="preserve"> "Тема Ко"</v>
      </c>
      <c r="B13" s="602">
        <v>1022</v>
      </c>
      <c r="C13" s="603">
        <v>15580243.17</v>
      </c>
      <c r="D13" s="603">
        <v>15690184.560000001</v>
      </c>
      <c r="E13" s="75">
        <f>VLOOKUP(B13,Справочник!$A$2:$F$415,5,FALSE)</f>
        <v>0</v>
      </c>
      <c r="F13" s="75">
        <f>VLOOKUP(B13,Справочник!$A$2:$F$415,6,FALSE)</f>
        <v>0</v>
      </c>
      <c r="H13" s="278" t="str">
        <f t="shared" si="1"/>
        <v xml:space="preserve"> "Тема Ко"</v>
      </c>
      <c r="I13" s="602">
        <v>1022</v>
      </c>
      <c r="J13" s="603">
        <v>35691336.700000003</v>
      </c>
      <c r="K13" s="603">
        <v>35866182.799999997</v>
      </c>
      <c r="L13" s="75">
        <f>VLOOKUP(I13,Справочник!$A$2:$F$415,5,FALSE)</f>
        <v>0</v>
      </c>
      <c r="M13" s="75">
        <f>VLOOKUP(I13,Справочник!$A$2:$F$415,6,FALSE)</f>
        <v>0</v>
      </c>
    </row>
    <row r="14" spans="1:13" ht="15" customHeight="1">
      <c r="A14" s="278" t="str">
        <f t="shared" si="0"/>
        <v xml:space="preserve"> "Тема Ко"</v>
      </c>
      <c r="B14" s="602">
        <v>1030</v>
      </c>
      <c r="C14" s="603">
        <v>15930357.23</v>
      </c>
      <c r="D14" s="603">
        <v>44573594.700000003</v>
      </c>
      <c r="E14" s="75">
        <f>VLOOKUP(B14,Справочник!$A$2:$F$415,5,FALSE)</f>
        <v>0</v>
      </c>
      <c r="F14" s="75">
        <f>VLOOKUP(B14,Справочник!$A$2:$F$415,6,FALSE)</f>
        <v>0</v>
      </c>
      <c r="H14" s="278" t="str">
        <f t="shared" si="1"/>
        <v xml:space="preserve"> "Тема Ко"</v>
      </c>
      <c r="I14" s="602">
        <v>1030</v>
      </c>
      <c r="J14" s="603">
        <v>63520532.799999997</v>
      </c>
      <c r="K14" s="603">
        <v>167316308.69999999</v>
      </c>
      <c r="L14" s="75">
        <f>VLOOKUP(I14,Справочник!$A$2:$F$415,5,FALSE)</f>
        <v>0</v>
      </c>
      <c r="M14" s="75">
        <f>VLOOKUP(I14,Справочник!$A$2:$F$415,6,FALSE)</f>
        <v>0</v>
      </c>
    </row>
    <row r="15" spans="1:13" ht="15" customHeight="1">
      <c r="A15" s="278" t="str">
        <f t="shared" si="0"/>
        <v xml:space="preserve"> "Тема Ко"</v>
      </c>
      <c r="B15" s="602">
        <v>1040</v>
      </c>
      <c r="C15" s="603">
        <v>849000</v>
      </c>
      <c r="D15" s="604"/>
      <c r="E15" s="75">
        <f>VLOOKUP(B15,Справочник!$A$2:$F$415,5,FALSE)</f>
        <v>0</v>
      </c>
      <c r="F15" s="75">
        <f>VLOOKUP(B15,Справочник!$A$2:$F$415,6,FALSE)</f>
        <v>0</v>
      </c>
      <c r="H15" s="278" t="str">
        <f t="shared" si="1"/>
        <v xml:space="preserve"> "Тема Ко"</v>
      </c>
      <c r="I15" s="602">
        <v>1200</v>
      </c>
      <c r="J15" s="603">
        <v>1212333287</v>
      </c>
      <c r="K15" s="603">
        <v>425707649.24000001</v>
      </c>
      <c r="L15" s="75">
        <f>VLOOKUP(I15,Справочник!$A$2:$F$415,5,FALSE)</f>
        <v>0</v>
      </c>
      <c r="M15" s="75">
        <f>VLOOKUP(I15,Справочник!$A$2:$F$415,6,FALSE)</f>
        <v>0</v>
      </c>
    </row>
    <row r="16" spans="1:13">
      <c r="A16" s="278" t="str">
        <f t="shared" si="0"/>
        <v xml:space="preserve"> "Тема Ко"</v>
      </c>
      <c r="B16" s="602">
        <v>1200</v>
      </c>
      <c r="C16" s="603">
        <v>305998720.83999997</v>
      </c>
      <c r="D16" s="603">
        <v>98907630.099999994</v>
      </c>
      <c r="E16" s="75">
        <f>VLOOKUP(B16,Справочник!$A$2:$F$415,5,FALSE)</f>
        <v>0</v>
      </c>
      <c r="F16" s="75">
        <f>VLOOKUP(B16,Справочник!$A$2:$F$415,6,FALSE)</f>
        <v>0</v>
      </c>
      <c r="H16" s="278" t="str">
        <f t="shared" si="1"/>
        <v xml:space="preserve"> "Тема Ко"</v>
      </c>
      <c r="I16" s="602">
        <v>1210</v>
      </c>
      <c r="J16" s="603">
        <v>1046248734.62</v>
      </c>
      <c r="K16" s="603">
        <v>41849406.280000001</v>
      </c>
      <c r="L16" s="75" t="str">
        <f>VLOOKUP(I16,Справочник!$A$2:$F$415,5,FALSE)</f>
        <v>реализация товаров и услуг</v>
      </c>
      <c r="M16" s="75" t="str">
        <f>VLOOKUP(I16,Справочник!$A$2:$F$415,6,FALSE)</f>
        <v>прочие выплаты</v>
      </c>
    </row>
    <row r="17" spans="1:13">
      <c r="A17" s="278" t="str">
        <f t="shared" si="0"/>
        <v xml:space="preserve"> "Тема Ко"</v>
      </c>
      <c r="B17" s="602">
        <v>1210</v>
      </c>
      <c r="C17" s="603">
        <v>305918625.83999997</v>
      </c>
      <c r="D17" s="603">
        <v>2340489.1</v>
      </c>
      <c r="E17" s="75" t="str">
        <f>VLOOKUP(B17,Справочник!$A$2:$F$415,5,FALSE)</f>
        <v>реализация товаров и услуг</v>
      </c>
      <c r="F17" s="75" t="str">
        <f>VLOOKUP(B17,Справочник!$A$2:$F$415,6,FALSE)</f>
        <v>прочие выплаты</v>
      </c>
      <c r="H17" s="278" t="str">
        <f t="shared" si="1"/>
        <v xml:space="preserve"> "Тема Ко"</v>
      </c>
      <c r="I17" s="602">
        <v>1220</v>
      </c>
      <c r="J17" s="603">
        <v>155000000</v>
      </c>
      <c r="K17" s="604"/>
      <c r="L17" s="75" t="str">
        <f>VLOOKUP(I17,Справочник!$A$2:$F$415,5,FALSE)</f>
        <v>прочая выручка</v>
      </c>
      <c r="M17" s="75" t="str">
        <f>VLOOKUP(I17,Справочник!$A$2:$F$415,6,FALSE)</f>
        <v>прочие выплаты</v>
      </c>
    </row>
    <row r="18" spans="1:13" ht="15" customHeight="1">
      <c r="A18" s="278" t="str">
        <f t="shared" si="0"/>
        <v xml:space="preserve"> "Тема Ко"</v>
      </c>
      <c r="B18" s="602">
        <v>1250</v>
      </c>
      <c r="C18" s="603">
        <v>80095</v>
      </c>
      <c r="D18" s="603">
        <v>96567141</v>
      </c>
      <c r="E18" s="75">
        <f>VLOOKUP(B18,Справочник!$A$2:$F$415,5,FALSE)</f>
        <v>0</v>
      </c>
      <c r="F18" s="75">
        <f>VLOOKUP(B18,Справочник!$A$2:$F$415,6,FALSE)</f>
        <v>0</v>
      </c>
      <c r="H18" s="278" t="str">
        <f t="shared" si="1"/>
        <v xml:space="preserve"> "Тема Ко"</v>
      </c>
      <c r="I18" s="602">
        <v>1250</v>
      </c>
      <c r="J18" s="603">
        <v>10584552.380000001</v>
      </c>
      <c r="K18" s="603">
        <v>383858242.95999998</v>
      </c>
      <c r="L18" s="75">
        <f>VLOOKUP(I18,Справочник!$A$2:$F$415,5,FALSE)</f>
        <v>0</v>
      </c>
      <c r="M18" s="75">
        <f>VLOOKUP(I18,Справочник!$A$2:$F$415,6,FALSE)</f>
        <v>0</v>
      </c>
    </row>
    <row r="19" spans="1:13">
      <c r="A19" s="278" t="str">
        <f t="shared" si="0"/>
        <v xml:space="preserve"> "Тема Ко"</v>
      </c>
      <c r="B19" s="602">
        <v>1251</v>
      </c>
      <c r="C19" s="603">
        <v>80095</v>
      </c>
      <c r="D19" s="603">
        <v>96567141</v>
      </c>
      <c r="E19" s="75" t="str">
        <f>VLOOKUP(B19,Справочник!$A$2:$F$415,5,FALSE)</f>
        <v>прочие поступления</v>
      </c>
      <c r="F19" s="75" t="str">
        <f>VLOOKUP(B19,Справочник!$A$2:$F$415,6,FALSE)</f>
        <v>прочие выплаты</v>
      </c>
      <c r="H19" s="278" t="str">
        <f t="shared" si="1"/>
        <v xml:space="preserve"> "Тема Ко"</v>
      </c>
      <c r="I19" s="602">
        <v>1251</v>
      </c>
      <c r="J19" s="603">
        <v>2343249.04</v>
      </c>
      <c r="K19" s="603">
        <v>383858242.95999998</v>
      </c>
      <c r="L19" s="75" t="str">
        <f>VLOOKUP(I19,Справочник!$A$2:$F$415,5,FALSE)</f>
        <v>прочие поступления</v>
      </c>
      <c r="M19" s="75" t="str">
        <f>VLOOKUP(I19,Справочник!$A$2:$F$415,6,FALSE)</f>
        <v>прочие выплаты</v>
      </c>
    </row>
    <row r="20" spans="1:13">
      <c r="A20" s="278" t="str">
        <f t="shared" si="0"/>
        <v xml:space="preserve"> "Тема Ко"</v>
      </c>
      <c r="B20" s="602">
        <v>1600</v>
      </c>
      <c r="C20" s="603">
        <v>436155.03</v>
      </c>
      <c r="D20" s="603">
        <v>24316170.010000002</v>
      </c>
      <c r="E20" s="75">
        <f>VLOOKUP(B20,Справочник!$A$2:$F$415,5,FALSE)</f>
        <v>0</v>
      </c>
      <c r="F20" s="75">
        <f>VLOOKUP(B20,Справочник!$A$2:$F$415,6,FALSE)</f>
        <v>0</v>
      </c>
      <c r="H20" s="278" t="str">
        <f t="shared" si="1"/>
        <v xml:space="preserve"> "Тема Ко"</v>
      </c>
      <c r="I20" s="602">
        <v>1254</v>
      </c>
      <c r="J20" s="603">
        <v>8241303.3399999999</v>
      </c>
      <c r="K20" s="604"/>
      <c r="L20" s="75" t="str">
        <f>VLOOKUP(I20,Справочник!$A$2:$F$415,5,FALSE)</f>
        <v>прочие поступления</v>
      </c>
      <c r="M20" s="75" t="str">
        <f>VLOOKUP(I20,Справочник!$A$2:$F$415,6,FALSE)</f>
        <v>прочие выплаты</v>
      </c>
    </row>
    <row r="21" spans="1:13">
      <c r="A21" s="278" t="str">
        <f t="shared" si="0"/>
        <v xml:space="preserve"> "Тема Ко"</v>
      </c>
      <c r="B21" s="602">
        <v>1610</v>
      </c>
      <c r="C21" s="603">
        <v>436155.03</v>
      </c>
      <c r="D21" s="603">
        <v>24316170.010000002</v>
      </c>
      <c r="E21" s="75" t="str">
        <f>VLOOKUP(B21,Справочник!$A$2:$F$415,5,FALSE)</f>
        <v>прочие поступления</v>
      </c>
      <c r="F21" s="75" t="str">
        <f>VLOOKUP(B21,Справочник!$A$2:$F$415,6,FALSE)</f>
        <v>авансы, выданные поставщикам товаров и услуг</v>
      </c>
      <c r="H21" s="278" t="str">
        <f t="shared" si="1"/>
        <v xml:space="preserve"> "Тема Ко"</v>
      </c>
      <c r="I21" s="602">
        <v>1280</v>
      </c>
      <c r="J21" s="603">
        <v>500000</v>
      </c>
      <c r="K21" s="604"/>
      <c r="L21" s="75">
        <f>VLOOKUP(I21,Справочник!$A$2:$F$415,5,FALSE)</f>
        <v>0</v>
      </c>
      <c r="M21" s="75">
        <f>VLOOKUP(I21,Справочник!$A$2:$F$415,6,FALSE)</f>
        <v>0</v>
      </c>
    </row>
    <row r="22" spans="1:13">
      <c r="A22" s="278" t="str">
        <f t="shared" si="0"/>
        <v xml:space="preserve"> "Тема Ко"</v>
      </c>
      <c r="B22" s="602">
        <v>3100</v>
      </c>
      <c r="C22" s="604"/>
      <c r="D22" s="603">
        <v>60987917.530000001</v>
      </c>
      <c r="E22" s="75">
        <f>VLOOKUP(B22,Справочник!$A$2:$F$415,5,FALSE)</f>
        <v>0</v>
      </c>
      <c r="F22" s="75">
        <f>VLOOKUP(B22,Справочник!$A$2:$F$415,6,FALSE)</f>
        <v>0</v>
      </c>
      <c r="H22" s="278" t="str">
        <f t="shared" si="1"/>
        <v xml:space="preserve"> "Тема Ко"</v>
      </c>
      <c r="I22" s="602">
        <v>1284</v>
      </c>
      <c r="J22" s="603">
        <v>500000</v>
      </c>
      <c r="K22" s="604"/>
      <c r="L22" s="75" t="str">
        <f>VLOOKUP(I22,Справочник!$A$2:$F$415,5,FALSE)</f>
        <v>прочие поступления</v>
      </c>
      <c r="M22" s="75" t="str">
        <f>VLOOKUP(I22,Справочник!$A$2:$F$415,6,FALSE)</f>
        <v>прочие выплаты</v>
      </c>
    </row>
    <row r="23" spans="1:13" ht="15" customHeight="1">
      <c r="A23" s="278" t="str">
        <f t="shared" si="0"/>
        <v xml:space="preserve"> "Тема Ко"</v>
      </c>
      <c r="B23" s="602">
        <v>3110</v>
      </c>
      <c r="C23" s="604"/>
      <c r="D23" s="603">
        <v>4491979</v>
      </c>
      <c r="E23" s="75" t="str">
        <f>VLOOKUP(B23,Справочник!$A$2:$F$415,5,FALSE)</f>
        <v>прочие поступления</v>
      </c>
      <c r="F23" s="75" t="str">
        <f>VLOOKUP(B23,Справочник!$A$2:$F$415,6,FALSE)</f>
        <v>подоходный налог и другие платежи в бюджет</v>
      </c>
      <c r="H23" s="278" t="str">
        <f t="shared" si="1"/>
        <v xml:space="preserve"> "Тема Ко"</v>
      </c>
      <c r="I23" s="602">
        <v>1400</v>
      </c>
      <c r="J23" s="604"/>
      <c r="K23" s="603">
        <v>98081</v>
      </c>
      <c r="L23" s="75">
        <f>VLOOKUP(I23,Справочник!$A$2:$F$415,5,FALSE)</f>
        <v>0</v>
      </c>
      <c r="M23" s="75">
        <f>VLOOKUP(I23,Справочник!$A$2:$F$415,6,FALSE)</f>
        <v>0</v>
      </c>
    </row>
    <row r="24" spans="1:13">
      <c r="A24" s="278" t="str">
        <f t="shared" si="0"/>
        <v xml:space="preserve"> "Тема Ко"</v>
      </c>
      <c r="B24" s="602">
        <v>3120</v>
      </c>
      <c r="C24" s="604"/>
      <c r="D24" s="603">
        <v>703454</v>
      </c>
      <c r="E24" s="75" t="str">
        <f>VLOOKUP(B24,Справочник!$A$2:$F$415,5,FALSE)</f>
        <v>прочие поступления</v>
      </c>
      <c r="F24" s="75" t="str">
        <f>VLOOKUP(B24,Справочник!$A$2:$F$415,6,FALSE)</f>
        <v>прочие выплаты</v>
      </c>
      <c r="H24" s="278" t="str">
        <f t="shared" si="1"/>
        <v xml:space="preserve"> "Тема Ко"</v>
      </c>
      <c r="I24" s="602">
        <v>1430</v>
      </c>
      <c r="J24" s="604"/>
      <c r="K24" s="603">
        <v>98081</v>
      </c>
      <c r="L24" s="75" t="str">
        <f>VLOOKUP(I24,Справочник!$A$2:$F$415,5,FALSE)</f>
        <v>прочие поступления</v>
      </c>
      <c r="M24" s="75" t="str">
        <f>VLOOKUP(I24,Справочник!$A$2:$F$415,6,FALSE)</f>
        <v>прочие выплаты</v>
      </c>
    </row>
    <row r="25" spans="1:13" ht="15" customHeight="1">
      <c r="A25" s="278" t="str">
        <f t="shared" si="0"/>
        <v xml:space="preserve"> "Тема Ко"</v>
      </c>
      <c r="B25" s="602">
        <v>3130</v>
      </c>
      <c r="C25" s="604"/>
      <c r="D25" s="603">
        <v>35599397.469999999</v>
      </c>
      <c r="E25" s="75" t="str">
        <f>VLOOKUP(B25,Справочник!$A$2:$F$415,5,FALSE)</f>
        <v>прочие поступления</v>
      </c>
      <c r="F25" s="75" t="str">
        <f>VLOOKUP(B25,Справочник!$A$2:$F$415,6,FALSE)</f>
        <v>прочие выплаты</v>
      </c>
      <c r="H25" s="278" t="str">
        <f t="shared" si="1"/>
        <v xml:space="preserve"> "Тема Ко"</v>
      </c>
      <c r="I25" s="602">
        <v>1600</v>
      </c>
      <c r="J25" s="603">
        <v>224280</v>
      </c>
      <c r="K25" s="603">
        <v>99146060.620000005</v>
      </c>
      <c r="L25" s="75">
        <f>VLOOKUP(I25,Справочник!$A$2:$F$415,5,FALSE)</f>
        <v>0</v>
      </c>
      <c r="M25" s="75">
        <f>VLOOKUP(I25,Справочник!$A$2:$F$415,6,FALSE)</f>
        <v>0</v>
      </c>
    </row>
    <row r="26" spans="1:13">
      <c r="A26" s="278" t="str">
        <f t="shared" si="0"/>
        <v xml:space="preserve"> "Тема Ко"</v>
      </c>
      <c r="B26" s="602">
        <v>3150</v>
      </c>
      <c r="C26" s="604"/>
      <c r="D26" s="603">
        <v>976704</v>
      </c>
      <c r="E26" s="75" t="str">
        <f>VLOOKUP(B26,Справочник!$A$2:$F$415,5,FALSE)</f>
        <v>прочие поступления</v>
      </c>
      <c r="F26" s="75" t="str">
        <f>VLOOKUP(B26,Справочник!$A$2:$F$415,6,FALSE)</f>
        <v>прочие выплаты</v>
      </c>
      <c r="H26" s="278" t="str">
        <f t="shared" si="1"/>
        <v xml:space="preserve"> "Тема Ко"</v>
      </c>
      <c r="I26" s="602">
        <v>1610</v>
      </c>
      <c r="J26" s="603">
        <v>224280</v>
      </c>
      <c r="K26" s="603">
        <v>99146060.620000005</v>
      </c>
      <c r="L26" s="75" t="str">
        <f>VLOOKUP(I26,Справочник!$A$2:$F$415,5,FALSE)</f>
        <v>прочие поступления</v>
      </c>
      <c r="M26" s="75" t="str">
        <f>VLOOKUP(I26,Справочник!$A$2:$F$415,6,FALSE)</f>
        <v>авансы, выданные поставщикам товаров и услуг</v>
      </c>
    </row>
    <row r="27" spans="1:13" ht="15" customHeight="1">
      <c r="A27" s="278" t="str">
        <f t="shared" si="0"/>
        <v xml:space="preserve"> "Тема Ко"</v>
      </c>
      <c r="B27" s="602">
        <v>3160</v>
      </c>
      <c r="C27" s="604"/>
      <c r="D27" s="603">
        <v>179116</v>
      </c>
      <c r="E27" s="75" t="str">
        <f>VLOOKUP(B27,Справочник!$A$2:$F$415,5,FALSE)</f>
        <v>прочие поступления</v>
      </c>
      <c r="F27" s="75" t="str">
        <f>VLOOKUP(B27,Справочник!$A$2:$F$415,6,FALSE)</f>
        <v>прочие выплаты</v>
      </c>
      <c r="H27" s="278" t="str">
        <f t="shared" si="1"/>
        <v xml:space="preserve"> "Тема Ко"</v>
      </c>
      <c r="I27" s="602">
        <v>2000</v>
      </c>
      <c r="J27" s="604"/>
      <c r="K27" s="603">
        <v>219335000</v>
      </c>
      <c r="L27" s="75">
        <f>VLOOKUP(I27,Справочник!$A$2:$F$415,5,FALSE)</f>
        <v>0</v>
      </c>
      <c r="M27" s="75">
        <f>VLOOKUP(I27,Справочник!$A$2:$F$415,6,FALSE)</f>
        <v>0</v>
      </c>
    </row>
    <row r="28" spans="1:13">
      <c r="A28" s="278" t="str">
        <f t="shared" si="0"/>
        <v xml:space="preserve"> "Тема Ко"</v>
      </c>
      <c r="B28" s="602">
        <v>3170</v>
      </c>
      <c r="C28" s="604"/>
      <c r="D28" s="603">
        <v>250153</v>
      </c>
      <c r="E28" s="75" t="str">
        <f>VLOOKUP(B28,Справочник!$A$2:$F$415,5,FALSE)</f>
        <v>прочие поступления</v>
      </c>
      <c r="F28" s="75" t="str">
        <f>VLOOKUP(B28,Справочник!$A$2:$F$415,6,FALSE)</f>
        <v>прочие выплаты</v>
      </c>
      <c r="H28" s="278" t="str">
        <f t="shared" si="1"/>
        <v xml:space="preserve"> "Тема Ко"</v>
      </c>
      <c r="I28" s="602">
        <v>2040</v>
      </c>
      <c r="J28" s="604"/>
      <c r="K28" s="603">
        <v>219335000</v>
      </c>
      <c r="L28" s="75">
        <f>VLOOKUP(I28,Справочник!$A$2:$F$415,5,FALSE)</f>
        <v>0</v>
      </c>
      <c r="M28" s="75">
        <f>VLOOKUP(I28,Справочник!$A$2:$F$415,6,FALSE)</f>
        <v>0</v>
      </c>
    </row>
    <row r="29" spans="1:13">
      <c r="A29" s="278" t="str">
        <f t="shared" si="0"/>
        <v xml:space="preserve"> "Тема Ко"</v>
      </c>
      <c r="B29" s="602">
        <v>3180</v>
      </c>
      <c r="C29" s="604"/>
      <c r="D29" s="603">
        <v>18073266</v>
      </c>
      <c r="E29" s="75" t="str">
        <f>VLOOKUP(B29,Справочник!$A$2:$F$415,5,FALSE)</f>
        <v>прочие поступления</v>
      </c>
      <c r="F29" s="75" t="str">
        <f>VLOOKUP(B29,Справочник!$A$2:$F$415,6,FALSE)</f>
        <v>прочие выплаты</v>
      </c>
      <c r="H29" s="278" t="str">
        <f t="shared" si="1"/>
        <v xml:space="preserve"> "Тема Ко"</v>
      </c>
      <c r="I29" s="602">
        <v>2041</v>
      </c>
      <c r="J29" s="604"/>
      <c r="K29" s="603">
        <v>219335000</v>
      </c>
      <c r="L29" s="75" t="str">
        <f>VLOOKUP(I29,Справочник!$A$2:$F$415,5,FALSE)</f>
        <v>прочие поступления (инвест)</v>
      </c>
      <c r="M29" s="75" t="str">
        <f>VLOOKUP(I29,Справочник!$A$2:$F$415,6,FALSE)</f>
        <v>предоставление займов</v>
      </c>
    </row>
    <row r="30" spans="1:13">
      <c r="A30" s="278" t="str">
        <f t="shared" si="0"/>
        <v xml:space="preserve"> "Тема Ко"</v>
      </c>
      <c r="B30" s="602">
        <v>3190</v>
      </c>
      <c r="C30" s="604"/>
      <c r="D30" s="603">
        <v>713848.06</v>
      </c>
      <c r="E30" s="75" t="str">
        <f>VLOOKUP(B30,Справочник!$A$2:$F$415,5,FALSE)</f>
        <v>прочие поступления</v>
      </c>
      <c r="F30" s="75" t="str">
        <f>VLOOKUP(B30,Справочник!$A$2:$F$415,6,FALSE)</f>
        <v>прочие выплаты</v>
      </c>
      <c r="H30" s="278" t="str">
        <f t="shared" si="1"/>
        <v xml:space="preserve"> "Тема Ко"</v>
      </c>
      <c r="I30" s="602">
        <v>2100</v>
      </c>
      <c r="J30" s="603">
        <v>129600</v>
      </c>
      <c r="K30" s="604"/>
      <c r="L30" s="75">
        <f>VLOOKUP(I30,Справочник!$A$2:$F$415,5,FALSE)</f>
        <v>0</v>
      </c>
      <c r="M30" s="75">
        <f>VLOOKUP(I30,Справочник!$A$2:$F$415,6,FALSE)</f>
        <v>0</v>
      </c>
    </row>
    <row r="31" spans="1:13">
      <c r="A31" s="278" t="str">
        <f t="shared" si="0"/>
        <v xml:space="preserve"> "Тема Ко"</v>
      </c>
      <c r="B31" s="602">
        <v>3200</v>
      </c>
      <c r="C31" s="603">
        <v>17589.21</v>
      </c>
      <c r="D31" s="603">
        <v>2398408.83</v>
      </c>
      <c r="E31" s="75">
        <f>VLOOKUP(B31,Справочник!$A$2:$F$415,5,FALSE)</f>
        <v>0</v>
      </c>
      <c r="F31" s="75">
        <f>VLOOKUP(B31,Справочник!$A$2:$F$415,6,FALSE)</f>
        <v>0</v>
      </c>
      <c r="H31" s="278" t="str">
        <f t="shared" si="1"/>
        <v xml:space="preserve"> "Тема Ко"</v>
      </c>
      <c r="I31" s="602">
        <v>2180</v>
      </c>
      <c r="J31" s="603">
        <v>129600</v>
      </c>
      <c r="K31" s="604"/>
      <c r="L31" s="75">
        <f>VLOOKUP(I31,Справочник!$A$2:$F$415,5,FALSE)</f>
        <v>0</v>
      </c>
      <c r="M31" s="75">
        <f>VLOOKUP(I31,Справочник!$A$2:$F$415,6,FALSE)</f>
        <v>0</v>
      </c>
    </row>
    <row r="32" spans="1:13">
      <c r="A32" s="278" t="str">
        <f t="shared" si="0"/>
        <v xml:space="preserve"> "Тема Ко"</v>
      </c>
      <c r="B32" s="602">
        <v>3210</v>
      </c>
      <c r="C32" s="603">
        <v>5816.64</v>
      </c>
      <c r="D32" s="603">
        <v>751598.13</v>
      </c>
      <c r="E32" s="75" t="str">
        <f>VLOOKUP(B32,Справочник!$A$2:$F$415,5,FALSE)</f>
        <v>прочие поступления</v>
      </c>
      <c r="F32" s="75" t="str">
        <f>VLOOKUP(B32,Справочник!$A$2:$F$415,6,FALSE)</f>
        <v>прочие выплаты</v>
      </c>
      <c r="H32" s="278" t="str">
        <f t="shared" si="1"/>
        <v xml:space="preserve"> "Тема Ко"</v>
      </c>
      <c r="I32" s="602">
        <v>2181</v>
      </c>
      <c r="J32" s="603">
        <v>129600</v>
      </c>
      <c r="K32" s="604"/>
      <c r="L32" s="75" t="str">
        <f>VLOOKUP(I32,Справочник!$A$2:$F$415,5,FALSE)</f>
        <v>реализация товаров и услуг</v>
      </c>
      <c r="M32" s="75" t="str">
        <f>VLOOKUP(I32,Справочник!$A$2:$F$415,6,FALSE)</f>
        <v>прочие выплаты</v>
      </c>
    </row>
    <row r="33" spans="1:13">
      <c r="A33" s="278" t="str">
        <f t="shared" si="0"/>
        <v xml:space="preserve"> "Тема Ко"</v>
      </c>
      <c r="B33" s="602">
        <v>3220</v>
      </c>
      <c r="C33" s="603">
        <v>11772.57</v>
      </c>
      <c r="D33" s="603">
        <v>1612190.7</v>
      </c>
      <c r="E33" s="75" t="str">
        <f>VLOOKUP(B33,Справочник!$A$2:$F$415,5,FALSE)</f>
        <v>прочие поступления</v>
      </c>
      <c r="F33" s="75" t="str">
        <f>VLOOKUP(B33,Справочник!$A$2:$F$415,6,FALSE)</f>
        <v>прочие выплаты</v>
      </c>
      <c r="H33" s="278" t="str">
        <f t="shared" si="1"/>
        <v xml:space="preserve"> "Тема Ко"</v>
      </c>
      <c r="I33" s="602">
        <v>3000</v>
      </c>
      <c r="J33" s="603">
        <v>45000000</v>
      </c>
      <c r="K33" s="603">
        <v>5000000</v>
      </c>
      <c r="L33" s="75">
        <f>VLOOKUP(I33,Справочник!$A$2:$F$415,5,FALSE)</f>
        <v>0</v>
      </c>
      <c r="M33" s="75">
        <f>VLOOKUP(I33,Справочник!$A$2:$F$415,6,FALSE)</f>
        <v>0</v>
      </c>
    </row>
    <row r="34" spans="1:13">
      <c r="A34" s="278" t="str">
        <f t="shared" si="0"/>
        <v xml:space="preserve"> "Тема Ко"</v>
      </c>
      <c r="B34" s="602">
        <v>3230</v>
      </c>
      <c r="C34" s="604"/>
      <c r="D34" s="603">
        <v>34620</v>
      </c>
      <c r="E34" s="75" t="str">
        <f>VLOOKUP(B34,Справочник!$A$2:$F$415,5,FALSE)</f>
        <v>прочие поступления</v>
      </c>
      <c r="F34" s="75" t="str">
        <f>VLOOKUP(B34,Справочник!$A$2:$F$415,6,FALSE)</f>
        <v>прочие выплаты</v>
      </c>
      <c r="H34" s="278" t="str">
        <f t="shared" si="1"/>
        <v xml:space="preserve"> "Тема Ко"</v>
      </c>
      <c r="I34" s="602">
        <v>3020</v>
      </c>
      <c r="J34" s="603">
        <v>45000000</v>
      </c>
      <c r="K34" s="603">
        <v>5000000</v>
      </c>
      <c r="L34" s="75" t="str">
        <f>VLOOKUP(I34,Справочник!$A$2:$F$415,5,FALSE)</f>
        <v>получение займов</v>
      </c>
      <c r="M34" s="75" t="str">
        <f>VLOOKUP(I34,Справочник!$A$2:$F$415,6,FALSE)</f>
        <v>погашение займов</v>
      </c>
    </row>
    <row r="35" spans="1:13">
      <c r="A35" s="278" t="str">
        <f t="shared" si="0"/>
        <v xml:space="preserve"> "Тема Ко"</v>
      </c>
      <c r="B35" s="602">
        <v>3300</v>
      </c>
      <c r="C35" s="603">
        <v>8344267.3099999996</v>
      </c>
      <c r="D35" s="603">
        <v>294708828.44</v>
      </c>
      <c r="E35" s="75">
        <f>VLOOKUP(B35,Справочник!$A$2:$F$415,5,FALSE)</f>
        <v>0</v>
      </c>
      <c r="F35" s="75">
        <f>VLOOKUP(B35,Справочник!$A$2:$F$415,6,FALSE)</f>
        <v>0</v>
      </c>
      <c r="H35" s="278" t="str">
        <f t="shared" si="1"/>
        <v xml:space="preserve"> "Тема Ко"</v>
      </c>
      <c r="I35" s="602">
        <v>3100</v>
      </c>
      <c r="J35" s="604"/>
      <c r="K35" s="603">
        <v>171593431.55000001</v>
      </c>
      <c r="L35" s="75">
        <f>VLOOKUP(I35,Справочник!$A$2:$F$415,5,FALSE)</f>
        <v>0</v>
      </c>
      <c r="M35" s="75">
        <f>VLOOKUP(I35,Справочник!$A$2:$F$415,6,FALSE)</f>
        <v>0</v>
      </c>
    </row>
    <row r="36" spans="1:13">
      <c r="A36" s="278" t="str">
        <f t="shared" si="0"/>
        <v xml:space="preserve"> "Тема Ко"</v>
      </c>
      <c r="B36" s="602">
        <v>3310</v>
      </c>
      <c r="C36" s="603">
        <v>8344267.3099999996</v>
      </c>
      <c r="D36" s="603">
        <v>279351768.73000002</v>
      </c>
      <c r="E36" s="75" t="str">
        <f>VLOOKUP(B36,Справочник!$A$2:$F$415,5,FALSE)</f>
        <v>прочие поступления</v>
      </c>
      <c r="F36" s="75" t="str">
        <f>VLOOKUP(B36,Справочник!$A$2:$F$415,6,FALSE)</f>
        <v>платежи поставщикам за товары и услуги</v>
      </c>
      <c r="H36" s="278" t="str">
        <f t="shared" si="1"/>
        <v xml:space="preserve"> "Тема Ко"</v>
      </c>
      <c r="I36" s="602">
        <v>3110</v>
      </c>
      <c r="J36" s="604"/>
      <c r="K36" s="603">
        <v>6945524.9900000002</v>
      </c>
      <c r="L36" s="75" t="str">
        <f>VLOOKUP(I36,Справочник!$A$2:$F$415,5,FALSE)</f>
        <v>прочие поступления</v>
      </c>
      <c r="M36" s="75" t="str">
        <f>VLOOKUP(I36,Справочник!$A$2:$F$415,6,FALSE)</f>
        <v>подоходный налог и другие платежи в бюджет</v>
      </c>
    </row>
    <row r="37" spans="1:13">
      <c r="A37" s="278" t="str">
        <f t="shared" si="0"/>
        <v xml:space="preserve"> "Тема Ко"</v>
      </c>
      <c r="B37" s="602">
        <v>3350</v>
      </c>
      <c r="C37" s="604"/>
      <c r="D37" s="603">
        <v>15338933.710000001</v>
      </c>
      <c r="E37" s="75" t="str">
        <f>VLOOKUP(B37,Справочник!$A$2:$F$415,5,FALSE)</f>
        <v>прочие поступления</v>
      </c>
      <c r="F37" s="75" t="str">
        <f>VLOOKUP(B37,Справочник!$A$2:$F$415,6,FALSE)</f>
        <v>выплаты по оплате труда</v>
      </c>
      <c r="H37" s="278" t="str">
        <f t="shared" si="1"/>
        <v xml:space="preserve"> "Тема Ко"</v>
      </c>
      <c r="I37" s="602">
        <v>3120</v>
      </c>
      <c r="J37" s="604"/>
      <c r="K37" s="603">
        <v>1464314.44</v>
      </c>
      <c r="L37" s="75" t="str">
        <f>VLOOKUP(I37,Справочник!$A$2:$F$415,5,FALSE)</f>
        <v>прочие поступления</v>
      </c>
      <c r="M37" s="75" t="str">
        <f>VLOOKUP(I37,Справочник!$A$2:$F$415,6,FALSE)</f>
        <v>прочие выплаты</v>
      </c>
    </row>
    <row r="38" spans="1:13">
      <c r="A38" s="278" t="str">
        <f t="shared" si="0"/>
        <v xml:space="preserve"> "Тема Ко"</v>
      </c>
      <c r="B38" s="602">
        <v>3390</v>
      </c>
      <c r="C38" s="604"/>
      <c r="D38" s="603">
        <v>18126</v>
      </c>
      <c r="E38" s="75">
        <f>VLOOKUP(B38,Справочник!$A$2:$F$415,5,FALSE)</f>
        <v>0</v>
      </c>
      <c r="F38" s="75">
        <f>VLOOKUP(B38,Справочник!$A$2:$F$415,6,FALSE)</f>
        <v>0</v>
      </c>
      <c r="H38" s="278" t="str">
        <f t="shared" si="1"/>
        <v xml:space="preserve"> "Тема Ко"</v>
      </c>
      <c r="I38" s="602">
        <v>3130</v>
      </c>
      <c r="J38" s="604"/>
      <c r="K38" s="603">
        <v>94507156.810000002</v>
      </c>
      <c r="L38" s="75" t="str">
        <f>VLOOKUP(I38,Справочник!$A$2:$F$415,5,FALSE)</f>
        <v>прочие поступления</v>
      </c>
      <c r="M38" s="75" t="str">
        <f>VLOOKUP(I38,Справочник!$A$2:$F$415,6,FALSE)</f>
        <v>прочие выплаты</v>
      </c>
    </row>
    <row r="39" spans="1:13">
      <c r="A39" s="278" t="str">
        <f t="shared" si="0"/>
        <v xml:space="preserve"> "Тема Ко"</v>
      </c>
      <c r="B39" s="602">
        <v>3397</v>
      </c>
      <c r="C39" s="604"/>
      <c r="D39" s="603">
        <v>18126</v>
      </c>
      <c r="E39" s="75" t="str">
        <f>VLOOKUP(B39,Справочник!$A$2:$F$415,5,FALSE)</f>
        <v>прочие поступления</v>
      </c>
      <c r="F39" s="75" t="str">
        <f>VLOOKUP(B39,Справочник!$A$2:$F$415,6,FALSE)</f>
        <v>прочие выплаты</v>
      </c>
      <c r="H39" s="278" t="str">
        <f t="shared" si="1"/>
        <v xml:space="preserve"> "Тема Ко"</v>
      </c>
      <c r="I39" s="602">
        <v>3150</v>
      </c>
      <c r="J39" s="604"/>
      <c r="K39" s="603">
        <v>2280881.71</v>
      </c>
      <c r="L39" s="75" t="str">
        <f>VLOOKUP(I39,Справочник!$A$2:$F$415,5,FALSE)</f>
        <v>прочие поступления</v>
      </c>
      <c r="M39" s="75" t="str">
        <f>VLOOKUP(I39,Справочник!$A$2:$F$415,6,FALSE)</f>
        <v>прочие выплаты</v>
      </c>
    </row>
    <row r="40" spans="1:13">
      <c r="A40" s="278" t="str">
        <f t="shared" si="0"/>
        <v xml:space="preserve"> "Тема Ко"</v>
      </c>
      <c r="B40" s="602">
        <v>3500</v>
      </c>
      <c r="C40" s="603">
        <v>134057787.38</v>
      </c>
      <c r="D40" s="603">
        <v>2804701.24</v>
      </c>
      <c r="E40" s="75">
        <f>VLOOKUP(B40,Справочник!$A$2:$F$415,5,FALSE)</f>
        <v>0</v>
      </c>
      <c r="F40" s="75">
        <f>VLOOKUP(B40,Справочник!$A$2:$F$415,6,FALSE)</f>
        <v>0</v>
      </c>
      <c r="H40" s="278" t="str">
        <f t="shared" si="1"/>
        <v xml:space="preserve"> "Тема Ко"</v>
      </c>
      <c r="I40" s="602">
        <v>3160</v>
      </c>
      <c r="J40" s="604"/>
      <c r="K40" s="603">
        <v>619677</v>
      </c>
      <c r="L40" s="75" t="str">
        <f>VLOOKUP(I40,Справочник!$A$2:$F$415,5,FALSE)</f>
        <v>прочие поступления</v>
      </c>
      <c r="M40" s="75" t="str">
        <f>VLOOKUP(I40,Справочник!$A$2:$F$415,6,FALSE)</f>
        <v>прочие выплаты</v>
      </c>
    </row>
    <row r="41" spans="1:13">
      <c r="A41" s="278" t="str">
        <f t="shared" si="0"/>
        <v xml:space="preserve"> "Тема Ко"</v>
      </c>
      <c r="B41" s="602">
        <v>3510</v>
      </c>
      <c r="C41" s="603">
        <v>134057787.38</v>
      </c>
      <c r="D41" s="603">
        <v>2804701.24</v>
      </c>
      <c r="E41" s="75" t="str">
        <f>VLOOKUP(B41,Справочник!$A$2:$F$415,5,FALSE)</f>
        <v>авансы, полученные от покупателей, заказчиков</v>
      </c>
      <c r="F41" s="75" t="str">
        <f>VLOOKUP(B41,Справочник!$A$2:$F$415,6,FALSE)</f>
        <v>прочие выплаты</v>
      </c>
      <c r="H41" s="278" t="str">
        <f t="shared" si="1"/>
        <v xml:space="preserve"> "Тема Ко"</v>
      </c>
      <c r="I41" s="602">
        <v>3170</v>
      </c>
      <c r="J41" s="604"/>
      <c r="K41" s="603">
        <v>633254.09</v>
      </c>
      <c r="L41" s="75" t="str">
        <f>VLOOKUP(I41,Справочник!$A$2:$F$415,5,FALSE)</f>
        <v>прочие поступления</v>
      </c>
      <c r="M41" s="75" t="str">
        <f>VLOOKUP(I41,Справочник!$A$2:$F$415,6,FALSE)</f>
        <v>прочие выплаты</v>
      </c>
    </row>
    <row r="42" spans="1:13">
      <c r="A42" s="278" t="str">
        <f t="shared" si="0"/>
        <v xml:space="preserve"> "Тема Ко"</v>
      </c>
      <c r="B42" s="602">
        <v>6200</v>
      </c>
      <c r="C42" s="603">
        <v>35964.49</v>
      </c>
      <c r="D42" s="604"/>
      <c r="E42" s="75">
        <f>VLOOKUP(B42,Справочник!$A$2:$F$415,5,FALSE)</f>
        <v>0</v>
      </c>
      <c r="F42" s="75">
        <f>VLOOKUP(B42,Справочник!$A$2:$F$415,6,FALSE)</f>
        <v>0</v>
      </c>
      <c r="H42" s="278" t="str">
        <f t="shared" si="1"/>
        <v xml:space="preserve"> "Тема Ко"</v>
      </c>
      <c r="I42" s="602">
        <v>3180</v>
      </c>
      <c r="J42" s="604"/>
      <c r="K42" s="603">
        <v>63798603.399999999</v>
      </c>
      <c r="L42" s="75" t="str">
        <f>VLOOKUP(I42,Справочник!$A$2:$F$415,5,FALSE)</f>
        <v>прочие поступления</v>
      </c>
      <c r="M42" s="75" t="str">
        <f>VLOOKUP(I42,Справочник!$A$2:$F$415,6,FALSE)</f>
        <v>прочие выплаты</v>
      </c>
    </row>
    <row r="43" spans="1:13">
      <c r="A43" s="278" t="str">
        <f t="shared" si="0"/>
        <v xml:space="preserve"> "Тема Ко"</v>
      </c>
      <c r="B43" s="602">
        <v>6250</v>
      </c>
      <c r="C43" s="603">
        <v>35964.49</v>
      </c>
      <c r="D43" s="604"/>
      <c r="E43" s="75" t="str">
        <f>VLOOKUP(B43,Справочник!$A$2:$F$415,5,FALSE)</f>
        <v>прочие поступления</v>
      </c>
      <c r="F43" s="75" t="str">
        <f>VLOOKUP(B43,Справочник!$A$2:$F$415,6,FALSE)</f>
        <v>прочие выплаты</v>
      </c>
      <c r="H43" s="278" t="str">
        <f t="shared" si="1"/>
        <v xml:space="preserve"> "Тема Ко"</v>
      </c>
      <c r="I43" s="602">
        <v>3190</v>
      </c>
      <c r="J43" s="604"/>
      <c r="K43" s="603">
        <v>1344019.11</v>
      </c>
      <c r="L43" s="75" t="str">
        <f>VLOOKUP(I43,Справочник!$A$2:$F$415,5,FALSE)</f>
        <v>прочие поступления</v>
      </c>
      <c r="M43" s="75" t="str">
        <f>VLOOKUP(I43,Справочник!$A$2:$F$415,6,FALSE)</f>
        <v>прочие выплаты</v>
      </c>
    </row>
    <row r="44" spans="1:13">
      <c r="A44" s="278" t="str">
        <f t="shared" si="0"/>
        <v xml:space="preserve"> "Тема Ко"</v>
      </c>
      <c r="B44" s="602">
        <v>7400</v>
      </c>
      <c r="C44" s="604"/>
      <c r="D44" s="603">
        <v>124427</v>
      </c>
      <c r="E44" s="75">
        <f>VLOOKUP(B44,Справочник!$A$2:$F$415,5,FALSE)</f>
        <v>0</v>
      </c>
      <c r="F44" s="75">
        <f>VLOOKUP(B44,Справочник!$A$2:$F$415,6,FALSE)</f>
        <v>0</v>
      </c>
      <c r="H44" s="278" t="str">
        <f t="shared" si="1"/>
        <v xml:space="preserve"> "Тема Ко"</v>
      </c>
      <c r="I44" s="602">
        <v>3200</v>
      </c>
      <c r="J44" s="603">
        <v>55301.72</v>
      </c>
      <c r="K44" s="603">
        <v>5855631.7599999998</v>
      </c>
      <c r="L44" s="75">
        <f>VLOOKUP(I44,Справочник!$A$2:$F$415,5,FALSE)</f>
        <v>0</v>
      </c>
      <c r="M44" s="75">
        <f>VLOOKUP(I44,Справочник!$A$2:$F$415,6,FALSE)</f>
        <v>0</v>
      </c>
    </row>
    <row r="45" spans="1:13">
      <c r="A45" s="278" t="str">
        <f t="shared" si="0"/>
        <v xml:space="preserve"> "Тема Ко"</v>
      </c>
      <c r="B45" s="602">
        <v>7430</v>
      </c>
      <c r="C45" s="604"/>
      <c r="D45" s="603">
        <v>14485.61</v>
      </c>
      <c r="E45" s="75" t="str">
        <f>VLOOKUP(B45,Справочник!$A$2:$F$415,5,FALSE)</f>
        <v>прочие поступления</v>
      </c>
      <c r="F45" s="75" t="str">
        <f>VLOOKUP(B45,Справочник!$A$2:$F$415,6,FALSE)</f>
        <v>прочие выплаты</v>
      </c>
      <c r="H45" s="278" t="str">
        <f t="shared" si="1"/>
        <v xml:space="preserve"> "Тема Ко"</v>
      </c>
      <c r="I45" s="602">
        <v>3210</v>
      </c>
      <c r="J45" s="603">
        <v>23564.33</v>
      </c>
      <c r="K45" s="603">
        <v>1758680.87</v>
      </c>
      <c r="L45" s="75" t="str">
        <f>VLOOKUP(I45,Справочник!$A$2:$F$415,5,FALSE)</f>
        <v>прочие поступления</v>
      </c>
      <c r="M45" s="75" t="str">
        <f>VLOOKUP(I45,Справочник!$A$2:$F$415,6,FALSE)</f>
        <v>прочие выплаты</v>
      </c>
    </row>
    <row r="46" spans="1:13">
      <c r="A46" s="278" t="str">
        <f t="shared" si="0"/>
        <v xml:space="preserve"> "Тема Ко"</v>
      </c>
      <c r="B46" s="602">
        <v>7470</v>
      </c>
      <c r="C46" s="604"/>
      <c r="D46" s="603">
        <v>109941.39</v>
      </c>
      <c r="E46" s="75" t="str">
        <f>VLOOKUP(B46,Справочник!$A$2:$F$415,5,FALSE)</f>
        <v>прочие поступления</v>
      </c>
      <c r="F46" s="75" t="str">
        <f>VLOOKUP(B46,Справочник!$A$2:$F$415,6,FALSE)</f>
        <v>прочие выплаты</v>
      </c>
      <c r="H46" s="278" t="str">
        <f t="shared" si="1"/>
        <v xml:space="preserve"> "Тема Ко"</v>
      </c>
      <c r="I46" s="602">
        <v>3220</v>
      </c>
      <c r="J46" s="603">
        <v>31737.39</v>
      </c>
      <c r="K46" s="603">
        <v>3840941.89</v>
      </c>
      <c r="L46" s="75" t="str">
        <f>VLOOKUP(I46,Справочник!$A$2:$F$415,5,FALSE)</f>
        <v>прочие поступления</v>
      </c>
      <c r="M46" s="75" t="str">
        <f>VLOOKUP(I46,Справочник!$A$2:$F$415,6,FALSE)</f>
        <v>прочие выплаты</v>
      </c>
    </row>
    <row r="47" spans="1:13">
      <c r="A47" s="278" t="str">
        <f t="shared" si="0"/>
        <v xml:space="preserve"> "Тема Ко"</v>
      </c>
      <c r="B47" s="605" t="s">
        <v>608</v>
      </c>
      <c r="C47" s="606">
        <v>766007006.19000006</v>
      </c>
      <c r="D47" s="606">
        <v>801364605.08000004</v>
      </c>
      <c r="E47" s="75"/>
      <c r="F47" s="75"/>
      <c r="H47" s="278" t="str">
        <f t="shared" si="1"/>
        <v xml:space="preserve"> "Тема Ко"</v>
      </c>
      <c r="I47" s="602">
        <v>3230</v>
      </c>
      <c r="J47" s="604"/>
      <c r="K47" s="603">
        <v>256009</v>
      </c>
      <c r="L47" s="75" t="str">
        <f>VLOOKUP(I47,Справочник!$A$2:$F$415,5,FALSE)</f>
        <v>прочие поступления</v>
      </c>
      <c r="M47" s="75" t="str">
        <f>VLOOKUP(I47,Справочник!$A$2:$F$415,6,FALSE)</f>
        <v>прочие выплаты</v>
      </c>
    </row>
    <row r="48" spans="1:13" ht="24">
      <c r="A48" s="278" t="str">
        <f t="shared" si="0"/>
        <v xml:space="preserve"> "Тема Ко"</v>
      </c>
      <c r="B48" s="459" t="s">
        <v>698</v>
      </c>
      <c r="C48" s="606">
        <v>175985.4</v>
      </c>
      <c r="D48" s="532"/>
      <c r="E48" s="75" t="e">
        <f>VLOOKUP(B48,Справочник!$A$2:$F$415,5,FALSE)</f>
        <v>#N/A</v>
      </c>
      <c r="F48" s="75" t="e">
        <f>VLOOKUP(B48,Справочник!$A$2:$F$415,6,FALSE)</f>
        <v>#N/A</v>
      </c>
      <c r="H48" s="278" t="str">
        <f t="shared" si="1"/>
        <v xml:space="preserve"> "Тема Ко"</v>
      </c>
      <c r="I48" s="602">
        <v>3300</v>
      </c>
      <c r="J48" s="603">
        <v>16238889.27</v>
      </c>
      <c r="K48" s="603">
        <v>496117056.76999998</v>
      </c>
      <c r="L48" s="75">
        <f>VLOOKUP(I48,Справочник!$A$2:$F$415,5,FALSE)</f>
        <v>0</v>
      </c>
      <c r="M48" s="75">
        <f>VLOOKUP(I48,Справочник!$A$2:$F$415,6,FALSE)</f>
        <v>0</v>
      </c>
    </row>
    <row r="49" spans="1:13">
      <c r="A49" s="278" t="str">
        <f t="shared" si="0"/>
        <v xml:space="preserve"> "Тема Ко"</v>
      </c>
      <c r="B49" s="531"/>
      <c r="C49" s="533"/>
      <c r="D49" s="532"/>
      <c r="E49" s="75">
        <f>VLOOKUP(B49,Справочник!$A$2:$F$415,5,FALSE)</f>
        <v>0</v>
      </c>
      <c r="F49" s="75">
        <f>VLOOKUP(B49,Справочник!$A$2:$F$415,6,FALSE)</f>
        <v>0</v>
      </c>
      <c r="H49" s="278" t="str">
        <f t="shared" si="1"/>
        <v xml:space="preserve"> "Тема Ко"</v>
      </c>
      <c r="I49" s="602">
        <v>3310</v>
      </c>
      <c r="J49" s="603">
        <v>16238889.27</v>
      </c>
      <c r="K49" s="603">
        <v>429399061.06999999</v>
      </c>
      <c r="L49" s="75" t="str">
        <f>VLOOKUP(I49,Справочник!$A$2:$F$415,5,FALSE)</f>
        <v>прочие поступления</v>
      </c>
      <c r="M49" s="75" t="str">
        <f>VLOOKUP(I49,Справочник!$A$2:$F$415,6,FALSE)</f>
        <v>платежи поставщикам за товары и услуги</v>
      </c>
    </row>
    <row r="50" spans="1:13">
      <c r="A50" s="278" t="str">
        <f t="shared" si="0"/>
        <v xml:space="preserve"> "Тема Ко"</v>
      </c>
      <c r="B50" s="531"/>
      <c r="C50" s="533"/>
      <c r="D50" s="532"/>
      <c r="E50" s="75">
        <f>VLOOKUP(B50,Справочник!$A$2:$F$415,5,FALSE)</f>
        <v>0</v>
      </c>
      <c r="F50" s="75">
        <f>VLOOKUP(B50,Справочник!$A$2:$F$415,6,FALSE)</f>
        <v>0</v>
      </c>
      <c r="H50" s="278" t="str">
        <f t="shared" si="1"/>
        <v xml:space="preserve"> "Тема Ко"</v>
      </c>
      <c r="I50" s="602">
        <v>3350</v>
      </c>
      <c r="J50" s="604"/>
      <c r="K50" s="603">
        <v>35768301.609999999</v>
      </c>
      <c r="L50" s="75" t="str">
        <f>VLOOKUP(I50,Справочник!$A$2:$F$415,5,FALSE)</f>
        <v>прочие поступления</v>
      </c>
      <c r="M50" s="75" t="str">
        <f>VLOOKUP(I50,Справочник!$A$2:$F$415,6,FALSE)</f>
        <v>выплаты по оплате труда</v>
      </c>
    </row>
    <row r="51" spans="1:13">
      <c r="A51" s="278" t="str">
        <f t="shared" si="0"/>
        <v xml:space="preserve"> "Тема Ко"</v>
      </c>
      <c r="B51" s="535"/>
      <c r="C51" s="536"/>
      <c r="D51" s="536"/>
      <c r="E51" s="75">
        <f>VLOOKUP(B51,Справочник!$A$2:$F$415,5,FALSE)</f>
        <v>0</v>
      </c>
      <c r="F51" s="75">
        <f>VLOOKUP(B51,Справочник!$A$2:$F$415,6,FALSE)</f>
        <v>0</v>
      </c>
      <c r="H51" s="278" t="str">
        <f t="shared" si="1"/>
        <v xml:space="preserve"> "Тема Ко"</v>
      </c>
      <c r="I51" s="602">
        <v>3380</v>
      </c>
      <c r="J51" s="604"/>
      <c r="K51" s="603">
        <v>30485000</v>
      </c>
      <c r="L51" s="75" t="str">
        <f>VLOOKUP(I51,Справочник!$A$2:$F$415,5,FALSE)</f>
        <v>прочие поступления</v>
      </c>
      <c r="M51" s="75" t="str">
        <f>VLOOKUP(I51,Справочник!$A$2:$F$415,6,FALSE)</f>
        <v>выплата вознаграждения</v>
      </c>
    </row>
    <row r="52" spans="1:13">
      <c r="A52" s="278" t="str">
        <f t="shared" si="0"/>
        <v xml:space="preserve"> "Тема Ко"</v>
      </c>
      <c r="B52" s="459"/>
      <c r="C52" s="536"/>
      <c r="D52" s="443"/>
      <c r="E52" s="75">
        <f>VLOOKUP(B52,Справочник!$A$2:$F$415,5,FALSE)</f>
        <v>0</v>
      </c>
      <c r="F52" s="75">
        <f>VLOOKUP(B52,Справочник!$A$2:$F$415,6,FALSE)</f>
        <v>0</v>
      </c>
      <c r="H52" s="278" t="str">
        <f t="shared" si="1"/>
        <v xml:space="preserve"> "Тема Ко"</v>
      </c>
      <c r="I52" s="602">
        <v>3390</v>
      </c>
      <c r="J52" s="604"/>
      <c r="K52" s="603">
        <v>464694.09</v>
      </c>
      <c r="L52" s="75">
        <f>VLOOKUP(I52,Справочник!$A$2:$F$415,5,FALSE)</f>
        <v>0</v>
      </c>
      <c r="M52" s="75">
        <f>VLOOKUP(I52,Справочник!$A$2:$F$415,6,FALSE)</f>
        <v>0</v>
      </c>
    </row>
    <row r="53" spans="1:13">
      <c r="A53" s="278" t="str">
        <f t="shared" si="0"/>
        <v xml:space="preserve"> "Тема Ко"</v>
      </c>
      <c r="B53" s="488"/>
      <c r="C53" s="444"/>
      <c r="D53" s="443"/>
      <c r="E53" s="75">
        <f>VLOOKUP(B53,Справочник!$A$2:$F$415,5,FALSE)</f>
        <v>0</v>
      </c>
      <c r="F53" s="75">
        <f>VLOOKUP(B53,Справочник!$A$2:$F$415,6,FALSE)</f>
        <v>0</v>
      </c>
      <c r="H53" s="278" t="str">
        <f t="shared" si="1"/>
        <v xml:space="preserve"> "Тема Ко"</v>
      </c>
      <c r="I53" s="602">
        <v>3396</v>
      </c>
      <c r="J53" s="604"/>
      <c r="K53" s="603">
        <v>378062.94</v>
      </c>
      <c r="L53" s="75" t="str">
        <f>VLOOKUP(I53,Справочник!$A$2:$F$415,5,FALSE)</f>
        <v>прочие поступления</v>
      </c>
      <c r="M53" s="75" t="str">
        <f>VLOOKUP(I53,Справочник!$A$2:$F$415,6,FALSE)</f>
        <v>прочие выплаты</v>
      </c>
    </row>
    <row r="54" spans="1:13">
      <c r="A54" s="278" t="str">
        <f t="shared" si="0"/>
        <v xml:space="preserve"> "Тема Ко"</v>
      </c>
      <c r="B54" s="488"/>
      <c r="C54" s="444"/>
      <c r="D54" s="443"/>
      <c r="E54" s="75">
        <f>VLOOKUP(B54,Справочник!$A$2:$F$415,5,FALSE)</f>
        <v>0</v>
      </c>
      <c r="F54" s="75">
        <f>VLOOKUP(B54,Справочник!$A$2:$F$415,6,FALSE)</f>
        <v>0</v>
      </c>
      <c r="H54" s="278" t="str">
        <f t="shared" si="1"/>
        <v xml:space="preserve"> "Тема Ко"</v>
      </c>
      <c r="I54" s="602">
        <v>3397</v>
      </c>
      <c r="J54" s="604"/>
      <c r="K54" s="603">
        <v>86631.15</v>
      </c>
      <c r="L54" s="75" t="str">
        <f>VLOOKUP(I54,Справочник!$A$2:$F$415,5,FALSE)</f>
        <v>прочие поступления</v>
      </c>
      <c r="M54" s="75" t="str">
        <f>VLOOKUP(I54,Справочник!$A$2:$F$415,6,FALSE)</f>
        <v>прочие выплаты</v>
      </c>
    </row>
    <row r="55" spans="1:13">
      <c r="A55" s="278" t="str">
        <f t="shared" si="0"/>
        <v xml:space="preserve"> "Тема Ко"</v>
      </c>
      <c r="B55" s="488"/>
      <c r="C55" s="444"/>
      <c r="D55" s="443"/>
      <c r="E55" s="75">
        <f>VLOOKUP(B55,Справочник!$A$2:$F$415,5,FALSE)</f>
        <v>0</v>
      </c>
      <c r="F55" s="75">
        <f>VLOOKUP(B55,Справочник!$A$2:$F$415,6,FALSE)</f>
        <v>0</v>
      </c>
      <c r="H55" s="278" t="str">
        <f t="shared" si="1"/>
        <v xml:space="preserve"> "Тема Ко"</v>
      </c>
      <c r="I55" s="602">
        <v>3500</v>
      </c>
      <c r="J55" s="603">
        <v>172785796.06</v>
      </c>
      <c r="K55" s="603">
        <v>5077399.68</v>
      </c>
      <c r="L55" s="75">
        <f>VLOOKUP(I55,Справочник!$A$2:$F$415,5,FALSE)</f>
        <v>0</v>
      </c>
      <c r="M55" s="75">
        <f>VLOOKUP(I55,Справочник!$A$2:$F$415,6,FALSE)</f>
        <v>0</v>
      </c>
    </row>
    <row r="56" spans="1:13">
      <c r="A56" s="278" t="str">
        <f t="shared" si="0"/>
        <v xml:space="preserve"> "Тема Ко"</v>
      </c>
      <c r="B56" s="459"/>
      <c r="C56" s="490"/>
      <c r="D56" s="490"/>
      <c r="E56" s="75">
        <f>VLOOKUP(B56,Справочник!$A$2:$F$415,5,FALSE)</f>
        <v>0</v>
      </c>
      <c r="F56" s="75">
        <f>VLOOKUP(B56,Справочник!$A$2:$F$415,6,FALSE)</f>
        <v>0</v>
      </c>
      <c r="H56" s="278" t="str">
        <f t="shared" si="1"/>
        <v xml:space="preserve"> "Тема Ко"</v>
      </c>
      <c r="I56" s="602">
        <v>3510</v>
      </c>
      <c r="J56" s="603">
        <v>172785796.06</v>
      </c>
      <c r="K56" s="603">
        <v>5077399.68</v>
      </c>
      <c r="L56" s="75" t="str">
        <f>VLOOKUP(I56,Справочник!$A$2:$F$415,5,FALSE)</f>
        <v>авансы, полученные от покупателей, заказчиков</v>
      </c>
      <c r="M56" s="75" t="str">
        <f>VLOOKUP(I56,Справочник!$A$2:$F$415,6,FALSE)</f>
        <v>прочие выплаты</v>
      </c>
    </row>
    <row r="57" spans="1:13">
      <c r="A57" s="278" t="str">
        <f t="shared" si="0"/>
        <v xml:space="preserve"> "Тема Ко"</v>
      </c>
      <c r="B57" s="459"/>
      <c r="C57" s="490"/>
      <c r="D57" s="409"/>
      <c r="E57" s="75">
        <f>VLOOKUP(B57,Справочник!$A$2:$F$415,5,FALSE)</f>
        <v>0</v>
      </c>
      <c r="F57" s="75">
        <f>VLOOKUP(B57,Справочник!$A$2:$F$415,6,FALSE)</f>
        <v>0</v>
      </c>
      <c r="H57" s="278" t="str">
        <f t="shared" si="1"/>
        <v xml:space="preserve"> "Тема Ко"</v>
      </c>
      <c r="I57" s="602">
        <v>6200</v>
      </c>
      <c r="J57" s="603">
        <v>61970.59</v>
      </c>
      <c r="K57" s="604"/>
      <c r="L57" s="75">
        <f>VLOOKUP(I57,Справочник!$A$2:$F$415,5,FALSE)</f>
        <v>0</v>
      </c>
      <c r="M57" s="75">
        <f>VLOOKUP(I57,Справочник!$A$2:$F$415,6,FALSE)</f>
        <v>0</v>
      </c>
    </row>
    <row r="58" spans="1:13">
      <c r="A58" s="278" t="str">
        <f t="shared" si="0"/>
        <v xml:space="preserve"> "Тема Ко"</v>
      </c>
      <c r="B58" s="406"/>
      <c r="C58" s="407"/>
      <c r="D58" s="409"/>
      <c r="E58" s="75">
        <f>VLOOKUP(B58,Справочник!$A$2:$F$415,5,FALSE)</f>
        <v>0</v>
      </c>
      <c r="F58" s="75">
        <f>VLOOKUP(B58,Справочник!$A$2:$F$415,6,FALSE)</f>
        <v>0</v>
      </c>
      <c r="H58" s="278" t="str">
        <f t="shared" si="1"/>
        <v xml:space="preserve"> "Тема Ко"</v>
      </c>
      <c r="I58" s="602">
        <v>6250</v>
      </c>
      <c r="J58" s="603">
        <v>50231.41</v>
      </c>
      <c r="K58" s="604"/>
      <c r="L58" s="75" t="str">
        <f>VLOOKUP(I58,Справочник!$A$2:$F$415,5,FALSE)</f>
        <v>прочие поступления</v>
      </c>
      <c r="M58" s="75" t="str">
        <f>VLOOKUP(I58,Справочник!$A$2:$F$415,6,FALSE)</f>
        <v>прочие выплаты</v>
      </c>
    </row>
    <row r="59" spans="1:13">
      <c r="A59" s="278" t="str">
        <f t="shared" si="0"/>
        <v xml:space="preserve"> "Тема Ко"</v>
      </c>
      <c r="B59" s="406"/>
      <c r="C59" s="408"/>
      <c r="D59" s="407"/>
      <c r="E59" s="75">
        <f>VLOOKUP(B59,Справочник!$A$2:$F$415,5,FALSE)</f>
        <v>0</v>
      </c>
      <c r="F59" s="75">
        <f>VLOOKUP(B59,Справочник!$A$2:$F$415,6,FALSE)</f>
        <v>0</v>
      </c>
      <c r="H59" s="278" t="str">
        <f t="shared" si="1"/>
        <v xml:space="preserve"> "Тема Ко"</v>
      </c>
      <c r="I59" s="602">
        <v>6280</v>
      </c>
      <c r="J59" s="603">
        <v>11739.18</v>
      </c>
      <c r="K59" s="604"/>
      <c r="L59" s="75" t="str">
        <f>VLOOKUP(I59,Справочник!$A$2:$F$415,5,FALSE)</f>
        <v>прочие поступления</v>
      </c>
      <c r="M59" s="75">
        <f>VLOOKUP(I59,Справочник!$A$2:$F$415,6,FALSE)</f>
        <v>0</v>
      </c>
    </row>
    <row r="60" spans="1:13">
      <c r="A60" s="278" t="str">
        <f t="shared" si="0"/>
        <v xml:space="preserve"> "Тема Ко"</v>
      </c>
      <c r="B60" s="406"/>
      <c r="C60" s="408"/>
      <c r="D60" s="407"/>
      <c r="E60" s="75">
        <f>VLOOKUP(B60,Справочник!$A$2:$F$415,5,FALSE)</f>
        <v>0</v>
      </c>
      <c r="F60" s="75">
        <f>VLOOKUP(B60,Справочник!$A$2:$F$415,6,FALSE)</f>
        <v>0</v>
      </c>
      <c r="H60" s="278" t="str">
        <f t="shared" si="1"/>
        <v xml:space="preserve"> "Тема Ко"</v>
      </c>
      <c r="I60" s="602">
        <v>7400</v>
      </c>
      <c r="J60" s="604"/>
      <c r="K60" s="603">
        <v>250538.17</v>
      </c>
      <c r="L60" s="75">
        <f>VLOOKUP(I60,Справочник!$A$2:$F$415,5,FALSE)</f>
        <v>0</v>
      </c>
      <c r="M60" s="75">
        <f>VLOOKUP(I60,Справочник!$A$2:$F$415,6,FALSE)</f>
        <v>0</v>
      </c>
    </row>
    <row r="61" spans="1:13">
      <c r="A61" s="278" t="str">
        <f t="shared" si="0"/>
        <v xml:space="preserve"> "Тема Ко"</v>
      </c>
      <c r="B61" s="406"/>
      <c r="C61" s="408"/>
      <c r="D61" s="407"/>
      <c r="E61" s="75">
        <f>VLOOKUP(B61,Справочник!$A$2:$F$415,5,FALSE)</f>
        <v>0</v>
      </c>
      <c r="F61" s="75">
        <f>VLOOKUP(B61,Справочник!$A$2:$F$415,6,FALSE)</f>
        <v>0</v>
      </c>
      <c r="H61" s="278" t="str">
        <f t="shared" si="1"/>
        <v xml:space="preserve"> "Тема Ко"</v>
      </c>
      <c r="I61" s="602">
        <v>7430</v>
      </c>
      <c r="J61" s="604"/>
      <c r="K61" s="603">
        <v>63952.89</v>
      </c>
      <c r="L61" s="75" t="str">
        <f>VLOOKUP(I61,Справочник!$A$2:$F$415,5,FALSE)</f>
        <v>прочие поступления</v>
      </c>
      <c r="M61" s="75" t="str">
        <f>VLOOKUP(I61,Справочник!$A$2:$F$415,6,FALSE)</f>
        <v>прочие выплаты</v>
      </c>
    </row>
    <row r="62" spans="1:13">
      <c r="A62" s="278" t="str">
        <f t="shared" si="0"/>
        <v xml:space="preserve"> "Тема Ко"</v>
      </c>
      <c r="B62" s="406"/>
      <c r="C62" s="408"/>
      <c r="D62" s="407"/>
      <c r="E62" s="75">
        <f>VLOOKUP(B62,Справочник!$A$2:$F$415,5,FALSE)</f>
        <v>0</v>
      </c>
      <c r="F62" s="75">
        <f>VLOOKUP(B62,Справочник!$A$2:$F$415,6,FALSE)</f>
        <v>0</v>
      </c>
      <c r="H62" s="278" t="str">
        <f t="shared" si="1"/>
        <v xml:space="preserve"> "Тема Ко"</v>
      </c>
      <c r="I62" s="602">
        <v>7470</v>
      </c>
      <c r="J62" s="604"/>
      <c r="K62" s="603">
        <v>186585.28</v>
      </c>
      <c r="L62" s="75" t="str">
        <f>VLOOKUP(I62,Справочник!$A$2:$F$415,5,FALSE)</f>
        <v>прочие поступления</v>
      </c>
      <c r="M62" s="75" t="str">
        <f>VLOOKUP(I62,Справочник!$A$2:$F$415,6,FALSE)</f>
        <v>прочие выплаты</v>
      </c>
    </row>
    <row r="63" spans="1:13">
      <c r="A63" s="278" t="str">
        <f t="shared" si="0"/>
        <v xml:space="preserve"> "Тема Ко"</v>
      </c>
      <c r="B63" s="403"/>
      <c r="C63" s="404"/>
      <c r="D63" s="404"/>
      <c r="E63" s="75"/>
      <c r="F63" s="75"/>
      <c r="H63" s="278" t="str">
        <f t="shared" si="1"/>
        <v xml:space="preserve"> "Тема Ко"</v>
      </c>
      <c r="I63" s="605" t="s">
        <v>608</v>
      </c>
      <c r="J63" s="606">
        <v>2694300048.77</v>
      </c>
      <c r="K63" s="606">
        <v>2675651772.9200001</v>
      </c>
      <c r="L63" s="75" t="e">
        <f>VLOOKUP(I63,Справочник!$A$2:$F$415,5,FALSE)</f>
        <v>#N/A</v>
      </c>
      <c r="M63" s="75" t="e">
        <f>VLOOKUP(I63,Справочник!$A$2:$F$415,6,FALSE)</f>
        <v>#N/A</v>
      </c>
    </row>
    <row r="64" spans="1:13" ht="24">
      <c r="A64" s="278" t="str">
        <f t="shared" si="0"/>
        <v xml:space="preserve"> "Тема Ко"</v>
      </c>
      <c r="B64" s="403"/>
      <c r="C64" s="404"/>
      <c r="D64" s="405"/>
      <c r="E64" s="75"/>
      <c r="F64" s="75"/>
      <c r="H64" s="278" t="str">
        <f t="shared" si="1"/>
        <v xml:space="preserve"> "Тема Ко"</v>
      </c>
      <c r="I64" s="459" t="s">
        <v>698</v>
      </c>
      <c r="J64" s="606">
        <v>35533584.289999999</v>
      </c>
      <c r="K64" s="405"/>
      <c r="L64" s="75" t="e">
        <f>VLOOKUP(I64,Справочник!$A$2:$F$415,5,FALSE)</f>
        <v>#N/A</v>
      </c>
      <c r="M64" s="75" t="e">
        <f>VLOOKUP(I64,Справочник!$A$2:$F$415,6,FALSE)</f>
        <v>#N/A</v>
      </c>
    </row>
    <row r="65" spans="1:13">
      <c r="A65" s="278" t="str">
        <f t="shared" si="0"/>
        <v xml:space="preserve"> "Тема Ко"</v>
      </c>
      <c r="B65" s="381"/>
      <c r="C65" s="382"/>
      <c r="D65" s="382"/>
      <c r="E65" s="75">
        <f>VLOOKUP(B65,Справочник!$A$2:$F$415,5,FALSE)</f>
        <v>0</v>
      </c>
      <c r="F65" s="75">
        <f>VLOOKUP(B65,Справочник!$A$2:$F$415,6,FALSE)</f>
        <v>0</v>
      </c>
      <c r="H65" s="278" t="str">
        <f t="shared" si="1"/>
        <v xml:space="preserve"> "Тема Ко"</v>
      </c>
      <c r="I65" s="381"/>
      <c r="J65" s="382"/>
      <c r="K65" s="383"/>
      <c r="L65" s="75">
        <f>VLOOKUP(I65,Справочник!$A$2:$F$415,5,FALSE)</f>
        <v>0</v>
      </c>
      <c r="M65" s="75">
        <f>VLOOKUP(I65,Справочник!$A$2:$F$415,6,FALSE)</f>
        <v>0</v>
      </c>
    </row>
    <row r="66" spans="1:13">
      <c r="A66" s="278" t="str">
        <f t="shared" si="0"/>
        <v xml:space="preserve"> "Тема Ко"</v>
      </c>
      <c r="B66" s="381"/>
      <c r="C66" s="382"/>
      <c r="D66" s="383"/>
      <c r="E66" s="75">
        <f>VLOOKUP(B66,Справочник!$A$2:$F$415,5,FALSE)</f>
        <v>0</v>
      </c>
      <c r="F66" s="75">
        <f>VLOOKUP(B66,Справочник!$A$2:$F$415,6,FALSE)</f>
        <v>0</v>
      </c>
      <c r="H66" s="278" t="str">
        <f t="shared" si="1"/>
        <v xml:space="preserve"> "Тема Ко"</v>
      </c>
      <c r="I66" s="381"/>
      <c r="J66" s="382"/>
      <c r="K66" s="383"/>
      <c r="L66" s="75">
        <f>VLOOKUP(I66,Справочник!$A$2:$F$415,5,FALSE)</f>
        <v>0</v>
      </c>
      <c r="M66" s="75">
        <f>VLOOKUP(I66,Справочник!$A$2:$F$415,6,FALSE)</f>
        <v>0</v>
      </c>
    </row>
    <row r="67" spans="1:13">
      <c r="A67" s="278" t="str">
        <f t="shared" si="0"/>
        <v xml:space="preserve"> "Тема Ко"</v>
      </c>
      <c r="B67" s="381"/>
      <c r="C67" s="382"/>
      <c r="D67" s="383"/>
      <c r="E67" s="75">
        <f>VLOOKUP(B67,Справочник!$A$2:$F$415,5,FALSE)</f>
        <v>0</v>
      </c>
      <c r="F67" s="75">
        <f>VLOOKUP(B67,Справочник!$A$2:$F$415,6,FALSE)</f>
        <v>0</v>
      </c>
      <c r="H67" s="278" t="str">
        <f t="shared" si="1"/>
        <v xml:space="preserve"> "Тема Ко"</v>
      </c>
      <c r="I67" s="381"/>
      <c r="J67" s="384"/>
      <c r="K67" s="383"/>
      <c r="L67" s="75">
        <f>VLOOKUP(I67,Справочник!$A$2:$F$415,5,FALSE)</f>
        <v>0</v>
      </c>
      <c r="M67" s="75">
        <f>VLOOKUP(I67,Справочник!$A$2:$F$415,6,FALSE)</f>
        <v>0</v>
      </c>
    </row>
    <row r="68" spans="1:13">
      <c r="A68" s="278" t="str">
        <f t="shared" si="0"/>
        <v xml:space="preserve"> "Тема Ко"</v>
      </c>
      <c r="B68" s="381"/>
      <c r="C68" s="382"/>
      <c r="D68" s="383"/>
      <c r="E68" s="75">
        <f>VLOOKUP(B68,Справочник!$A$2:$F$415,5,FALSE)</f>
        <v>0</v>
      </c>
      <c r="F68" s="75">
        <f>VLOOKUP(B68,Справочник!$A$2:$F$415,6,FALSE)</f>
        <v>0</v>
      </c>
      <c r="H68" s="278" t="str">
        <f t="shared" si="1"/>
        <v xml:space="preserve"> "Тема Ко"</v>
      </c>
      <c r="I68" s="381"/>
      <c r="J68" s="383"/>
      <c r="K68" s="382"/>
      <c r="L68" s="75">
        <f>VLOOKUP(I68,Справочник!$A$2:$F$415,5,FALSE)</f>
        <v>0</v>
      </c>
      <c r="M68" s="75">
        <f>VLOOKUP(I68,Справочник!$A$2:$F$415,6,FALSE)</f>
        <v>0</v>
      </c>
    </row>
    <row r="69" spans="1:13">
      <c r="A69" s="278" t="str">
        <f t="shared" si="0"/>
        <v xml:space="preserve"> "Тема Ко"</v>
      </c>
      <c r="B69" s="381"/>
      <c r="C69" s="382"/>
      <c r="D69" s="383"/>
      <c r="E69" s="75">
        <f>VLOOKUP(B69,Справочник!$A$2:$F$415,5,FALSE)</f>
        <v>0</v>
      </c>
      <c r="F69" s="75">
        <f>VLOOKUP(B69,Справочник!$A$2:$F$415,6,FALSE)</f>
        <v>0</v>
      </c>
      <c r="H69" s="278" t="str">
        <f t="shared" si="1"/>
        <v xml:space="preserve"> "Тема Ко"</v>
      </c>
      <c r="I69" s="381"/>
      <c r="J69" s="383"/>
      <c r="K69" s="382"/>
      <c r="L69" s="75">
        <f>VLOOKUP(I69,Справочник!$A$2:$F$415,5,FALSE)</f>
        <v>0</v>
      </c>
      <c r="M69" s="75">
        <f>VLOOKUP(I69,Справочник!$A$2:$F$415,6,FALSE)</f>
        <v>0</v>
      </c>
    </row>
    <row r="70" spans="1:13">
      <c r="A70" s="278" t="str">
        <f t="shared" si="0"/>
        <v xml:space="preserve"> "Тема Ко"</v>
      </c>
      <c r="B70" s="381"/>
      <c r="C70" s="382"/>
      <c r="D70" s="384"/>
      <c r="E70" s="75">
        <f>VLOOKUP(B70,Справочник!$A$2:$F$415,5,FALSE)</f>
        <v>0</v>
      </c>
      <c r="F70" s="75">
        <f>VLOOKUP(B70,Справочник!$A$2:$F$415,6,FALSE)</f>
        <v>0</v>
      </c>
      <c r="H70" s="278" t="str">
        <f t="shared" si="1"/>
        <v xml:space="preserve"> "Тема Ко"</v>
      </c>
      <c r="I70" s="381"/>
      <c r="J70" s="383"/>
      <c r="K70" s="382"/>
      <c r="L70" s="75">
        <f>VLOOKUP(I70,Справочник!$A$2:$F$415,5,FALSE)</f>
        <v>0</v>
      </c>
      <c r="M70" s="75">
        <f>VLOOKUP(I70,Справочник!$A$2:$F$415,6,FALSE)</f>
        <v>0</v>
      </c>
    </row>
    <row r="71" spans="1:13">
      <c r="A71" s="278" t="str">
        <f t="shared" si="0"/>
        <v xml:space="preserve"> "Тема Ко"</v>
      </c>
      <c r="B71" s="381"/>
      <c r="C71" s="382"/>
      <c r="D71" s="384"/>
      <c r="E71" s="75">
        <f>VLOOKUP(B71,Справочник!$A$2:$F$415,5,FALSE)</f>
        <v>0</v>
      </c>
      <c r="F71" s="75">
        <f>VLOOKUP(B71,Справочник!$A$2:$F$415,6,FALSE)</f>
        <v>0</v>
      </c>
      <c r="H71" s="278" t="str">
        <f t="shared" si="1"/>
        <v xml:space="preserve"> "Тема Ко"</v>
      </c>
      <c r="I71" s="381"/>
      <c r="J71" s="383"/>
      <c r="K71" s="382"/>
      <c r="L71" s="75">
        <f>VLOOKUP(I71,Справочник!$A$2:$F$415,5,FALSE)</f>
        <v>0</v>
      </c>
      <c r="M71" s="75">
        <f>VLOOKUP(I71,Справочник!$A$2:$F$415,6,FALSE)</f>
        <v>0</v>
      </c>
    </row>
    <row r="72" spans="1:13">
      <c r="A72" s="278" t="str">
        <f t="shared" si="0"/>
        <v xml:space="preserve"> "Тема Ко"</v>
      </c>
      <c r="B72" s="381"/>
      <c r="C72" s="382"/>
      <c r="D72" s="383"/>
      <c r="E72" s="75">
        <f>VLOOKUP(B72,Справочник!$A$2:$F$415,5,FALSE)</f>
        <v>0</v>
      </c>
      <c r="F72" s="75">
        <f>VLOOKUP(B72,Справочник!$A$2:$F$415,6,FALSE)</f>
        <v>0</v>
      </c>
      <c r="H72" s="278" t="str">
        <f t="shared" si="1"/>
        <v xml:space="preserve"> "Тема Ко"</v>
      </c>
      <c r="I72" s="381"/>
      <c r="J72" s="383"/>
      <c r="K72" s="382"/>
      <c r="L72" s="75">
        <f>VLOOKUP(I72,Справочник!$A$2:$F$415,5,FALSE)</f>
        <v>0</v>
      </c>
      <c r="M72" s="75">
        <f>VLOOKUP(I72,Справочник!$A$2:$F$415,6,FALSE)</f>
        <v>0</v>
      </c>
    </row>
    <row r="73" spans="1:13">
      <c r="A73" s="278" t="str">
        <f t="shared" si="0"/>
        <v xml:space="preserve"> "Тема Ко"</v>
      </c>
      <c r="B73" s="381"/>
      <c r="C73" s="383"/>
      <c r="D73" s="382"/>
      <c r="E73" s="75">
        <f>VLOOKUP(B73,Справочник!$A$2:$F$415,5,FALSE)</f>
        <v>0</v>
      </c>
      <c r="F73" s="75">
        <f>VLOOKUP(B73,Справочник!$A$2:$F$415,6,FALSE)</f>
        <v>0</v>
      </c>
      <c r="H73" s="278" t="str">
        <f t="shared" si="1"/>
        <v xml:space="preserve"> "Тема Ко"</v>
      </c>
      <c r="I73" s="279"/>
      <c r="J73" s="280"/>
      <c r="K73" s="239"/>
      <c r="L73" s="75">
        <f>VLOOKUP(I73,Справочник!$A$2:$F$415,5,FALSE)</f>
        <v>0</v>
      </c>
      <c r="M73" s="75">
        <f>VLOOKUP(I73,Справочник!$A$2:$F$415,6,FALSE)</f>
        <v>0</v>
      </c>
    </row>
    <row r="74" spans="1:13">
      <c r="A74" s="278" t="str">
        <f t="shared" ref="A74:A77" si="2">A73</f>
        <v xml:space="preserve"> "Тема Ко"</v>
      </c>
      <c r="B74" s="381"/>
      <c r="C74" s="383"/>
      <c r="D74" s="382"/>
      <c r="E74" s="75">
        <f>VLOOKUP(B74,Справочник!$A$2:$F$415,5,FALSE)</f>
        <v>0</v>
      </c>
      <c r="F74" s="75">
        <f>VLOOKUP(B74,Справочник!$A$2:$F$415,6,FALSE)</f>
        <v>0</v>
      </c>
      <c r="H74" s="278" t="str">
        <f t="shared" ref="H74:H77" si="3">H73</f>
        <v xml:space="preserve"> "Тема Ко"</v>
      </c>
      <c r="I74" s="279"/>
      <c r="J74" s="238"/>
      <c r="K74" s="239"/>
      <c r="L74" s="75">
        <f>VLOOKUP(I74,Справочник!$A$2:$F$415,5,FALSE)</f>
        <v>0</v>
      </c>
      <c r="M74" s="75">
        <f>VLOOKUP(I74,Справочник!$A$2:$F$415,6,FALSE)</f>
        <v>0</v>
      </c>
    </row>
    <row r="75" spans="1:13">
      <c r="A75" s="278" t="str">
        <f t="shared" si="2"/>
        <v xml:space="preserve"> "Тема Ко"</v>
      </c>
      <c r="B75" s="381"/>
      <c r="C75" s="383"/>
      <c r="D75" s="382"/>
      <c r="E75" s="75">
        <f>VLOOKUP(B75,Справочник!$A$2:$F$415,5,FALSE)</f>
        <v>0</v>
      </c>
      <c r="F75" s="75">
        <f>VLOOKUP(B75,Справочник!$A$2:$F$415,6,FALSE)</f>
        <v>0</v>
      </c>
      <c r="H75" s="278" t="str">
        <f t="shared" si="3"/>
        <v xml:space="preserve"> "Тема Ко"</v>
      </c>
      <c r="I75" s="279"/>
      <c r="J75" s="238"/>
      <c r="K75" s="281"/>
      <c r="L75" s="75">
        <f>VLOOKUP(I75,Справочник!$A$2:$F$415,5,FALSE)</f>
        <v>0</v>
      </c>
      <c r="M75" s="75">
        <f>VLOOKUP(I75,Справочник!$A$2:$F$415,6,FALSE)</f>
        <v>0</v>
      </c>
    </row>
    <row r="76" spans="1:13">
      <c r="A76" s="278" t="str">
        <f t="shared" si="2"/>
        <v xml:space="preserve"> "Тема Ко"</v>
      </c>
      <c r="B76" s="381"/>
      <c r="C76" s="383"/>
      <c r="D76" s="382"/>
      <c r="E76" s="75">
        <f>VLOOKUP(B76,Справочник!$A$2:$F$415,5,FALSE)</f>
        <v>0</v>
      </c>
      <c r="F76" s="75">
        <f>VLOOKUP(B76,Справочник!$A$2:$F$415,6,FALSE)</f>
        <v>0</v>
      </c>
      <c r="H76" s="278" t="str">
        <f t="shared" si="3"/>
        <v xml:space="preserve"> "Тема Ко"</v>
      </c>
      <c r="I76" s="279"/>
      <c r="J76" s="280"/>
      <c r="K76" s="239"/>
      <c r="L76" s="75">
        <f>VLOOKUP(I76,Справочник!$A$2:$F$415,5,FALSE)</f>
        <v>0</v>
      </c>
      <c r="M76" s="75">
        <f>VLOOKUP(I76,Справочник!$A$2:$F$415,6,FALSE)</f>
        <v>0</v>
      </c>
    </row>
    <row r="77" spans="1:13" ht="15.75" thickBot="1">
      <c r="A77" s="278" t="str">
        <f t="shared" si="2"/>
        <v xml:space="preserve"> "Тема Ко"</v>
      </c>
      <c r="B77" s="381"/>
      <c r="C77" s="383"/>
      <c r="D77" s="382"/>
      <c r="E77" s="75">
        <f>VLOOKUP(B77,Справочник!$A$2:$F$415,5,FALSE)</f>
        <v>0</v>
      </c>
      <c r="F77" s="75">
        <f>VLOOKUP(B77,Справочник!$A$2:$F$415,6,FALSE)</f>
        <v>0</v>
      </c>
      <c r="H77" s="278" t="str">
        <f t="shared" si="3"/>
        <v xml:space="preserve"> "Тема Ко"</v>
      </c>
      <c r="I77" s="279"/>
      <c r="J77" s="280"/>
      <c r="K77" s="239"/>
      <c r="L77" s="75">
        <f>VLOOKUP(I77,Справочник!$A$2:$F$415,5,FALSE)</f>
        <v>0</v>
      </c>
      <c r="M77" s="75">
        <f>VLOOKUP(I77,Справочник!$A$2:$F$415,6,FALSE)</f>
        <v>0</v>
      </c>
    </row>
    <row r="78" spans="1:13">
      <c r="A78" s="282" t="s">
        <v>696</v>
      </c>
      <c r="B78" s="283"/>
      <c r="C78" s="385"/>
      <c r="D78" s="385"/>
      <c r="E78" s="75"/>
      <c r="F78" s="75"/>
      <c r="H78" s="282" t="s">
        <v>696</v>
      </c>
      <c r="I78" s="283"/>
      <c r="J78" s="385"/>
      <c r="K78" s="385"/>
      <c r="L78" s="75"/>
      <c r="M78" s="75"/>
    </row>
    <row r="79" spans="1:13" ht="15.75" thickBot="1">
      <c r="A79" s="284"/>
      <c r="B79" s="285"/>
      <c r="C79" s="385"/>
      <c r="D79" s="386"/>
      <c r="H79" s="284"/>
      <c r="I79" s="285"/>
      <c r="J79" s="385"/>
      <c r="K79" s="386"/>
      <c r="L79" s="75"/>
      <c r="M79" s="75"/>
    </row>
    <row r="80" spans="1:13">
      <c r="C80" s="470">
        <f>SUBTOTAL(9,C16:C77)</f>
        <v>1664044055.1100001</v>
      </c>
      <c r="D80" s="470">
        <f>SUBTOTAL(9,D16:D77)</f>
        <v>1866446038.3800001</v>
      </c>
      <c r="J80" s="470">
        <f>SUBTOTAL(9,J17:J72)</f>
        <v>3376124013.0999999</v>
      </c>
      <c r="K80" s="470">
        <f>SUBTOTAL(9,K17:K72)</f>
        <v>5668114352.0300007</v>
      </c>
    </row>
    <row r="81" spans="3:10">
      <c r="C81" s="387">
        <f>C80+C8-D80</f>
        <v>-166868398.98000002</v>
      </c>
      <c r="J81" s="387">
        <f>J80+J8-K80</f>
        <v>-2275105030.4900007</v>
      </c>
    </row>
  </sheetData>
  <mergeCells count="4">
    <mergeCell ref="A3:C3"/>
    <mergeCell ref="H3:J3"/>
    <mergeCell ref="A4:C4"/>
    <mergeCell ref="H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topLeftCell="A11" workbookViewId="0">
      <selection activeCell="C25" sqref="C25"/>
    </sheetView>
  </sheetViews>
  <sheetFormatPr defaultRowHeight="15" outlineLevelRow="1" outlineLevelCol="1"/>
  <cols>
    <col min="1" max="1" width="58.28515625" style="39" bestFit="1" customWidth="1"/>
    <col min="2" max="2" width="9.7109375" style="39" bestFit="1" customWidth="1"/>
    <col min="3" max="3" width="12" style="39" customWidth="1"/>
    <col min="4" max="4" width="12" style="39" customWidth="1" outlineLevel="1"/>
    <col min="5" max="256" width="9.140625" style="39"/>
    <col min="257" max="257" width="58.28515625" style="39" bestFit="1" customWidth="1"/>
    <col min="258" max="258" width="9.7109375" style="39" bestFit="1" customWidth="1"/>
    <col min="259" max="259" width="16.85546875" style="39" bestFit="1" customWidth="1"/>
    <col min="260" max="260" width="13.28515625" style="39" bestFit="1" customWidth="1"/>
    <col min="261" max="512" width="9.140625" style="39"/>
    <col min="513" max="513" width="58.28515625" style="39" bestFit="1" customWidth="1"/>
    <col min="514" max="514" width="9.7109375" style="39" bestFit="1" customWidth="1"/>
    <col min="515" max="515" width="16.85546875" style="39" bestFit="1" customWidth="1"/>
    <col min="516" max="516" width="13.28515625" style="39" bestFit="1" customWidth="1"/>
    <col min="517" max="768" width="9.140625" style="39"/>
    <col min="769" max="769" width="58.28515625" style="39" bestFit="1" customWidth="1"/>
    <col min="770" max="770" width="9.7109375" style="39" bestFit="1" customWidth="1"/>
    <col min="771" max="771" width="16.85546875" style="39" bestFit="1" customWidth="1"/>
    <col min="772" max="772" width="13.28515625" style="39" bestFit="1" customWidth="1"/>
    <col min="773" max="1024" width="9.140625" style="39"/>
    <col min="1025" max="1025" width="58.28515625" style="39" bestFit="1" customWidth="1"/>
    <col min="1026" max="1026" width="9.7109375" style="39" bestFit="1" customWidth="1"/>
    <col min="1027" max="1027" width="16.85546875" style="39" bestFit="1" customWidth="1"/>
    <col min="1028" max="1028" width="13.28515625" style="39" bestFit="1" customWidth="1"/>
    <col min="1029" max="1280" width="9.140625" style="39"/>
    <col min="1281" max="1281" width="58.28515625" style="39" bestFit="1" customWidth="1"/>
    <col min="1282" max="1282" width="9.7109375" style="39" bestFit="1" customWidth="1"/>
    <col min="1283" max="1283" width="16.85546875" style="39" bestFit="1" customWidth="1"/>
    <col min="1284" max="1284" width="13.28515625" style="39" bestFit="1" customWidth="1"/>
    <col min="1285" max="1536" width="9.140625" style="39"/>
    <col min="1537" max="1537" width="58.28515625" style="39" bestFit="1" customWidth="1"/>
    <col min="1538" max="1538" width="9.7109375" style="39" bestFit="1" customWidth="1"/>
    <col min="1539" max="1539" width="16.85546875" style="39" bestFit="1" customWidth="1"/>
    <col min="1540" max="1540" width="13.28515625" style="39" bestFit="1" customWidth="1"/>
    <col min="1541" max="1792" width="9.140625" style="39"/>
    <col min="1793" max="1793" width="58.28515625" style="39" bestFit="1" customWidth="1"/>
    <col min="1794" max="1794" width="9.7109375" style="39" bestFit="1" customWidth="1"/>
    <col min="1795" max="1795" width="16.85546875" style="39" bestFit="1" customWidth="1"/>
    <col min="1796" max="1796" width="13.28515625" style="39" bestFit="1" customWidth="1"/>
    <col min="1797" max="2048" width="9.140625" style="39"/>
    <col min="2049" max="2049" width="58.28515625" style="39" bestFit="1" customWidth="1"/>
    <col min="2050" max="2050" width="9.7109375" style="39" bestFit="1" customWidth="1"/>
    <col min="2051" max="2051" width="16.85546875" style="39" bestFit="1" customWidth="1"/>
    <col min="2052" max="2052" width="13.28515625" style="39" bestFit="1" customWidth="1"/>
    <col min="2053" max="2304" width="9.140625" style="39"/>
    <col min="2305" max="2305" width="58.28515625" style="39" bestFit="1" customWidth="1"/>
    <col min="2306" max="2306" width="9.7109375" style="39" bestFit="1" customWidth="1"/>
    <col min="2307" max="2307" width="16.85546875" style="39" bestFit="1" customWidth="1"/>
    <col min="2308" max="2308" width="13.28515625" style="39" bestFit="1" customWidth="1"/>
    <col min="2309" max="2560" width="9.140625" style="39"/>
    <col min="2561" max="2561" width="58.28515625" style="39" bestFit="1" customWidth="1"/>
    <col min="2562" max="2562" width="9.7109375" style="39" bestFit="1" customWidth="1"/>
    <col min="2563" max="2563" width="16.85546875" style="39" bestFit="1" customWidth="1"/>
    <col min="2564" max="2564" width="13.28515625" style="39" bestFit="1" customWidth="1"/>
    <col min="2565" max="2816" width="9.140625" style="39"/>
    <col min="2817" max="2817" width="58.28515625" style="39" bestFit="1" customWidth="1"/>
    <col min="2818" max="2818" width="9.7109375" style="39" bestFit="1" customWidth="1"/>
    <col min="2819" max="2819" width="16.85546875" style="39" bestFit="1" customWidth="1"/>
    <col min="2820" max="2820" width="13.28515625" style="39" bestFit="1" customWidth="1"/>
    <col min="2821" max="3072" width="9.140625" style="39"/>
    <col min="3073" max="3073" width="58.28515625" style="39" bestFit="1" customWidth="1"/>
    <col min="3074" max="3074" width="9.7109375" style="39" bestFit="1" customWidth="1"/>
    <col min="3075" max="3075" width="16.85546875" style="39" bestFit="1" customWidth="1"/>
    <col min="3076" max="3076" width="13.28515625" style="39" bestFit="1" customWidth="1"/>
    <col min="3077" max="3328" width="9.140625" style="39"/>
    <col min="3329" max="3329" width="58.28515625" style="39" bestFit="1" customWidth="1"/>
    <col min="3330" max="3330" width="9.7109375" style="39" bestFit="1" customWidth="1"/>
    <col min="3331" max="3331" width="16.85546875" style="39" bestFit="1" customWidth="1"/>
    <col min="3332" max="3332" width="13.28515625" style="39" bestFit="1" customWidth="1"/>
    <col min="3333" max="3584" width="9.140625" style="39"/>
    <col min="3585" max="3585" width="58.28515625" style="39" bestFit="1" customWidth="1"/>
    <col min="3586" max="3586" width="9.7109375" style="39" bestFit="1" customWidth="1"/>
    <col min="3587" max="3587" width="16.85546875" style="39" bestFit="1" customWidth="1"/>
    <col min="3588" max="3588" width="13.28515625" style="39" bestFit="1" customWidth="1"/>
    <col min="3589" max="3840" width="9.140625" style="39"/>
    <col min="3841" max="3841" width="58.28515625" style="39" bestFit="1" customWidth="1"/>
    <col min="3842" max="3842" width="9.7109375" style="39" bestFit="1" customWidth="1"/>
    <col min="3843" max="3843" width="16.85546875" style="39" bestFit="1" customWidth="1"/>
    <col min="3844" max="3844" width="13.28515625" style="39" bestFit="1" customWidth="1"/>
    <col min="3845" max="4096" width="9.140625" style="39"/>
    <col min="4097" max="4097" width="58.28515625" style="39" bestFit="1" customWidth="1"/>
    <col min="4098" max="4098" width="9.7109375" style="39" bestFit="1" customWidth="1"/>
    <col min="4099" max="4099" width="16.85546875" style="39" bestFit="1" customWidth="1"/>
    <col min="4100" max="4100" width="13.28515625" style="39" bestFit="1" customWidth="1"/>
    <col min="4101" max="4352" width="9.140625" style="39"/>
    <col min="4353" max="4353" width="58.28515625" style="39" bestFit="1" customWidth="1"/>
    <col min="4354" max="4354" width="9.7109375" style="39" bestFit="1" customWidth="1"/>
    <col min="4355" max="4355" width="16.85546875" style="39" bestFit="1" customWidth="1"/>
    <col min="4356" max="4356" width="13.28515625" style="39" bestFit="1" customWidth="1"/>
    <col min="4357" max="4608" width="9.140625" style="39"/>
    <col min="4609" max="4609" width="58.28515625" style="39" bestFit="1" customWidth="1"/>
    <col min="4610" max="4610" width="9.7109375" style="39" bestFit="1" customWidth="1"/>
    <col min="4611" max="4611" width="16.85546875" style="39" bestFit="1" customWidth="1"/>
    <col min="4612" max="4612" width="13.28515625" style="39" bestFit="1" customWidth="1"/>
    <col min="4613" max="4864" width="9.140625" style="39"/>
    <col min="4865" max="4865" width="58.28515625" style="39" bestFit="1" customWidth="1"/>
    <col min="4866" max="4866" width="9.7109375" style="39" bestFit="1" customWidth="1"/>
    <col min="4867" max="4867" width="16.85546875" style="39" bestFit="1" customWidth="1"/>
    <col min="4868" max="4868" width="13.28515625" style="39" bestFit="1" customWidth="1"/>
    <col min="4869" max="5120" width="9.140625" style="39"/>
    <col min="5121" max="5121" width="58.28515625" style="39" bestFit="1" customWidth="1"/>
    <col min="5122" max="5122" width="9.7109375" style="39" bestFit="1" customWidth="1"/>
    <col min="5123" max="5123" width="16.85546875" style="39" bestFit="1" customWidth="1"/>
    <col min="5124" max="5124" width="13.28515625" style="39" bestFit="1" customWidth="1"/>
    <col min="5125" max="5376" width="9.140625" style="39"/>
    <col min="5377" max="5377" width="58.28515625" style="39" bestFit="1" customWidth="1"/>
    <col min="5378" max="5378" width="9.7109375" style="39" bestFit="1" customWidth="1"/>
    <col min="5379" max="5379" width="16.85546875" style="39" bestFit="1" customWidth="1"/>
    <col min="5380" max="5380" width="13.28515625" style="39" bestFit="1" customWidth="1"/>
    <col min="5381" max="5632" width="9.140625" style="39"/>
    <col min="5633" max="5633" width="58.28515625" style="39" bestFit="1" customWidth="1"/>
    <col min="5634" max="5634" width="9.7109375" style="39" bestFit="1" customWidth="1"/>
    <col min="5635" max="5635" width="16.85546875" style="39" bestFit="1" customWidth="1"/>
    <col min="5636" max="5636" width="13.28515625" style="39" bestFit="1" customWidth="1"/>
    <col min="5637" max="5888" width="9.140625" style="39"/>
    <col min="5889" max="5889" width="58.28515625" style="39" bestFit="1" customWidth="1"/>
    <col min="5890" max="5890" width="9.7109375" style="39" bestFit="1" customWidth="1"/>
    <col min="5891" max="5891" width="16.85546875" style="39" bestFit="1" customWidth="1"/>
    <col min="5892" max="5892" width="13.28515625" style="39" bestFit="1" customWidth="1"/>
    <col min="5893" max="6144" width="9.140625" style="39"/>
    <col min="6145" max="6145" width="58.28515625" style="39" bestFit="1" customWidth="1"/>
    <col min="6146" max="6146" width="9.7109375" style="39" bestFit="1" customWidth="1"/>
    <col min="6147" max="6147" width="16.85546875" style="39" bestFit="1" customWidth="1"/>
    <col min="6148" max="6148" width="13.28515625" style="39" bestFit="1" customWidth="1"/>
    <col min="6149" max="6400" width="9.140625" style="39"/>
    <col min="6401" max="6401" width="58.28515625" style="39" bestFit="1" customWidth="1"/>
    <col min="6402" max="6402" width="9.7109375" style="39" bestFit="1" customWidth="1"/>
    <col min="6403" max="6403" width="16.85546875" style="39" bestFit="1" customWidth="1"/>
    <col min="6404" max="6404" width="13.28515625" style="39" bestFit="1" customWidth="1"/>
    <col min="6405" max="6656" width="9.140625" style="39"/>
    <col min="6657" max="6657" width="58.28515625" style="39" bestFit="1" customWidth="1"/>
    <col min="6658" max="6658" width="9.7109375" style="39" bestFit="1" customWidth="1"/>
    <col min="6659" max="6659" width="16.85546875" style="39" bestFit="1" customWidth="1"/>
    <col min="6660" max="6660" width="13.28515625" style="39" bestFit="1" customWidth="1"/>
    <col min="6661" max="6912" width="9.140625" style="39"/>
    <col min="6913" max="6913" width="58.28515625" style="39" bestFit="1" customWidth="1"/>
    <col min="6914" max="6914" width="9.7109375" style="39" bestFit="1" customWidth="1"/>
    <col min="6915" max="6915" width="16.85546875" style="39" bestFit="1" customWidth="1"/>
    <col min="6916" max="6916" width="13.28515625" style="39" bestFit="1" customWidth="1"/>
    <col min="6917" max="7168" width="9.140625" style="39"/>
    <col min="7169" max="7169" width="58.28515625" style="39" bestFit="1" customWidth="1"/>
    <col min="7170" max="7170" width="9.7109375" style="39" bestFit="1" customWidth="1"/>
    <col min="7171" max="7171" width="16.85546875" style="39" bestFit="1" customWidth="1"/>
    <col min="7172" max="7172" width="13.28515625" style="39" bestFit="1" customWidth="1"/>
    <col min="7173" max="7424" width="9.140625" style="39"/>
    <col min="7425" max="7425" width="58.28515625" style="39" bestFit="1" customWidth="1"/>
    <col min="7426" max="7426" width="9.7109375" style="39" bestFit="1" customWidth="1"/>
    <col min="7427" max="7427" width="16.85546875" style="39" bestFit="1" customWidth="1"/>
    <col min="7428" max="7428" width="13.28515625" style="39" bestFit="1" customWidth="1"/>
    <col min="7429" max="7680" width="9.140625" style="39"/>
    <col min="7681" max="7681" width="58.28515625" style="39" bestFit="1" customWidth="1"/>
    <col min="7682" max="7682" width="9.7109375" style="39" bestFit="1" customWidth="1"/>
    <col min="7683" max="7683" width="16.85546875" style="39" bestFit="1" customWidth="1"/>
    <col min="7684" max="7684" width="13.28515625" style="39" bestFit="1" customWidth="1"/>
    <col min="7685" max="7936" width="9.140625" style="39"/>
    <col min="7937" max="7937" width="58.28515625" style="39" bestFit="1" customWidth="1"/>
    <col min="7938" max="7938" width="9.7109375" style="39" bestFit="1" customWidth="1"/>
    <col min="7939" max="7939" width="16.85546875" style="39" bestFit="1" customWidth="1"/>
    <col min="7940" max="7940" width="13.28515625" style="39" bestFit="1" customWidth="1"/>
    <col min="7941" max="8192" width="9.140625" style="39"/>
    <col min="8193" max="8193" width="58.28515625" style="39" bestFit="1" customWidth="1"/>
    <col min="8194" max="8194" width="9.7109375" style="39" bestFit="1" customWidth="1"/>
    <col min="8195" max="8195" width="16.85546875" style="39" bestFit="1" customWidth="1"/>
    <col min="8196" max="8196" width="13.28515625" style="39" bestFit="1" customWidth="1"/>
    <col min="8197" max="8448" width="9.140625" style="39"/>
    <col min="8449" max="8449" width="58.28515625" style="39" bestFit="1" customWidth="1"/>
    <col min="8450" max="8450" width="9.7109375" style="39" bestFit="1" customWidth="1"/>
    <col min="8451" max="8451" width="16.85546875" style="39" bestFit="1" customWidth="1"/>
    <col min="8452" max="8452" width="13.28515625" style="39" bestFit="1" customWidth="1"/>
    <col min="8453" max="8704" width="9.140625" style="39"/>
    <col min="8705" max="8705" width="58.28515625" style="39" bestFit="1" customWidth="1"/>
    <col min="8706" max="8706" width="9.7109375" style="39" bestFit="1" customWidth="1"/>
    <col min="8707" max="8707" width="16.85546875" style="39" bestFit="1" customWidth="1"/>
    <col min="8708" max="8708" width="13.28515625" style="39" bestFit="1" customWidth="1"/>
    <col min="8709" max="8960" width="9.140625" style="39"/>
    <col min="8961" max="8961" width="58.28515625" style="39" bestFit="1" customWidth="1"/>
    <col min="8962" max="8962" width="9.7109375" style="39" bestFit="1" customWidth="1"/>
    <col min="8963" max="8963" width="16.85546875" style="39" bestFit="1" customWidth="1"/>
    <col min="8964" max="8964" width="13.28515625" style="39" bestFit="1" customWidth="1"/>
    <col min="8965" max="9216" width="9.140625" style="39"/>
    <col min="9217" max="9217" width="58.28515625" style="39" bestFit="1" customWidth="1"/>
    <col min="9218" max="9218" width="9.7109375" style="39" bestFit="1" customWidth="1"/>
    <col min="9219" max="9219" width="16.85546875" style="39" bestFit="1" customWidth="1"/>
    <col min="9220" max="9220" width="13.28515625" style="39" bestFit="1" customWidth="1"/>
    <col min="9221" max="9472" width="9.140625" style="39"/>
    <col min="9473" max="9473" width="58.28515625" style="39" bestFit="1" customWidth="1"/>
    <col min="9474" max="9474" width="9.7109375" style="39" bestFit="1" customWidth="1"/>
    <col min="9475" max="9475" width="16.85546875" style="39" bestFit="1" customWidth="1"/>
    <col min="9476" max="9476" width="13.28515625" style="39" bestFit="1" customWidth="1"/>
    <col min="9477" max="9728" width="9.140625" style="39"/>
    <col min="9729" max="9729" width="58.28515625" style="39" bestFit="1" customWidth="1"/>
    <col min="9730" max="9730" width="9.7109375" style="39" bestFit="1" customWidth="1"/>
    <col min="9731" max="9731" width="16.85546875" style="39" bestFit="1" customWidth="1"/>
    <col min="9732" max="9732" width="13.28515625" style="39" bestFit="1" customWidth="1"/>
    <col min="9733" max="9984" width="9.140625" style="39"/>
    <col min="9985" max="9985" width="58.28515625" style="39" bestFit="1" customWidth="1"/>
    <col min="9986" max="9986" width="9.7109375" style="39" bestFit="1" customWidth="1"/>
    <col min="9987" max="9987" width="16.85546875" style="39" bestFit="1" customWidth="1"/>
    <col min="9988" max="9988" width="13.28515625" style="39" bestFit="1" customWidth="1"/>
    <col min="9989" max="10240" width="9.140625" style="39"/>
    <col min="10241" max="10241" width="58.28515625" style="39" bestFit="1" customWidth="1"/>
    <col min="10242" max="10242" width="9.7109375" style="39" bestFit="1" customWidth="1"/>
    <col min="10243" max="10243" width="16.85546875" style="39" bestFit="1" customWidth="1"/>
    <col min="10244" max="10244" width="13.28515625" style="39" bestFit="1" customWidth="1"/>
    <col min="10245" max="10496" width="9.140625" style="39"/>
    <col min="10497" max="10497" width="58.28515625" style="39" bestFit="1" customWidth="1"/>
    <col min="10498" max="10498" width="9.7109375" style="39" bestFit="1" customWidth="1"/>
    <col min="10499" max="10499" width="16.85546875" style="39" bestFit="1" customWidth="1"/>
    <col min="10500" max="10500" width="13.28515625" style="39" bestFit="1" customWidth="1"/>
    <col min="10501" max="10752" width="9.140625" style="39"/>
    <col min="10753" max="10753" width="58.28515625" style="39" bestFit="1" customWidth="1"/>
    <col min="10754" max="10754" width="9.7109375" style="39" bestFit="1" customWidth="1"/>
    <col min="10755" max="10755" width="16.85546875" style="39" bestFit="1" customWidth="1"/>
    <col min="10756" max="10756" width="13.28515625" style="39" bestFit="1" customWidth="1"/>
    <col min="10757" max="11008" width="9.140625" style="39"/>
    <col min="11009" max="11009" width="58.28515625" style="39" bestFit="1" customWidth="1"/>
    <col min="11010" max="11010" width="9.7109375" style="39" bestFit="1" customWidth="1"/>
    <col min="11011" max="11011" width="16.85546875" style="39" bestFit="1" customWidth="1"/>
    <col min="11012" max="11012" width="13.28515625" style="39" bestFit="1" customWidth="1"/>
    <col min="11013" max="11264" width="9.140625" style="39"/>
    <col min="11265" max="11265" width="58.28515625" style="39" bestFit="1" customWidth="1"/>
    <col min="11266" max="11266" width="9.7109375" style="39" bestFit="1" customWidth="1"/>
    <col min="11267" max="11267" width="16.85546875" style="39" bestFit="1" customWidth="1"/>
    <col min="11268" max="11268" width="13.28515625" style="39" bestFit="1" customWidth="1"/>
    <col min="11269" max="11520" width="9.140625" style="39"/>
    <col min="11521" max="11521" width="58.28515625" style="39" bestFit="1" customWidth="1"/>
    <col min="11522" max="11522" width="9.7109375" style="39" bestFit="1" customWidth="1"/>
    <col min="11523" max="11523" width="16.85546875" style="39" bestFit="1" customWidth="1"/>
    <col min="11524" max="11524" width="13.28515625" style="39" bestFit="1" customWidth="1"/>
    <col min="11525" max="11776" width="9.140625" style="39"/>
    <col min="11777" max="11777" width="58.28515625" style="39" bestFit="1" customWidth="1"/>
    <col min="11778" max="11778" width="9.7109375" style="39" bestFit="1" customWidth="1"/>
    <col min="11779" max="11779" width="16.85546875" style="39" bestFit="1" customWidth="1"/>
    <col min="11780" max="11780" width="13.28515625" style="39" bestFit="1" customWidth="1"/>
    <col min="11781" max="12032" width="9.140625" style="39"/>
    <col min="12033" max="12033" width="58.28515625" style="39" bestFit="1" customWidth="1"/>
    <col min="12034" max="12034" width="9.7109375" style="39" bestFit="1" customWidth="1"/>
    <col min="12035" max="12035" width="16.85546875" style="39" bestFit="1" customWidth="1"/>
    <col min="12036" max="12036" width="13.28515625" style="39" bestFit="1" customWidth="1"/>
    <col min="12037" max="12288" width="9.140625" style="39"/>
    <col min="12289" max="12289" width="58.28515625" style="39" bestFit="1" customWidth="1"/>
    <col min="12290" max="12290" width="9.7109375" style="39" bestFit="1" customWidth="1"/>
    <col min="12291" max="12291" width="16.85546875" style="39" bestFit="1" customWidth="1"/>
    <col min="12292" max="12292" width="13.28515625" style="39" bestFit="1" customWidth="1"/>
    <col min="12293" max="12544" width="9.140625" style="39"/>
    <col min="12545" max="12545" width="58.28515625" style="39" bestFit="1" customWidth="1"/>
    <col min="12546" max="12546" width="9.7109375" style="39" bestFit="1" customWidth="1"/>
    <col min="12547" max="12547" width="16.85546875" style="39" bestFit="1" customWidth="1"/>
    <col min="12548" max="12548" width="13.28515625" style="39" bestFit="1" customWidth="1"/>
    <col min="12549" max="12800" width="9.140625" style="39"/>
    <col min="12801" max="12801" width="58.28515625" style="39" bestFit="1" customWidth="1"/>
    <col min="12802" max="12802" width="9.7109375" style="39" bestFit="1" customWidth="1"/>
    <col min="12803" max="12803" width="16.85546875" style="39" bestFit="1" customWidth="1"/>
    <col min="12804" max="12804" width="13.28515625" style="39" bestFit="1" customWidth="1"/>
    <col min="12805" max="13056" width="9.140625" style="39"/>
    <col min="13057" max="13057" width="58.28515625" style="39" bestFit="1" customWidth="1"/>
    <col min="13058" max="13058" width="9.7109375" style="39" bestFit="1" customWidth="1"/>
    <col min="13059" max="13059" width="16.85546875" style="39" bestFit="1" customWidth="1"/>
    <col min="13060" max="13060" width="13.28515625" style="39" bestFit="1" customWidth="1"/>
    <col min="13061" max="13312" width="9.140625" style="39"/>
    <col min="13313" max="13313" width="58.28515625" style="39" bestFit="1" customWidth="1"/>
    <col min="13314" max="13314" width="9.7109375" style="39" bestFit="1" customWidth="1"/>
    <col min="13315" max="13315" width="16.85546875" style="39" bestFit="1" customWidth="1"/>
    <col min="13316" max="13316" width="13.28515625" style="39" bestFit="1" customWidth="1"/>
    <col min="13317" max="13568" width="9.140625" style="39"/>
    <col min="13569" max="13569" width="58.28515625" style="39" bestFit="1" customWidth="1"/>
    <col min="13570" max="13570" width="9.7109375" style="39" bestFit="1" customWidth="1"/>
    <col min="13571" max="13571" width="16.85546875" style="39" bestFit="1" customWidth="1"/>
    <col min="13572" max="13572" width="13.28515625" style="39" bestFit="1" customWidth="1"/>
    <col min="13573" max="13824" width="9.140625" style="39"/>
    <col min="13825" max="13825" width="58.28515625" style="39" bestFit="1" customWidth="1"/>
    <col min="13826" max="13826" width="9.7109375" style="39" bestFit="1" customWidth="1"/>
    <col min="13827" max="13827" width="16.85546875" style="39" bestFit="1" customWidth="1"/>
    <col min="13828" max="13828" width="13.28515625" style="39" bestFit="1" customWidth="1"/>
    <col min="13829" max="14080" width="9.140625" style="39"/>
    <col min="14081" max="14081" width="58.28515625" style="39" bestFit="1" customWidth="1"/>
    <col min="14082" max="14082" width="9.7109375" style="39" bestFit="1" customWidth="1"/>
    <col min="14083" max="14083" width="16.85546875" style="39" bestFit="1" customWidth="1"/>
    <col min="14084" max="14084" width="13.28515625" style="39" bestFit="1" customWidth="1"/>
    <col min="14085" max="14336" width="9.140625" style="39"/>
    <col min="14337" max="14337" width="58.28515625" style="39" bestFit="1" customWidth="1"/>
    <col min="14338" max="14338" width="9.7109375" style="39" bestFit="1" customWidth="1"/>
    <col min="14339" max="14339" width="16.85546875" style="39" bestFit="1" customWidth="1"/>
    <col min="14340" max="14340" width="13.28515625" style="39" bestFit="1" customWidth="1"/>
    <col min="14341" max="14592" width="9.140625" style="39"/>
    <col min="14593" max="14593" width="58.28515625" style="39" bestFit="1" customWidth="1"/>
    <col min="14594" max="14594" width="9.7109375" style="39" bestFit="1" customWidth="1"/>
    <col min="14595" max="14595" width="16.85546875" style="39" bestFit="1" customWidth="1"/>
    <col min="14596" max="14596" width="13.28515625" style="39" bestFit="1" customWidth="1"/>
    <col min="14597" max="14848" width="9.140625" style="39"/>
    <col min="14849" max="14849" width="58.28515625" style="39" bestFit="1" customWidth="1"/>
    <col min="14850" max="14850" width="9.7109375" style="39" bestFit="1" customWidth="1"/>
    <col min="14851" max="14851" width="16.85546875" style="39" bestFit="1" customWidth="1"/>
    <col min="14852" max="14852" width="13.28515625" style="39" bestFit="1" customWidth="1"/>
    <col min="14853" max="15104" width="9.140625" style="39"/>
    <col min="15105" max="15105" width="58.28515625" style="39" bestFit="1" customWidth="1"/>
    <col min="15106" max="15106" width="9.7109375" style="39" bestFit="1" customWidth="1"/>
    <col min="15107" max="15107" width="16.85546875" style="39" bestFit="1" customWidth="1"/>
    <col min="15108" max="15108" width="13.28515625" style="39" bestFit="1" customWidth="1"/>
    <col min="15109" max="15360" width="9.140625" style="39"/>
    <col min="15361" max="15361" width="58.28515625" style="39" bestFit="1" customWidth="1"/>
    <col min="15362" max="15362" width="9.7109375" style="39" bestFit="1" customWidth="1"/>
    <col min="15363" max="15363" width="16.85546875" style="39" bestFit="1" customWidth="1"/>
    <col min="15364" max="15364" width="13.28515625" style="39" bestFit="1" customWidth="1"/>
    <col min="15365" max="15616" width="9.140625" style="39"/>
    <col min="15617" max="15617" width="58.28515625" style="39" bestFit="1" customWidth="1"/>
    <col min="15618" max="15618" width="9.7109375" style="39" bestFit="1" customWidth="1"/>
    <col min="15619" max="15619" width="16.85546875" style="39" bestFit="1" customWidth="1"/>
    <col min="15620" max="15620" width="13.28515625" style="39" bestFit="1" customWidth="1"/>
    <col min="15621" max="15872" width="9.140625" style="39"/>
    <col min="15873" max="15873" width="58.28515625" style="39" bestFit="1" customWidth="1"/>
    <col min="15874" max="15874" width="9.7109375" style="39" bestFit="1" customWidth="1"/>
    <col min="15875" max="15875" width="16.85546875" style="39" bestFit="1" customWidth="1"/>
    <col min="15876" max="15876" width="13.28515625" style="39" bestFit="1" customWidth="1"/>
    <col min="15877" max="16128" width="9.140625" style="39"/>
    <col min="16129" max="16129" width="58.28515625" style="39" bestFit="1" customWidth="1"/>
    <col min="16130" max="16130" width="9.7109375" style="39" bestFit="1" customWidth="1"/>
    <col min="16131" max="16131" width="16.85546875" style="39" bestFit="1" customWidth="1"/>
    <col min="16132" max="16132" width="13.28515625" style="39" bestFit="1" customWidth="1"/>
    <col min="16133" max="16384" width="9.140625" style="39"/>
  </cols>
  <sheetData>
    <row r="1" spans="1:4" s="18" customFormat="1" ht="12.75" hidden="1">
      <c r="A1" s="12" t="s">
        <v>371</v>
      </c>
      <c r="B1" s="17"/>
    </row>
    <row r="2" spans="1:4" s="18" customFormat="1" ht="12.75" hidden="1">
      <c r="A2" s="13" t="s">
        <v>372</v>
      </c>
      <c r="B2" s="17"/>
    </row>
    <row r="3" spans="1:4" s="18" customFormat="1" ht="12.75" hidden="1">
      <c r="A3" s="14" t="s">
        <v>373</v>
      </c>
      <c r="B3" s="17"/>
    </row>
    <row r="4" spans="1:4" s="19" customFormat="1" ht="12.75" hidden="1">
      <c r="A4" s="15" t="s">
        <v>374</v>
      </c>
      <c r="B4" s="15"/>
      <c r="C4" s="15"/>
    </row>
    <row r="5" spans="1:4" s="18" customFormat="1" ht="12.75" hidden="1">
      <c r="A5" s="21" t="s">
        <v>375</v>
      </c>
      <c r="B5" s="21"/>
      <c r="C5" s="22"/>
    </row>
    <row r="6" spans="1:4" s="18" customFormat="1" ht="12.75" hidden="1">
      <c r="A6" s="21" t="s">
        <v>376</v>
      </c>
      <c r="B6" s="21"/>
      <c r="C6" s="23"/>
    </row>
    <row r="7" spans="1:4" ht="15" hidden="1" customHeight="1">
      <c r="A7" s="321"/>
      <c r="B7" s="322"/>
      <c r="D7" s="319" t="s">
        <v>423</v>
      </c>
    </row>
    <row r="8" spans="1:4" ht="15" hidden="1" customHeight="1">
      <c r="A8" s="321"/>
      <c r="B8" s="322"/>
      <c r="D8" s="319" t="s">
        <v>378</v>
      </c>
    </row>
    <row r="9" spans="1:4" ht="15" hidden="1" customHeight="1">
      <c r="A9" s="321"/>
      <c r="B9" s="322"/>
      <c r="D9" s="319" t="s">
        <v>379</v>
      </c>
    </row>
    <row r="10" spans="1:4" hidden="1">
      <c r="A10" s="321"/>
      <c r="B10" s="323"/>
      <c r="D10" s="320" t="s">
        <v>342</v>
      </c>
    </row>
    <row r="11" spans="1:4" ht="15" customHeight="1">
      <c r="A11" s="646" t="str">
        <f>CONCATENATE(Реквизиты!A4,Реквизиты!B4)</f>
        <v>Наименование организации: АО "Тема Ко"</v>
      </c>
      <c r="B11" s="646"/>
      <c r="C11" s="646"/>
      <c r="D11" s="646"/>
    </row>
    <row r="12" spans="1:4">
      <c r="A12" s="224" t="s">
        <v>790</v>
      </c>
      <c r="B12" s="224"/>
      <c r="C12" s="224"/>
      <c r="D12" s="224"/>
    </row>
    <row r="13" spans="1:4">
      <c r="A13" s="226" t="str">
        <f>Реквизиты!A2</f>
        <v>за период с 01.01.2013 г. по 30.09.2013 г.</v>
      </c>
      <c r="B13" s="224"/>
      <c r="C13" s="224"/>
      <c r="D13" s="224"/>
    </row>
    <row r="14" spans="1:4">
      <c r="A14" s="25" t="s">
        <v>305</v>
      </c>
      <c r="B14" s="25" t="s">
        <v>305</v>
      </c>
      <c r="C14" s="318"/>
      <c r="D14" s="139" t="s">
        <v>307</v>
      </c>
    </row>
    <row r="15" spans="1:4" ht="36">
      <c r="A15" s="27" t="s">
        <v>424</v>
      </c>
      <c r="B15" s="27" t="s">
        <v>386</v>
      </c>
      <c r="C15" s="27" t="s">
        <v>343</v>
      </c>
      <c r="D15" s="27" t="s">
        <v>344</v>
      </c>
    </row>
    <row r="16" spans="1:4">
      <c r="A16" s="40" t="s">
        <v>425</v>
      </c>
      <c r="B16" s="30" t="s">
        <v>310</v>
      </c>
      <c r="C16" s="41">
        <v>2264217.50611</v>
      </c>
      <c r="D16" s="41">
        <v>2783371.0042399997</v>
      </c>
    </row>
    <row r="17" spans="1:4">
      <c r="A17" s="40" t="s">
        <v>426</v>
      </c>
      <c r="B17" s="30" t="s">
        <v>311</v>
      </c>
      <c r="C17" s="41">
        <v>1525190.7757999999</v>
      </c>
      <c r="D17" s="41">
        <v>1302221.9983100004</v>
      </c>
    </row>
    <row r="18" spans="1:4">
      <c r="A18" s="42" t="s">
        <v>427</v>
      </c>
      <c r="B18" s="43" t="s">
        <v>312</v>
      </c>
      <c r="C18" s="16">
        <v>739026.73031000001</v>
      </c>
      <c r="D18" s="16">
        <v>1481149.0059299993</v>
      </c>
    </row>
    <row r="19" spans="1:4">
      <c r="A19" s="40" t="s">
        <v>57</v>
      </c>
      <c r="B19" s="30" t="s">
        <v>313</v>
      </c>
      <c r="C19" s="41">
        <v>649079.86102000007</v>
      </c>
      <c r="D19" s="41">
        <v>417449.00451000012</v>
      </c>
    </row>
    <row r="20" spans="1:4">
      <c r="A20" s="40" t="s">
        <v>55</v>
      </c>
      <c r="B20" s="30" t="s">
        <v>315</v>
      </c>
      <c r="C20" s="41">
        <v>622820.57611999998</v>
      </c>
      <c r="D20" s="41">
        <v>495295.00228999986</v>
      </c>
    </row>
    <row r="21" spans="1:4">
      <c r="A21" s="40" t="s">
        <v>286</v>
      </c>
      <c r="B21" s="30" t="s">
        <v>316</v>
      </c>
      <c r="C21" s="41">
        <v>151122.30069</v>
      </c>
      <c r="D21" s="41">
        <v>3123414.9980699997</v>
      </c>
    </row>
    <row r="22" spans="1:4">
      <c r="A22" s="40" t="s">
        <v>266</v>
      </c>
      <c r="B22" s="30" t="s">
        <v>317</v>
      </c>
      <c r="C22" s="41">
        <v>2725352.2629200001</v>
      </c>
      <c r="D22" s="41">
        <v>3029293.9955400005</v>
      </c>
    </row>
    <row r="23" spans="1:4">
      <c r="A23" s="42" t="s">
        <v>428</v>
      </c>
      <c r="B23" s="43" t="s">
        <v>319</v>
      </c>
      <c r="C23" s="16">
        <v>2041356.2554000001</v>
      </c>
      <c r="D23" s="16">
        <v>474283.99660000019</v>
      </c>
    </row>
    <row r="24" spans="1:4">
      <c r="A24" s="40" t="s">
        <v>63</v>
      </c>
      <c r="B24" s="30" t="s">
        <v>320</v>
      </c>
      <c r="C24" s="41">
        <v>1488.2906599999999</v>
      </c>
      <c r="D24" s="41">
        <v>4.8000001697801054E-4</v>
      </c>
    </row>
    <row r="25" spans="1:4">
      <c r="A25" s="40" t="s">
        <v>65</v>
      </c>
      <c r="B25" s="30" t="s">
        <v>321</v>
      </c>
      <c r="C25" s="41">
        <v>37021.696110000004</v>
      </c>
      <c r="D25" s="41">
        <v>23887.998820000001</v>
      </c>
    </row>
    <row r="26" spans="1:4" ht="24">
      <c r="A26" s="40" t="s">
        <v>429</v>
      </c>
      <c r="B26" s="30" t="s">
        <v>323</v>
      </c>
      <c r="C26" s="41">
        <v>0</v>
      </c>
      <c r="D26" s="41">
        <v>0</v>
      </c>
    </row>
    <row r="27" spans="1:4">
      <c r="A27" s="40" t="s">
        <v>430</v>
      </c>
      <c r="B27" s="30" t="s">
        <v>324</v>
      </c>
      <c r="C27" s="41">
        <v>0</v>
      </c>
      <c r="D27" s="41">
        <v>0</v>
      </c>
    </row>
    <row r="28" spans="1:4">
      <c r="A28" s="40" t="s">
        <v>431</v>
      </c>
      <c r="B28" s="30" t="s">
        <v>325</v>
      </c>
      <c r="C28" s="41">
        <v>85221</v>
      </c>
      <c r="D28" s="41">
        <v>0</v>
      </c>
    </row>
    <row r="29" spans="1:4">
      <c r="A29" s="42" t="s">
        <v>432</v>
      </c>
      <c r="B29" s="27">
        <v>100</v>
      </c>
      <c r="C29" s="16">
        <v>1920601.8499500002</v>
      </c>
      <c r="D29" s="16">
        <v>450395.99826000025</v>
      </c>
    </row>
    <row r="30" spans="1:4">
      <c r="A30" s="40" t="s">
        <v>433</v>
      </c>
      <c r="B30" s="28">
        <v>101</v>
      </c>
      <c r="C30" s="41">
        <v>-8517.9639800000004</v>
      </c>
      <c r="D30" s="41">
        <v>-9.9999999974897946E-4</v>
      </c>
    </row>
    <row r="31" spans="1:4" ht="24">
      <c r="A31" s="42" t="s">
        <v>434</v>
      </c>
      <c r="B31" s="27">
        <v>200</v>
      </c>
      <c r="C31" s="16">
        <v>1929119.8139300002</v>
      </c>
      <c r="D31" s="16">
        <v>450395.99926000024</v>
      </c>
    </row>
    <row r="32" spans="1:4">
      <c r="A32" s="40" t="s">
        <v>435</v>
      </c>
      <c r="B32" s="28">
        <v>201</v>
      </c>
      <c r="C32" s="41">
        <v>0</v>
      </c>
      <c r="D32" s="41">
        <v>0</v>
      </c>
    </row>
    <row r="33" spans="1:4">
      <c r="A33" s="42" t="s">
        <v>436</v>
      </c>
      <c r="B33" s="27">
        <v>300</v>
      </c>
      <c r="C33" s="16">
        <v>1929119.8139300002</v>
      </c>
      <c r="D33" s="16">
        <v>450395.99926000024</v>
      </c>
    </row>
    <row r="34" spans="1:4">
      <c r="A34" s="40" t="s">
        <v>437</v>
      </c>
      <c r="B34" s="28" t="s">
        <v>305</v>
      </c>
      <c r="C34" s="41">
        <v>1929119.8139299997</v>
      </c>
      <c r="D34" s="41">
        <v>-7.3999934829771519E-4</v>
      </c>
    </row>
    <row r="35" spans="1:4">
      <c r="A35" s="40" t="s">
        <v>438</v>
      </c>
      <c r="B35" s="28" t="s">
        <v>305</v>
      </c>
      <c r="C35" s="41">
        <v>0</v>
      </c>
      <c r="D35" s="41">
        <v>0</v>
      </c>
    </row>
    <row r="36" spans="1:4">
      <c r="A36" s="42" t="s">
        <v>439</v>
      </c>
      <c r="B36" s="27">
        <v>400</v>
      </c>
      <c r="C36" s="16">
        <v>0</v>
      </c>
      <c r="D36" s="16">
        <v>0</v>
      </c>
    </row>
    <row r="37" spans="1:4" hidden="1" outlineLevel="1">
      <c r="A37" s="630" t="s">
        <v>440</v>
      </c>
      <c r="B37" s="647"/>
      <c r="C37" s="647"/>
      <c r="D37" s="631"/>
    </row>
    <row r="38" spans="1:4" hidden="1" outlineLevel="1">
      <c r="A38" s="40" t="s">
        <v>441</v>
      </c>
      <c r="B38" s="28">
        <v>410</v>
      </c>
      <c r="C38" s="41"/>
      <c r="D38" s="41"/>
    </row>
    <row r="39" spans="1:4" hidden="1" outlineLevel="1">
      <c r="A39" s="40" t="s">
        <v>442</v>
      </c>
      <c r="B39" s="28">
        <v>411</v>
      </c>
      <c r="C39" s="41"/>
      <c r="D39" s="41"/>
    </row>
    <row r="40" spans="1:4" ht="24" hidden="1" outlineLevel="1">
      <c r="A40" s="40" t="s">
        <v>443</v>
      </c>
      <c r="B40" s="28">
        <v>412</v>
      </c>
      <c r="C40" s="41"/>
      <c r="D40" s="41"/>
    </row>
    <row r="41" spans="1:4" hidden="1" outlineLevel="1">
      <c r="A41" s="40" t="s">
        <v>444</v>
      </c>
      <c r="B41" s="28">
        <v>413</v>
      </c>
      <c r="C41" s="41"/>
      <c r="D41" s="41"/>
    </row>
    <row r="42" spans="1:4" ht="24" hidden="1" outlineLevel="1">
      <c r="A42" s="40" t="s">
        <v>445</v>
      </c>
      <c r="B42" s="28">
        <v>414</v>
      </c>
      <c r="C42" s="41"/>
      <c r="D42" s="41"/>
    </row>
    <row r="43" spans="1:4" hidden="1" outlineLevel="1">
      <c r="A43" s="40" t="s">
        <v>357</v>
      </c>
      <c r="B43" s="28">
        <v>415</v>
      </c>
      <c r="C43" s="41"/>
      <c r="D43" s="41"/>
    </row>
    <row r="44" spans="1:4" hidden="1" outlineLevel="1">
      <c r="A44" s="40" t="s">
        <v>446</v>
      </c>
      <c r="B44" s="28">
        <v>416</v>
      </c>
      <c r="C44" s="41"/>
      <c r="D44" s="41"/>
    </row>
    <row r="45" spans="1:4" hidden="1" outlineLevel="1">
      <c r="A45" s="40" t="s">
        <v>447</v>
      </c>
      <c r="B45" s="28">
        <v>417</v>
      </c>
      <c r="C45" s="41"/>
      <c r="D45" s="41"/>
    </row>
    <row r="46" spans="1:4" hidden="1" outlineLevel="1">
      <c r="A46" s="40" t="s">
        <v>448</v>
      </c>
      <c r="B46" s="28">
        <v>418</v>
      </c>
      <c r="C46" s="41"/>
      <c r="D46" s="41"/>
    </row>
    <row r="47" spans="1:4" hidden="1" outlineLevel="1">
      <c r="A47" s="40" t="s">
        <v>449</v>
      </c>
      <c r="B47" s="28">
        <v>419</v>
      </c>
      <c r="C47" s="41"/>
      <c r="D47" s="41"/>
    </row>
    <row r="48" spans="1:4" hidden="1" outlineLevel="1">
      <c r="A48" s="40" t="s">
        <v>450</v>
      </c>
      <c r="B48" s="28">
        <v>420</v>
      </c>
      <c r="C48" s="41"/>
      <c r="D48" s="41"/>
    </row>
    <row r="49" spans="1:4" collapsed="1">
      <c r="A49" s="42" t="s">
        <v>451</v>
      </c>
      <c r="B49" s="27">
        <v>500</v>
      </c>
      <c r="C49" s="16">
        <f>C33+C36</f>
        <v>1929119.8139300002</v>
      </c>
      <c r="D49" s="16">
        <f>D33+D36</f>
        <v>450395.99926000024</v>
      </c>
    </row>
    <row r="50" spans="1:4" hidden="1" outlineLevel="1">
      <c r="A50" s="40" t="s">
        <v>452</v>
      </c>
      <c r="B50" s="28" t="s">
        <v>305</v>
      </c>
      <c r="C50" s="41" t="s">
        <v>305</v>
      </c>
      <c r="D50" s="41" t="s">
        <v>305</v>
      </c>
    </row>
    <row r="51" spans="1:4" hidden="1" outlineLevel="1">
      <c r="A51" s="40" t="s">
        <v>437</v>
      </c>
      <c r="B51" s="28" t="s">
        <v>305</v>
      </c>
      <c r="C51" s="41"/>
      <c r="D51" s="41"/>
    </row>
    <row r="52" spans="1:4" hidden="1" outlineLevel="1">
      <c r="A52" s="40" t="s">
        <v>453</v>
      </c>
      <c r="B52" s="28" t="s">
        <v>305</v>
      </c>
      <c r="C52" s="41"/>
      <c r="D52" s="41"/>
    </row>
    <row r="53" spans="1:4" collapsed="1">
      <c r="A53" s="42" t="s">
        <v>454</v>
      </c>
      <c r="B53" s="27">
        <v>600</v>
      </c>
      <c r="C53" s="41"/>
      <c r="D53" s="41"/>
    </row>
    <row r="54" spans="1:4" hidden="1" outlineLevel="1">
      <c r="A54" s="44" t="s">
        <v>440</v>
      </c>
      <c r="B54" s="16"/>
      <c r="C54" s="45"/>
      <c r="D54" s="45"/>
    </row>
    <row r="55" spans="1:4" hidden="1" outlineLevel="1">
      <c r="A55" s="40" t="s">
        <v>455</v>
      </c>
      <c r="B55" s="28" t="s">
        <v>305</v>
      </c>
      <c r="C55" s="41" t="s">
        <v>305</v>
      </c>
      <c r="D55" s="41" t="s">
        <v>305</v>
      </c>
    </row>
    <row r="56" spans="1:4" hidden="1" outlineLevel="1">
      <c r="A56" s="40" t="s">
        <v>456</v>
      </c>
      <c r="B56" s="28" t="s">
        <v>305</v>
      </c>
      <c r="C56" s="41"/>
      <c r="D56" s="41"/>
    </row>
    <row r="57" spans="1:4" hidden="1" outlineLevel="1">
      <c r="A57" s="40" t="s">
        <v>457</v>
      </c>
      <c r="B57" s="28" t="s">
        <v>305</v>
      </c>
      <c r="C57" s="41"/>
      <c r="D57" s="41"/>
    </row>
    <row r="58" spans="1:4" hidden="1" outlineLevel="1">
      <c r="A58" s="40" t="s">
        <v>458</v>
      </c>
      <c r="B58" s="28" t="s">
        <v>305</v>
      </c>
      <c r="C58" s="41" t="s">
        <v>305</v>
      </c>
      <c r="D58" s="41" t="s">
        <v>305</v>
      </c>
    </row>
    <row r="59" spans="1:4" hidden="1" outlineLevel="1">
      <c r="A59" s="40" t="s">
        <v>456</v>
      </c>
      <c r="B59" s="28" t="s">
        <v>305</v>
      </c>
      <c r="C59" s="41"/>
      <c r="D59" s="41"/>
    </row>
    <row r="60" spans="1:4" hidden="1" outlineLevel="1">
      <c r="A60" s="40" t="s">
        <v>457</v>
      </c>
      <c r="B60" s="28" t="s">
        <v>305</v>
      </c>
      <c r="C60" s="41"/>
      <c r="D60" s="41"/>
    </row>
    <row r="61" spans="1:4" collapsed="1">
      <c r="A61" s="25" t="s">
        <v>305</v>
      </c>
      <c r="B61" s="25" t="s">
        <v>305</v>
      </c>
      <c r="C61" s="25" t="s">
        <v>305</v>
      </c>
      <c r="D61" s="25" t="s">
        <v>305</v>
      </c>
    </row>
    <row r="62" spans="1:4">
      <c r="A62" s="227" t="str">
        <f>CONCATENATE(Реквизиты!A12,Реквизиты!B12)</f>
        <v>Руководитель: Ембергенов Руслан Адилович</v>
      </c>
      <c r="B62" s="35" t="s">
        <v>305</v>
      </c>
      <c r="C62" s="36" t="s">
        <v>305</v>
      </c>
      <c r="D62" s="35" t="s">
        <v>305</v>
      </c>
    </row>
    <row r="63" spans="1:4">
      <c r="A63" s="35" t="s">
        <v>421</v>
      </c>
      <c r="B63" s="35" t="s">
        <v>305</v>
      </c>
      <c r="C63" s="37" t="s">
        <v>340</v>
      </c>
      <c r="D63" s="35" t="s">
        <v>305</v>
      </c>
    </row>
    <row r="64" spans="1:4">
      <c r="A64" s="35"/>
      <c r="B64" s="35"/>
      <c r="C64" s="37"/>
      <c r="D64" s="35"/>
    </row>
    <row r="65" spans="1:4">
      <c r="A65" s="36" t="str">
        <f>CONCATENATE(Реквизиты!A13,Реквизиты!B13)</f>
        <v>Главный бухгалтер: Муканова Наталья Анатольевна</v>
      </c>
      <c r="B65" s="35" t="s">
        <v>305</v>
      </c>
      <c r="C65" s="36" t="s">
        <v>305</v>
      </c>
      <c r="D65" s="35" t="s">
        <v>305</v>
      </c>
    </row>
    <row r="66" spans="1:4">
      <c r="A66" s="35" t="s">
        <v>422</v>
      </c>
      <c r="B66" s="35" t="s">
        <v>305</v>
      </c>
      <c r="C66" s="37" t="s">
        <v>340</v>
      </c>
      <c r="D66" s="35" t="s">
        <v>305</v>
      </c>
    </row>
    <row r="67" spans="1:4">
      <c r="A67" s="25" t="s">
        <v>341</v>
      </c>
      <c r="B67" s="25" t="s">
        <v>305</v>
      </c>
      <c r="C67" s="25" t="s">
        <v>305</v>
      </c>
      <c r="D67" s="25" t="s">
        <v>305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7:D37"/>
    <mergeCell ref="A11:D11"/>
  </mergeCells>
  <hyperlinks>
    <hyperlink ref="A1" r:id="rId1"/>
    <hyperlink ref="A2" r:id="rId2" display="mailto:admin@balans.kz"/>
    <hyperlink ref="A3" r:id="rId3" display="Омаров Асаин Муратбаевич (Compas)"/>
  </hyperlinks>
  <pageMargins left="1.0236220472440944" right="0.23622047244094491" top="0.74803149606299213" bottom="0.6692913385826772" header="0.27559055118110237" footer="0.15748031496062992"/>
  <pageSetup paperSize="9" scale="95" orientation="portrait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8"/>
  <sheetViews>
    <sheetView topLeftCell="A68" workbookViewId="0">
      <selection activeCell="D85" sqref="D85"/>
    </sheetView>
  </sheetViews>
  <sheetFormatPr defaultRowHeight="12.75" outlineLevelCol="1"/>
  <cols>
    <col min="1" max="1" width="52.7109375" style="48" customWidth="1"/>
    <col min="2" max="2" width="9.7109375" style="48" bestFit="1" customWidth="1"/>
    <col min="3" max="3" width="14" style="48" customWidth="1"/>
    <col min="4" max="4" width="14" style="48" customWidth="1" outlineLevel="1"/>
    <col min="5" max="256" width="9.140625" style="48"/>
    <col min="257" max="257" width="52.7109375" style="48" customWidth="1"/>
    <col min="258" max="258" width="9.7109375" style="48" bestFit="1" customWidth="1"/>
    <col min="259" max="259" width="16.85546875" style="48" bestFit="1" customWidth="1"/>
    <col min="260" max="260" width="13.28515625" style="48" bestFit="1" customWidth="1"/>
    <col min="261" max="512" width="9.140625" style="48"/>
    <col min="513" max="513" width="52.7109375" style="48" customWidth="1"/>
    <col min="514" max="514" width="9.7109375" style="48" bestFit="1" customWidth="1"/>
    <col min="515" max="515" width="16.85546875" style="48" bestFit="1" customWidth="1"/>
    <col min="516" max="516" width="13.28515625" style="48" bestFit="1" customWidth="1"/>
    <col min="517" max="768" width="9.140625" style="48"/>
    <col min="769" max="769" width="52.7109375" style="48" customWidth="1"/>
    <col min="770" max="770" width="9.7109375" style="48" bestFit="1" customWidth="1"/>
    <col min="771" max="771" width="16.85546875" style="48" bestFit="1" customWidth="1"/>
    <col min="772" max="772" width="13.28515625" style="48" bestFit="1" customWidth="1"/>
    <col min="773" max="1024" width="9.140625" style="48"/>
    <col min="1025" max="1025" width="52.7109375" style="48" customWidth="1"/>
    <col min="1026" max="1026" width="9.7109375" style="48" bestFit="1" customWidth="1"/>
    <col min="1027" max="1027" width="16.85546875" style="48" bestFit="1" customWidth="1"/>
    <col min="1028" max="1028" width="13.28515625" style="48" bestFit="1" customWidth="1"/>
    <col min="1029" max="1280" width="9.140625" style="48"/>
    <col min="1281" max="1281" width="52.7109375" style="48" customWidth="1"/>
    <col min="1282" max="1282" width="9.7109375" style="48" bestFit="1" customWidth="1"/>
    <col min="1283" max="1283" width="16.85546875" style="48" bestFit="1" customWidth="1"/>
    <col min="1284" max="1284" width="13.28515625" style="48" bestFit="1" customWidth="1"/>
    <col min="1285" max="1536" width="9.140625" style="48"/>
    <col min="1537" max="1537" width="52.7109375" style="48" customWidth="1"/>
    <col min="1538" max="1538" width="9.7109375" style="48" bestFit="1" customWidth="1"/>
    <col min="1539" max="1539" width="16.85546875" style="48" bestFit="1" customWidth="1"/>
    <col min="1540" max="1540" width="13.28515625" style="48" bestFit="1" customWidth="1"/>
    <col min="1541" max="1792" width="9.140625" style="48"/>
    <col min="1793" max="1793" width="52.7109375" style="48" customWidth="1"/>
    <col min="1794" max="1794" width="9.7109375" style="48" bestFit="1" customWidth="1"/>
    <col min="1795" max="1795" width="16.85546875" style="48" bestFit="1" customWidth="1"/>
    <col min="1796" max="1796" width="13.28515625" style="48" bestFit="1" customWidth="1"/>
    <col min="1797" max="2048" width="9.140625" style="48"/>
    <col min="2049" max="2049" width="52.7109375" style="48" customWidth="1"/>
    <col min="2050" max="2050" width="9.7109375" style="48" bestFit="1" customWidth="1"/>
    <col min="2051" max="2051" width="16.85546875" style="48" bestFit="1" customWidth="1"/>
    <col min="2052" max="2052" width="13.28515625" style="48" bestFit="1" customWidth="1"/>
    <col min="2053" max="2304" width="9.140625" style="48"/>
    <col min="2305" max="2305" width="52.7109375" style="48" customWidth="1"/>
    <col min="2306" max="2306" width="9.7109375" style="48" bestFit="1" customWidth="1"/>
    <col min="2307" max="2307" width="16.85546875" style="48" bestFit="1" customWidth="1"/>
    <col min="2308" max="2308" width="13.28515625" style="48" bestFit="1" customWidth="1"/>
    <col min="2309" max="2560" width="9.140625" style="48"/>
    <col min="2561" max="2561" width="52.7109375" style="48" customWidth="1"/>
    <col min="2562" max="2562" width="9.7109375" style="48" bestFit="1" customWidth="1"/>
    <col min="2563" max="2563" width="16.85546875" style="48" bestFit="1" customWidth="1"/>
    <col min="2564" max="2564" width="13.28515625" style="48" bestFit="1" customWidth="1"/>
    <col min="2565" max="2816" width="9.140625" style="48"/>
    <col min="2817" max="2817" width="52.7109375" style="48" customWidth="1"/>
    <col min="2818" max="2818" width="9.7109375" style="48" bestFit="1" customWidth="1"/>
    <col min="2819" max="2819" width="16.85546875" style="48" bestFit="1" customWidth="1"/>
    <col min="2820" max="2820" width="13.28515625" style="48" bestFit="1" customWidth="1"/>
    <col min="2821" max="3072" width="9.140625" style="48"/>
    <col min="3073" max="3073" width="52.7109375" style="48" customWidth="1"/>
    <col min="3074" max="3074" width="9.7109375" style="48" bestFit="1" customWidth="1"/>
    <col min="3075" max="3075" width="16.85546875" style="48" bestFit="1" customWidth="1"/>
    <col min="3076" max="3076" width="13.28515625" style="48" bestFit="1" customWidth="1"/>
    <col min="3077" max="3328" width="9.140625" style="48"/>
    <col min="3329" max="3329" width="52.7109375" style="48" customWidth="1"/>
    <col min="3330" max="3330" width="9.7109375" style="48" bestFit="1" customWidth="1"/>
    <col min="3331" max="3331" width="16.85546875" style="48" bestFit="1" customWidth="1"/>
    <col min="3332" max="3332" width="13.28515625" style="48" bestFit="1" customWidth="1"/>
    <col min="3333" max="3584" width="9.140625" style="48"/>
    <col min="3585" max="3585" width="52.7109375" style="48" customWidth="1"/>
    <col min="3586" max="3586" width="9.7109375" style="48" bestFit="1" customWidth="1"/>
    <col min="3587" max="3587" width="16.85546875" style="48" bestFit="1" customWidth="1"/>
    <col min="3588" max="3588" width="13.28515625" style="48" bestFit="1" customWidth="1"/>
    <col min="3589" max="3840" width="9.140625" style="48"/>
    <col min="3841" max="3841" width="52.7109375" style="48" customWidth="1"/>
    <col min="3842" max="3842" width="9.7109375" style="48" bestFit="1" customWidth="1"/>
    <col min="3843" max="3843" width="16.85546875" style="48" bestFit="1" customWidth="1"/>
    <col min="3844" max="3844" width="13.28515625" style="48" bestFit="1" customWidth="1"/>
    <col min="3845" max="4096" width="9.140625" style="48"/>
    <col min="4097" max="4097" width="52.7109375" style="48" customWidth="1"/>
    <col min="4098" max="4098" width="9.7109375" style="48" bestFit="1" customWidth="1"/>
    <col min="4099" max="4099" width="16.85546875" style="48" bestFit="1" customWidth="1"/>
    <col min="4100" max="4100" width="13.28515625" style="48" bestFit="1" customWidth="1"/>
    <col min="4101" max="4352" width="9.140625" style="48"/>
    <col min="4353" max="4353" width="52.7109375" style="48" customWidth="1"/>
    <col min="4354" max="4354" width="9.7109375" style="48" bestFit="1" customWidth="1"/>
    <col min="4355" max="4355" width="16.85546875" style="48" bestFit="1" customWidth="1"/>
    <col min="4356" max="4356" width="13.28515625" style="48" bestFit="1" customWidth="1"/>
    <col min="4357" max="4608" width="9.140625" style="48"/>
    <col min="4609" max="4609" width="52.7109375" style="48" customWidth="1"/>
    <col min="4610" max="4610" width="9.7109375" style="48" bestFit="1" customWidth="1"/>
    <col min="4611" max="4611" width="16.85546875" style="48" bestFit="1" customWidth="1"/>
    <col min="4612" max="4612" width="13.28515625" style="48" bestFit="1" customWidth="1"/>
    <col min="4613" max="4864" width="9.140625" style="48"/>
    <col min="4865" max="4865" width="52.7109375" style="48" customWidth="1"/>
    <col min="4866" max="4866" width="9.7109375" style="48" bestFit="1" customWidth="1"/>
    <col min="4867" max="4867" width="16.85546875" style="48" bestFit="1" customWidth="1"/>
    <col min="4868" max="4868" width="13.28515625" style="48" bestFit="1" customWidth="1"/>
    <col min="4869" max="5120" width="9.140625" style="48"/>
    <col min="5121" max="5121" width="52.7109375" style="48" customWidth="1"/>
    <col min="5122" max="5122" width="9.7109375" style="48" bestFit="1" customWidth="1"/>
    <col min="5123" max="5123" width="16.85546875" style="48" bestFit="1" customWidth="1"/>
    <col min="5124" max="5124" width="13.28515625" style="48" bestFit="1" customWidth="1"/>
    <col min="5125" max="5376" width="9.140625" style="48"/>
    <col min="5377" max="5377" width="52.7109375" style="48" customWidth="1"/>
    <col min="5378" max="5378" width="9.7109375" style="48" bestFit="1" customWidth="1"/>
    <col min="5379" max="5379" width="16.85546875" style="48" bestFit="1" customWidth="1"/>
    <col min="5380" max="5380" width="13.28515625" style="48" bestFit="1" customWidth="1"/>
    <col min="5381" max="5632" width="9.140625" style="48"/>
    <col min="5633" max="5633" width="52.7109375" style="48" customWidth="1"/>
    <col min="5634" max="5634" width="9.7109375" style="48" bestFit="1" customWidth="1"/>
    <col min="5635" max="5635" width="16.85546875" style="48" bestFit="1" customWidth="1"/>
    <col min="5636" max="5636" width="13.28515625" style="48" bestFit="1" customWidth="1"/>
    <col min="5637" max="5888" width="9.140625" style="48"/>
    <col min="5889" max="5889" width="52.7109375" style="48" customWidth="1"/>
    <col min="5890" max="5890" width="9.7109375" style="48" bestFit="1" customWidth="1"/>
    <col min="5891" max="5891" width="16.85546875" style="48" bestFit="1" customWidth="1"/>
    <col min="5892" max="5892" width="13.28515625" style="48" bestFit="1" customWidth="1"/>
    <col min="5893" max="6144" width="9.140625" style="48"/>
    <col min="6145" max="6145" width="52.7109375" style="48" customWidth="1"/>
    <col min="6146" max="6146" width="9.7109375" style="48" bestFit="1" customWidth="1"/>
    <col min="6147" max="6147" width="16.85546875" style="48" bestFit="1" customWidth="1"/>
    <col min="6148" max="6148" width="13.28515625" style="48" bestFit="1" customWidth="1"/>
    <col min="6149" max="6400" width="9.140625" style="48"/>
    <col min="6401" max="6401" width="52.7109375" style="48" customWidth="1"/>
    <col min="6402" max="6402" width="9.7109375" style="48" bestFit="1" customWidth="1"/>
    <col min="6403" max="6403" width="16.85546875" style="48" bestFit="1" customWidth="1"/>
    <col min="6404" max="6404" width="13.28515625" style="48" bestFit="1" customWidth="1"/>
    <col min="6405" max="6656" width="9.140625" style="48"/>
    <col min="6657" max="6657" width="52.7109375" style="48" customWidth="1"/>
    <col min="6658" max="6658" width="9.7109375" style="48" bestFit="1" customWidth="1"/>
    <col min="6659" max="6659" width="16.85546875" style="48" bestFit="1" customWidth="1"/>
    <col min="6660" max="6660" width="13.28515625" style="48" bestFit="1" customWidth="1"/>
    <col min="6661" max="6912" width="9.140625" style="48"/>
    <col min="6913" max="6913" width="52.7109375" style="48" customWidth="1"/>
    <col min="6914" max="6914" width="9.7109375" style="48" bestFit="1" customWidth="1"/>
    <col min="6915" max="6915" width="16.85546875" style="48" bestFit="1" customWidth="1"/>
    <col min="6916" max="6916" width="13.28515625" style="48" bestFit="1" customWidth="1"/>
    <col min="6917" max="7168" width="9.140625" style="48"/>
    <col min="7169" max="7169" width="52.7109375" style="48" customWidth="1"/>
    <col min="7170" max="7170" width="9.7109375" style="48" bestFit="1" customWidth="1"/>
    <col min="7171" max="7171" width="16.85546875" style="48" bestFit="1" customWidth="1"/>
    <col min="7172" max="7172" width="13.28515625" style="48" bestFit="1" customWidth="1"/>
    <col min="7173" max="7424" width="9.140625" style="48"/>
    <col min="7425" max="7425" width="52.7109375" style="48" customWidth="1"/>
    <col min="7426" max="7426" width="9.7109375" style="48" bestFit="1" customWidth="1"/>
    <col min="7427" max="7427" width="16.85546875" style="48" bestFit="1" customWidth="1"/>
    <col min="7428" max="7428" width="13.28515625" style="48" bestFit="1" customWidth="1"/>
    <col min="7429" max="7680" width="9.140625" style="48"/>
    <col min="7681" max="7681" width="52.7109375" style="48" customWidth="1"/>
    <col min="7682" max="7682" width="9.7109375" style="48" bestFit="1" customWidth="1"/>
    <col min="7683" max="7683" width="16.85546875" style="48" bestFit="1" customWidth="1"/>
    <col min="7684" max="7684" width="13.28515625" style="48" bestFit="1" customWidth="1"/>
    <col min="7685" max="7936" width="9.140625" style="48"/>
    <col min="7937" max="7937" width="52.7109375" style="48" customWidth="1"/>
    <col min="7938" max="7938" width="9.7109375" style="48" bestFit="1" customWidth="1"/>
    <col min="7939" max="7939" width="16.85546875" style="48" bestFit="1" customWidth="1"/>
    <col min="7940" max="7940" width="13.28515625" style="48" bestFit="1" customWidth="1"/>
    <col min="7941" max="8192" width="9.140625" style="48"/>
    <col min="8193" max="8193" width="52.7109375" style="48" customWidth="1"/>
    <col min="8194" max="8194" width="9.7109375" style="48" bestFit="1" customWidth="1"/>
    <col min="8195" max="8195" width="16.85546875" style="48" bestFit="1" customWidth="1"/>
    <col min="8196" max="8196" width="13.28515625" style="48" bestFit="1" customWidth="1"/>
    <col min="8197" max="8448" width="9.140625" style="48"/>
    <col min="8449" max="8449" width="52.7109375" style="48" customWidth="1"/>
    <col min="8450" max="8450" width="9.7109375" style="48" bestFit="1" customWidth="1"/>
    <col min="8451" max="8451" width="16.85546875" style="48" bestFit="1" customWidth="1"/>
    <col min="8452" max="8452" width="13.28515625" style="48" bestFit="1" customWidth="1"/>
    <col min="8453" max="8704" width="9.140625" style="48"/>
    <col min="8705" max="8705" width="52.7109375" style="48" customWidth="1"/>
    <col min="8706" max="8706" width="9.7109375" style="48" bestFit="1" customWidth="1"/>
    <col min="8707" max="8707" width="16.85546875" style="48" bestFit="1" customWidth="1"/>
    <col min="8708" max="8708" width="13.28515625" style="48" bestFit="1" customWidth="1"/>
    <col min="8709" max="8960" width="9.140625" style="48"/>
    <col min="8961" max="8961" width="52.7109375" style="48" customWidth="1"/>
    <col min="8962" max="8962" width="9.7109375" style="48" bestFit="1" customWidth="1"/>
    <col min="8963" max="8963" width="16.85546875" style="48" bestFit="1" customWidth="1"/>
    <col min="8964" max="8964" width="13.28515625" style="48" bestFit="1" customWidth="1"/>
    <col min="8965" max="9216" width="9.140625" style="48"/>
    <col min="9217" max="9217" width="52.7109375" style="48" customWidth="1"/>
    <col min="9218" max="9218" width="9.7109375" style="48" bestFit="1" customWidth="1"/>
    <col min="9219" max="9219" width="16.85546875" style="48" bestFit="1" customWidth="1"/>
    <col min="9220" max="9220" width="13.28515625" style="48" bestFit="1" customWidth="1"/>
    <col min="9221" max="9472" width="9.140625" style="48"/>
    <col min="9473" max="9473" width="52.7109375" style="48" customWidth="1"/>
    <col min="9474" max="9474" width="9.7109375" style="48" bestFit="1" customWidth="1"/>
    <col min="9475" max="9475" width="16.85546875" style="48" bestFit="1" customWidth="1"/>
    <col min="9476" max="9476" width="13.28515625" style="48" bestFit="1" customWidth="1"/>
    <col min="9477" max="9728" width="9.140625" style="48"/>
    <col min="9729" max="9729" width="52.7109375" style="48" customWidth="1"/>
    <col min="9730" max="9730" width="9.7109375" style="48" bestFit="1" customWidth="1"/>
    <col min="9731" max="9731" width="16.85546875" style="48" bestFit="1" customWidth="1"/>
    <col min="9732" max="9732" width="13.28515625" style="48" bestFit="1" customWidth="1"/>
    <col min="9733" max="9984" width="9.140625" style="48"/>
    <col min="9985" max="9985" width="52.7109375" style="48" customWidth="1"/>
    <col min="9986" max="9986" width="9.7109375" style="48" bestFit="1" customWidth="1"/>
    <col min="9987" max="9987" width="16.85546875" style="48" bestFit="1" customWidth="1"/>
    <col min="9988" max="9988" width="13.28515625" style="48" bestFit="1" customWidth="1"/>
    <col min="9989" max="10240" width="9.140625" style="48"/>
    <col min="10241" max="10241" width="52.7109375" style="48" customWidth="1"/>
    <col min="10242" max="10242" width="9.7109375" style="48" bestFit="1" customWidth="1"/>
    <col min="10243" max="10243" width="16.85546875" style="48" bestFit="1" customWidth="1"/>
    <col min="10244" max="10244" width="13.28515625" style="48" bestFit="1" customWidth="1"/>
    <col min="10245" max="10496" width="9.140625" style="48"/>
    <col min="10497" max="10497" width="52.7109375" style="48" customWidth="1"/>
    <col min="10498" max="10498" width="9.7109375" style="48" bestFit="1" customWidth="1"/>
    <col min="10499" max="10499" width="16.85546875" style="48" bestFit="1" customWidth="1"/>
    <col min="10500" max="10500" width="13.28515625" style="48" bestFit="1" customWidth="1"/>
    <col min="10501" max="10752" width="9.140625" style="48"/>
    <col min="10753" max="10753" width="52.7109375" style="48" customWidth="1"/>
    <col min="10754" max="10754" width="9.7109375" style="48" bestFit="1" customWidth="1"/>
    <col min="10755" max="10755" width="16.85546875" style="48" bestFit="1" customWidth="1"/>
    <col min="10756" max="10756" width="13.28515625" style="48" bestFit="1" customWidth="1"/>
    <col min="10757" max="11008" width="9.140625" style="48"/>
    <col min="11009" max="11009" width="52.7109375" style="48" customWidth="1"/>
    <col min="11010" max="11010" width="9.7109375" style="48" bestFit="1" customWidth="1"/>
    <col min="11011" max="11011" width="16.85546875" style="48" bestFit="1" customWidth="1"/>
    <col min="11012" max="11012" width="13.28515625" style="48" bestFit="1" customWidth="1"/>
    <col min="11013" max="11264" width="9.140625" style="48"/>
    <col min="11265" max="11265" width="52.7109375" style="48" customWidth="1"/>
    <col min="11266" max="11266" width="9.7109375" style="48" bestFit="1" customWidth="1"/>
    <col min="11267" max="11267" width="16.85546875" style="48" bestFit="1" customWidth="1"/>
    <col min="11268" max="11268" width="13.28515625" style="48" bestFit="1" customWidth="1"/>
    <col min="11269" max="11520" width="9.140625" style="48"/>
    <col min="11521" max="11521" width="52.7109375" style="48" customWidth="1"/>
    <col min="11522" max="11522" width="9.7109375" style="48" bestFit="1" customWidth="1"/>
    <col min="11523" max="11523" width="16.85546875" style="48" bestFit="1" customWidth="1"/>
    <col min="11524" max="11524" width="13.28515625" style="48" bestFit="1" customWidth="1"/>
    <col min="11525" max="11776" width="9.140625" style="48"/>
    <col min="11777" max="11777" width="52.7109375" style="48" customWidth="1"/>
    <col min="11778" max="11778" width="9.7109375" style="48" bestFit="1" customWidth="1"/>
    <col min="11779" max="11779" width="16.85546875" style="48" bestFit="1" customWidth="1"/>
    <col min="11780" max="11780" width="13.28515625" style="48" bestFit="1" customWidth="1"/>
    <col min="11781" max="12032" width="9.140625" style="48"/>
    <col min="12033" max="12033" width="52.7109375" style="48" customWidth="1"/>
    <col min="12034" max="12034" width="9.7109375" style="48" bestFit="1" customWidth="1"/>
    <col min="12035" max="12035" width="16.85546875" style="48" bestFit="1" customWidth="1"/>
    <col min="12036" max="12036" width="13.28515625" style="48" bestFit="1" customWidth="1"/>
    <col min="12037" max="12288" width="9.140625" style="48"/>
    <col min="12289" max="12289" width="52.7109375" style="48" customWidth="1"/>
    <col min="12290" max="12290" width="9.7109375" style="48" bestFit="1" customWidth="1"/>
    <col min="12291" max="12291" width="16.85546875" style="48" bestFit="1" customWidth="1"/>
    <col min="12292" max="12292" width="13.28515625" style="48" bestFit="1" customWidth="1"/>
    <col min="12293" max="12544" width="9.140625" style="48"/>
    <col min="12545" max="12545" width="52.7109375" style="48" customWidth="1"/>
    <col min="12546" max="12546" width="9.7109375" style="48" bestFit="1" customWidth="1"/>
    <col min="12547" max="12547" width="16.85546875" style="48" bestFit="1" customWidth="1"/>
    <col min="12548" max="12548" width="13.28515625" style="48" bestFit="1" customWidth="1"/>
    <col min="12549" max="12800" width="9.140625" style="48"/>
    <col min="12801" max="12801" width="52.7109375" style="48" customWidth="1"/>
    <col min="12802" max="12802" width="9.7109375" style="48" bestFit="1" customWidth="1"/>
    <col min="12803" max="12803" width="16.85546875" style="48" bestFit="1" customWidth="1"/>
    <col min="12804" max="12804" width="13.28515625" style="48" bestFit="1" customWidth="1"/>
    <col min="12805" max="13056" width="9.140625" style="48"/>
    <col min="13057" max="13057" width="52.7109375" style="48" customWidth="1"/>
    <col min="13058" max="13058" width="9.7109375" style="48" bestFit="1" customWidth="1"/>
    <col min="13059" max="13059" width="16.85546875" style="48" bestFit="1" customWidth="1"/>
    <col min="13060" max="13060" width="13.28515625" style="48" bestFit="1" customWidth="1"/>
    <col min="13061" max="13312" width="9.140625" style="48"/>
    <col min="13313" max="13313" width="52.7109375" style="48" customWidth="1"/>
    <col min="13314" max="13314" width="9.7109375" style="48" bestFit="1" customWidth="1"/>
    <col min="13315" max="13315" width="16.85546875" style="48" bestFit="1" customWidth="1"/>
    <col min="13316" max="13316" width="13.28515625" style="48" bestFit="1" customWidth="1"/>
    <col min="13317" max="13568" width="9.140625" style="48"/>
    <col min="13569" max="13569" width="52.7109375" style="48" customWidth="1"/>
    <col min="13570" max="13570" width="9.7109375" style="48" bestFit="1" customWidth="1"/>
    <col min="13571" max="13571" width="16.85546875" style="48" bestFit="1" customWidth="1"/>
    <col min="13572" max="13572" width="13.28515625" style="48" bestFit="1" customWidth="1"/>
    <col min="13573" max="13824" width="9.140625" style="48"/>
    <col min="13825" max="13825" width="52.7109375" style="48" customWidth="1"/>
    <col min="13826" max="13826" width="9.7109375" style="48" bestFit="1" customWidth="1"/>
    <col min="13827" max="13827" width="16.85546875" style="48" bestFit="1" customWidth="1"/>
    <col min="13828" max="13828" width="13.28515625" style="48" bestFit="1" customWidth="1"/>
    <col min="13829" max="14080" width="9.140625" style="48"/>
    <col min="14081" max="14081" width="52.7109375" style="48" customWidth="1"/>
    <col min="14082" max="14082" width="9.7109375" style="48" bestFit="1" customWidth="1"/>
    <col min="14083" max="14083" width="16.85546875" style="48" bestFit="1" customWidth="1"/>
    <col min="14084" max="14084" width="13.28515625" style="48" bestFit="1" customWidth="1"/>
    <col min="14085" max="14336" width="9.140625" style="48"/>
    <col min="14337" max="14337" width="52.7109375" style="48" customWidth="1"/>
    <col min="14338" max="14338" width="9.7109375" style="48" bestFit="1" customWidth="1"/>
    <col min="14339" max="14339" width="16.85546875" style="48" bestFit="1" customWidth="1"/>
    <col min="14340" max="14340" width="13.28515625" style="48" bestFit="1" customWidth="1"/>
    <col min="14341" max="14592" width="9.140625" style="48"/>
    <col min="14593" max="14593" width="52.7109375" style="48" customWidth="1"/>
    <col min="14594" max="14594" width="9.7109375" style="48" bestFit="1" customWidth="1"/>
    <col min="14595" max="14595" width="16.85546875" style="48" bestFit="1" customWidth="1"/>
    <col min="14596" max="14596" width="13.28515625" style="48" bestFit="1" customWidth="1"/>
    <col min="14597" max="14848" width="9.140625" style="48"/>
    <col min="14849" max="14849" width="52.7109375" style="48" customWidth="1"/>
    <col min="14850" max="14850" width="9.7109375" style="48" bestFit="1" customWidth="1"/>
    <col min="14851" max="14851" width="16.85546875" style="48" bestFit="1" customWidth="1"/>
    <col min="14852" max="14852" width="13.28515625" style="48" bestFit="1" customWidth="1"/>
    <col min="14853" max="15104" width="9.140625" style="48"/>
    <col min="15105" max="15105" width="52.7109375" style="48" customWidth="1"/>
    <col min="15106" max="15106" width="9.7109375" style="48" bestFit="1" customWidth="1"/>
    <col min="15107" max="15107" width="16.85546875" style="48" bestFit="1" customWidth="1"/>
    <col min="15108" max="15108" width="13.28515625" style="48" bestFit="1" customWidth="1"/>
    <col min="15109" max="15360" width="9.140625" style="48"/>
    <col min="15361" max="15361" width="52.7109375" style="48" customWidth="1"/>
    <col min="15362" max="15362" width="9.7109375" style="48" bestFit="1" customWidth="1"/>
    <col min="15363" max="15363" width="16.85546875" style="48" bestFit="1" customWidth="1"/>
    <col min="15364" max="15364" width="13.28515625" style="48" bestFit="1" customWidth="1"/>
    <col min="15365" max="15616" width="9.140625" style="48"/>
    <col min="15617" max="15617" width="52.7109375" style="48" customWidth="1"/>
    <col min="15618" max="15618" width="9.7109375" style="48" bestFit="1" customWidth="1"/>
    <col min="15619" max="15619" width="16.85546875" style="48" bestFit="1" customWidth="1"/>
    <col min="15620" max="15620" width="13.28515625" style="48" bestFit="1" customWidth="1"/>
    <col min="15621" max="15872" width="9.140625" style="48"/>
    <col min="15873" max="15873" width="52.7109375" style="48" customWidth="1"/>
    <col min="15874" max="15874" width="9.7109375" style="48" bestFit="1" customWidth="1"/>
    <col min="15875" max="15875" width="16.85546875" style="48" bestFit="1" customWidth="1"/>
    <col min="15876" max="15876" width="13.28515625" style="48" bestFit="1" customWidth="1"/>
    <col min="15877" max="16128" width="9.140625" style="48"/>
    <col min="16129" max="16129" width="52.7109375" style="48" customWidth="1"/>
    <col min="16130" max="16130" width="9.7109375" style="48" bestFit="1" customWidth="1"/>
    <col min="16131" max="16131" width="16.85546875" style="48" bestFit="1" customWidth="1"/>
    <col min="16132" max="16132" width="13.28515625" style="48" bestFit="1" customWidth="1"/>
    <col min="16133" max="16384" width="9.140625" style="48"/>
  </cols>
  <sheetData>
    <row r="1" spans="1:5" s="18" customFormat="1" hidden="1">
      <c r="A1" s="12" t="s">
        <v>371</v>
      </c>
      <c r="B1" s="46"/>
      <c r="C1" s="17"/>
    </row>
    <row r="2" spans="1:5" s="18" customFormat="1" hidden="1">
      <c r="A2" s="13" t="s">
        <v>372</v>
      </c>
      <c r="B2" s="46"/>
      <c r="C2" s="17"/>
    </row>
    <row r="3" spans="1:5" s="18" customFormat="1" hidden="1">
      <c r="A3" s="14" t="s">
        <v>373</v>
      </c>
      <c r="B3" s="46"/>
      <c r="C3" s="17"/>
    </row>
    <row r="4" spans="1:5" s="19" customFormat="1" hidden="1">
      <c r="A4" s="15" t="s">
        <v>374</v>
      </c>
      <c r="B4" s="15"/>
      <c r="C4" s="15"/>
      <c r="D4" s="15"/>
    </row>
    <row r="5" spans="1:5" s="18" customFormat="1" hidden="1">
      <c r="A5" s="21" t="s">
        <v>375</v>
      </c>
      <c r="B5" s="21"/>
      <c r="C5" s="22"/>
      <c r="E5" s="21"/>
    </row>
    <row r="6" spans="1:5" s="18" customFormat="1" hidden="1">
      <c r="A6" s="21" t="s">
        <v>376</v>
      </c>
      <c r="B6" s="21"/>
      <c r="C6" s="23"/>
      <c r="E6" s="21"/>
    </row>
    <row r="7" spans="1:5" s="324" customFormat="1" ht="12.75" hidden="1" customHeight="1">
      <c r="A7" s="237"/>
      <c r="D7" s="78" t="s">
        <v>459</v>
      </c>
    </row>
    <row r="8" spans="1:5" s="324" customFormat="1" ht="12.75" hidden="1" customHeight="1">
      <c r="A8" s="237"/>
      <c r="D8" s="78" t="s">
        <v>378</v>
      </c>
    </row>
    <row r="9" spans="1:5" s="324" customFormat="1" ht="12.75" hidden="1" customHeight="1">
      <c r="A9" s="237"/>
      <c r="D9" s="78" t="s">
        <v>379</v>
      </c>
    </row>
    <row r="10" spans="1:5" s="324" customFormat="1" hidden="1">
      <c r="A10" s="237" t="s">
        <v>305</v>
      </c>
      <c r="B10" s="237" t="s">
        <v>305</v>
      </c>
      <c r="D10" s="325" t="s">
        <v>349</v>
      </c>
    </row>
    <row r="11" spans="1:5" ht="12.75" customHeight="1">
      <c r="A11" s="237" t="str">
        <f>CONCATENATE(Реквизиты!A4,Реквизиты!B4)</f>
        <v>Наименование организации: АО "Тема Ко"</v>
      </c>
      <c r="B11" s="236"/>
      <c r="C11" s="236"/>
      <c r="D11" s="236"/>
    </row>
    <row r="12" spans="1:5" s="49" customFormat="1">
      <c r="A12" s="225" t="s">
        <v>791</v>
      </c>
      <c r="B12" s="225"/>
      <c r="C12" s="225"/>
      <c r="D12" s="225"/>
    </row>
    <row r="13" spans="1:5" s="49" customFormat="1">
      <c r="A13" s="225" t="str">
        <f>Реквизиты!A2</f>
        <v>за период с 01.01.2013 г. по 30.09.2013 г.</v>
      </c>
      <c r="B13" s="225"/>
      <c r="C13" s="225"/>
      <c r="D13" s="225"/>
    </row>
    <row r="14" spans="1:5" s="49" customFormat="1">
      <c r="A14" s="77"/>
      <c r="B14" s="77"/>
      <c r="C14" s="318" t="s">
        <v>307</v>
      </c>
      <c r="D14" s="139" t="s">
        <v>307</v>
      </c>
    </row>
    <row r="15" spans="1:5" ht="25.5">
      <c r="A15" s="50" t="s">
        <v>460</v>
      </c>
      <c r="B15" s="50" t="s">
        <v>386</v>
      </c>
      <c r="C15" s="50" t="s">
        <v>343</v>
      </c>
      <c r="D15" s="50" t="s">
        <v>344</v>
      </c>
    </row>
    <row r="16" spans="1:5" ht="12.75" customHeight="1">
      <c r="A16" s="262" t="s">
        <v>461</v>
      </c>
      <c r="B16" s="263"/>
      <c r="C16" s="263"/>
      <c r="D16" s="264"/>
    </row>
    <row r="17" spans="1:4" s="49" customFormat="1" ht="25.5">
      <c r="A17" s="51" t="s">
        <v>462</v>
      </c>
      <c r="B17" s="52" t="s">
        <v>310</v>
      </c>
      <c r="C17" s="16">
        <v>3002338.0486699999</v>
      </c>
      <c r="D17" s="16">
        <v>3051847.2217000001</v>
      </c>
    </row>
    <row r="18" spans="1:4">
      <c r="A18" s="53" t="s">
        <v>440</v>
      </c>
      <c r="B18" s="54"/>
      <c r="C18" s="45"/>
      <c r="D18" s="45"/>
    </row>
    <row r="19" spans="1:4">
      <c r="A19" s="55" t="s">
        <v>463</v>
      </c>
      <c r="B19" s="54" t="s">
        <v>311</v>
      </c>
      <c r="C19" s="41">
        <v>1703619.9887399999</v>
      </c>
      <c r="D19" s="41">
        <v>2945118.7560199997</v>
      </c>
    </row>
    <row r="20" spans="1:4">
      <c r="A20" s="55" t="s">
        <v>464</v>
      </c>
      <c r="B20" s="54" t="s">
        <v>312</v>
      </c>
      <c r="C20" s="41">
        <v>0</v>
      </c>
      <c r="D20" s="41">
        <v>0</v>
      </c>
    </row>
    <row r="21" spans="1:4">
      <c r="A21" s="55" t="s">
        <v>465</v>
      </c>
      <c r="B21" s="54" t="s">
        <v>313</v>
      </c>
      <c r="C21" s="41">
        <v>393375.84172000003</v>
      </c>
      <c r="D21" s="41">
        <v>104274.32139</v>
      </c>
    </row>
    <row r="22" spans="1:4">
      <c r="A22" s="55" t="s">
        <v>466</v>
      </c>
      <c r="B22" s="54" t="s">
        <v>315</v>
      </c>
      <c r="C22" s="41">
        <v>0</v>
      </c>
      <c r="D22" s="41">
        <v>0</v>
      </c>
    </row>
    <row r="23" spans="1:4">
      <c r="A23" s="55" t="s">
        <v>467</v>
      </c>
      <c r="B23" s="54" t="s">
        <v>316</v>
      </c>
      <c r="C23" s="41">
        <v>181.05640999999997</v>
      </c>
      <c r="D23" s="41">
        <v>8.7430699999999959</v>
      </c>
    </row>
    <row r="24" spans="1:4">
      <c r="A24" s="55" t="s">
        <v>468</v>
      </c>
      <c r="B24" s="54" t="s">
        <v>317</v>
      </c>
      <c r="C24" s="41">
        <v>905161.1618</v>
      </c>
      <c r="D24" s="41">
        <v>2445.401220000349</v>
      </c>
    </row>
    <row r="25" spans="1:4" s="49" customFormat="1" ht="25.5">
      <c r="A25" s="51" t="s">
        <v>469</v>
      </c>
      <c r="B25" s="52" t="s">
        <v>319</v>
      </c>
      <c r="C25" s="16">
        <v>3181959.8422199995</v>
      </c>
      <c r="D25" s="16">
        <v>2772458.5093299998</v>
      </c>
    </row>
    <row r="26" spans="1:4">
      <c r="A26" s="53" t="s">
        <v>440</v>
      </c>
      <c r="B26" s="54"/>
      <c r="C26" s="45"/>
      <c r="D26" s="45"/>
    </row>
    <row r="27" spans="1:4">
      <c r="A27" s="55" t="s">
        <v>470</v>
      </c>
      <c r="B27" s="54" t="s">
        <v>320</v>
      </c>
      <c r="C27" s="41">
        <v>1359109.6614899999</v>
      </c>
      <c r="D27" s="41">
        <v>1692348.36949</v>
      </c>
    </row>
    <row r="28" spans="1:4">
      <c r="A28" s="55" t="s">
        <v>471</v>
      </c>
      <c r="B28" s="54" t="s">
        <v>321</v>
      </c>
      <c r="C28" s="41">
        <v>464979.33958000003</v>
      </c>
      <c r="D28" s="41">
        <v>385229.69761000003</v>
      </c>
    </row>
    <row r="29" spans="1:4">
      <c r="A29" s="55" t="s">
        <v>472</v>
      </c>
      <c r="B29" s="54" t="s">
        <v>323</v>
      </c>
      <c r="C29" s="41">
        <v>370871.51063999999</v>
      </c>
      <c r="D29" s="41">
        <v>240203.86079000001</v>
      </c>
    </row>
    <row r="30" spans="1:4">
      <c r="A30" s="55" t="s">
        <v>473</v>
      </c>
      <c r="B30" s="54" t="s">
        <v>324</v>
      </c>
      <c r="C30" s="41">
        <v>10757.8125</v>
      </c>
      <c r="D30" s="41">
        <v>28977.875</v>
      </c>
    </row>
    <row r="31" spans="1:4">
      <c r="A31" s="55" t="s">
        <v>474</v>
      </c>
      <c r="B31" s="54" t="s">
        <v>325</v>
      </c>
      <c r="C31" s="41">
        <v>0</v>
      </c>
      <c r="D31" s="41">
        <v>0</v>
      </c>
    </row>
    <row r="32" spans="1:4">
      <c r="A32" s="55" t="s">
        <v>475</v>
      </c>
      <c r="B32" s="54" t="s">
        <v>326</v>
      </c>
      <c r="C32" s="41">
        <v>4491.9790000000003</v>
      </c>
      <c r="D32" s="41">
        <v>379293.29599000001</v>
      </c>
    </row>
    <row r="33" spans="1:4">
      <c r="A33" s="55" t="s">
        <v>476</v>
      </c>
      <c r="B33" s="54" t="s">
        <v>327</v>
      </c>
      <c r="C33" s="41">
        <v>971749.53900999995</v>
      </c>
      <c r="D33" s="41">
        <v>46405.41044999985</v>
      </c>
    </row>
    <row r="34" spans="1:4" s="49" customFormat="1" ht="25.5">
      <c r="A34" s="51" t="s">
        <v>477</v>
      </c>
      <c r="B34" s="52" t="s">
        <v>329</v>
      </c>
      <c r="C34" s="16">
        <v>-179621.79354999959</v>
      </c>
      <c r="D34" s="16">
        <v>279388.71237000031</v>
      </c>
    </row>
    <row r="35" spans="1:4" ht="12.75" customHeight="1">
      <c r="A35" s="265" t="s">
        <v>478</v>
      </c>
      <c r="B35" s="266"/>
      <c r="C35" s="266"/>
      <c r="D35" s="267"/>
    </row>
    <row r="36" spans="1:4" s="49" customFormat="1" ht="25.5">
      <c r="A36" s="51" t="s">
        <v>479</v>
      </c>
      <c r="B36" s="52" t="s">
        <v>331</v>
      </c>
      <c r="C36" s="16">
        <v>4901.96</v>
      </c>
      <c r="D36" s="16">
        <v>42093.5</v>
      </c>
    </row>
    <row r="37" spans="1:4">
      <c r="A37" s="53" t="s">
        <v>440</v>
      </c>
      <c r="B37" s="54"/>
      <c r="C37" s="45"/>
      <c r="D37" s="45"/>
    </row>
    <row r="38" spans="1:4">
      <c r="A38" s="55" t="s">
        <v>480</v>
      </c>
      <c r="B38" s="54" t="s">
        <v>332</v>
      </c>
      <c r="C38" s="41">
        <v>0</v>
      </c>
      <c r="D38" s="41">
        <v>0</v>
      </c>
    </row>
    <row r="39" spans="1:4">
      <c r="A39" s="55" t="s">
        <v>481</v>
      </c>
      <c r="B39" s="54" t="s">
        <v>333</v>
      </c>
      <c r="C39" s="41">
        <v>0</v>
      </c>
      <c r="D39" s="41">
        <v>0</v>
      </c>
    </row>
    <row r="40" spans="1:4">
      <c r="A40" s="55" t="s">
        <v>482</v>
      </c>
      <c r="B40" s="54" t="s">
        <v>334</v>
      </c>
      <c r="C40" s="41">
        <v>0</v>
      </c>
      <c r="D40" s="41">
        <v>0</v>
      </c>
    </row>
    <row r="41" spans="1:4" ht="38.25">
      <c r="A41" s="55" t="s">
        <v>483</v>
      </c>
      <c r="B41" s="54" t="s">
        <v>335</v>
      </c>
      <c r="C41" s="41">
        <v>0</v>
      </c>
      <c r="D41" s="41">
        <v>0</v>
      </c>
    </row>
    <row r="42" spans="1:4">
      <c r="A42" s="55" t="s">
        <v>484</v>
      </c>
      <c r="B42" s="54" t="s">
        <v>350</v>
      </c>
      <c r="C42" s="41">
        <v>0</v>
      </c>
      <c r="D42" s="41">
        <v>0</v>
      </c>
    </row>
    <row r="43" spans="1:4" ht="25.5">
      <c r="A43" s="55" t="s">
        <v>485</v>
      </c>
      <c r="B43" s="54" t="s">
        <v>351</v>
      </c>
      <c r="C43" s="41">
        <v>0</v>
      </c>
      <c r="D43" s="41">
        <v>0</v>
      </c>
    </row>
    <row r="44" spans="1:4">
      <c r="A44" s="55" t="s">
        <v>486</v>
      </c>
      <c r="B44" s="54" t="s">
        <v>352</v>
      </c>
      <c r="C44" s="41">
        <v>0</v>
      </c>
      <c r="D44" s="41">
        <v>0</v>
      </c>
    </row>
    <row r="45" spans="1:4">
      <c r="A45" s="55" t="s">
        <v>487</v>
      </c>
      <c r="B45" s="54" t="s">
        <v>488</v>
      </c>
      <c r="C45" s="41">
        <v>0</v>
      </c>
      <c r="D45" s="41">
        <v>0</v>
      </c>
    </row>
    <row r="46" spans="1:4">
      <c r="A46" s="55" t="s">
        <v>489</v>
      </c>
      <c r="B46" s="54" t="s">
        <v>490</v>
      </c>
      <c r="C46" s="41">
        <v>0</v>
      </c>
      <c r="D46" s="41">
        <v>0</v>
      </c>
    </row>
    <row r="47" spans="1:4">
      <c r="A47" s="55" t="s">
        <v>688</v>
      </c>
      <c r="B47" s="54" t="s">
        <v>337</v>
      </c>
      <c r="C47" s="41">
        <v>0</v>
      </c>
      <c r="D47" s="41">
        <v>0</v>
      </c>
    </row>
    <row r="48" spans="1:4">
      <c r="A48" s="55" t="s">
        <v>682</v>
      </c>
      <c r="B48" s="54" t="s">
        <v>338</v>
      </c>
      <c r="C48" s="41">
        <v>4901.96</v>
      </c>
      <c r="D48" s="41">
        <v>42093.5</v>
      </c>
    </row>
    <row r="49" spans="1:4" s="49" customFormat="1" ht="25.5">
      <c r="A49" s="51" t="s">
        <v>491</v>
      </c>
      <c r="B49" s="52" t="s">
        <v>345</v>
      </c>
      <c r="C49" s="16">
        <v>51700.945</v>
      </c>
      <c r="D49" s="16">
        <v>217278.72120000003</v>
      </c>
    </row>
    <row r="50" spans="1:4">
      <c r="A50" s="53" t="s">
        <v>440</v>
      </c>
      <c r="B50" s="54"/>
      <c r="C50" s="45"/>
      <c r="D50" s="45"/>
    </row>
    <row r="51" spans="1:4">
      <c r="A51" s="55" t="s">
        <v>492</v>
      </c>
      <c r="B51" s="54" t="s">
        <v>493</v>
      </c>
      <c r="C51" s="41">
        <v>0</v>
      </c>
      <c r="D51" s="41">
        <v>163035</v>
      </c>
    </row>
    <row r="52" spans="1:4">
      <c r="A52" s="55" t="s">
        <v>494</v>
      </c>
      <c r="B52" s="54" t="s">
        <v>495</v>
      </c>
      <c r="C52" s="41">
        <v>0</v>
      </c>
      <c r="D52" s="41">
        <v>2720</v>
      </c>
    </row>
    <row r="53" spans="1:4">
      <c r="A53" s="55" t="s">
        <v>496</v>
      </c>
      <c r="B53" s="54" t="s">
        <v>497</v>
      </c>
      <c r="C53" s="41">
        <v>0</v>
      </c>
      <c r="D53" s="41">
        <v>0</v>
      </c>
    </row>
    <row r="54" spans="1:4" ht="38.25">
      <c r="A54" s="55" t="s">
        <v>498</v>
      </c>
      <c r="B54" s="54" t="s">
        <v>499</v>
      </c>
      <c r="C54" s="41">
        <v>0</v>
      </c>
      <c r="D54" s="41">
        <v>0</v>
      </c>
    </row>
    <row r="55" spans="1:4" ht="25.5">
      <c r="A55" s="55" t="s">
        <v>500</v>
      </c>
      <c r="B55" s="54" t="s">
        <v>501</v>
      </c>
      <c r="C55" s="41">
        <v>0</v>
      </c>
      <c r="D55" s="41">
        <v>0</v>
      </c>
    </row>
    <row r="56" spans="1:4">
      <c r="A56" s="55" t="s">
        <v>502</v>
      </c>
      <c r="B56" s="54" t="s">
        <v>503</v>
      </c>
      <c r="C56" s="41">
        <v>0</v>
      </c>
      <c r="D56" s="41">
        <v>0</v>
      </c>
    </row>
    <row r="57" spans="1:4">
      <c r="A57" s="55" t="s">
        <v>504</v>
      </c>
      <c r="B57" s="54" t="s">
        <v>505</v>
      </c>
      <c r="C57" s="41">
        <v>0</v>
      </c>
      <c r="D57" s="41">
        <v>0</v>
      </c>
    </row>
    <row r="58" spans="1:4">
      <c r="A58" s="55" t="s">
        <v>506</v>
      </c>
      <c r="B58" s="54" t="s">
        <v>507</v>
      </c>
      <c r="C58" s="41">
        <v>51700.945</v>
      </c>
      <c r="D58" s="41">
        <v>38483.721200000029</v>
      </c>
    </row>
    <row r="59" spans="1:4">
      <c r="A59" s="55" t="s">
        <v>487</v>
      </c>
      <c r="B59" s="54" t="s">
        <v>508</v>
      </c>
      <c r="C59" s="41">
        <v>0</v>
      </c>
      <c r="D59" s="41">
        <v>0</v>
      </c>
    </row>
    <row r="60" spans="1:4">
      <c r="A60" s="55" t="s">
        <v>509</v>
      </c>
      <c r="B60" s="54" t="s">
        <v>346</v>
      </c>
      <c r="C60" s="41">
        <v>0</v>
      </c>
      <c r="D60" s="41">
        <v>0</v>
      </c>
    </row>
    <row r="61" spans="1:4">
      <c r="A61" s="55" t="s">
        <v>681</v>
      </c>
      <c r="B61" s="54" t="s">
        <v>353</v>
      </c>
      <c r="C61" s="41">
        <v>0</v>
      </c>
      <c r="D61" s="41">
        <v>13040</v>
      </c>
    </row>
    <row r="62" spans="1:4" s="49" customFormat="1" ht="25.5">
      <c r="A62" s="51" t="s">
        <v>510</v>
      </c>
      <c r="B62" s="52" t="s">
        <v>347</v>
      </c>
      <c r="C62" s="16">
        <v>-46798.985000000001</v>
      </c>
      <c r="D62" s="16">
        <v>-175185.22120000003</v>
      </c>
    </row>
    <row r="63" spans="1:4">
      <c r="A63" s="265" t="s">
        <v>511</v>
      </c>
      <c r="B63" s="266"/>
      <c r="C63" s="266"/>
      <c r="D63" s="267"/>
    </row>
    <row r="64" spans="1:4" s="49" customFormat="1" ht="25.5">
      <c r="A64" s="51" t="s">
        <v>512</v>
      </c>
      <c r="B64" s="52" t="s">
        <v>348</v>
      </c>
      <c r="C64" s="16">
        <v>1382.6906299999998</v>
      </c>
      <c r="D64" s="16">
        <v>578.53543000000002</v>
      </c>
    </row>
    <row r="65" spans="1:4">
      <c r="A65" s="53" t="s">
        <v>440</v>
      </c>
      <c r="B65" s="54"/>
      <c r="C65" s="45"/>
      <c r="D65" s="45"/>
    </row>
    <row r="66" spans="1:4">
      <c r="A66" s="55" t="s">
        <v>513</v>
      </c>
      <c r="B66" s="54" t="s">
        <v>514</v>
      </c>
      <c r="C66" s="41">
        <v>0</v>
      </c>
      <c r="D66" s="41">
        <v>0</v>
      </c>
    </row>
    <row r="67" spans="1:4">
      <c r="A67" s="55" t="s">
        <v>515</v>
      </c>
      <c r="B67" s="54" t="s">
        <v>516</v>
      </c>
      <c r="C67" s="41">
        <v>0</v>
      </c>
      <c r="D67" s="41">
        <v>0</v>
      </c>
    </row>
    <row r="68" spans="1:4">
      <c r="A68" s="55" t="s">
        <v>687</v>
      </c>
      <c r="B68" s="54" t="s">
        <v>517</v>
      </c>
      <c r="C68" s="41">
        <v>1382.6906299999998</v>
      </c>
      <c r="D68" s="41">
        <v>-0.46457000000000015</v>
      </c>
    </row>
    <row r="69" spans="1:4">
      <c r="A69" s="55" t="s">
        <v>683</v>
      </c>
      <c r="B69" s="54" t="s">
        <v>518</v>
      </c>
      <c r="C69" s="41">
        <v>0</v>
      </c>
      <c r="D69" s="41">
        <v>579</v>
      </c>
    </row>
    <row r="70" spans="1:4" s="49" customFormat="1" ht="25.5">
      <c r="A70" s="51" t="s">
        <v>519</v>
      </c>
      <c r="B70" s="56">
        <v>100</v>
      </c>
      <c r="C70" s="16">
        <v>37344.513399999996</v>
      </c>
      <c r="D70" s="16">
        <v>367.53740000001198</v>
      </c>
    </row>
    <row r="71" spans="1:4">
      <c r="A71" s="53" t="s">
        <v>440</v>
      </c>
      <c r="B71" s="54"/>
      <c r="C71" s="45"/>
      <c r="D71" s="45"/>
    </row>
    <row r="72" spans="1:4">
      <c r="A72" s="55" t="s">
        <v>520</v>
      </c>
      <c r="B72" s="50">
        <v>101</v>
      </c>
      <c r="C72" s="41">
        <v>28125</v>
      </c>
      <c r="D72" s="41">
        <v>0.32800000000861473</v>
      </c>
    </row>
    <row r="73" spans="1:4">
      <c r="A73" s="55" t="s">
        <v>689</v>
      </c>
      <c r="B73" s="50">
        <v>102</v>
      </c>
      <c r="C73" s="41">
        <v>9103.9223999999995</v>
      </c>
      <c r="D73" s="41">
        <v>0.25040000000080909</v>
      </c>
    </row>
    <row r="74" spans="1:4">
      <c r="A74" s="55" t="s">
        <v>521</v>
      </c>
      <c r="B74" s="50">
        <v>103</v>
      </c>
      <c r="C74" s="41">
        <v>0</v>
      </c>
      <c r="D74" s="41">
        <v>0</v>
      </c>
    </row>
    <row r="75" spans="1:4">
      <c r="A75" s="55" t="s">
        <v>522</v>
      </c>
      <c r="B75" s="50">
        <v>104</v>
      </c>
      <c r="C75" s="41">
        <v>0</v>
      </c>
      <c r="D75" s="41">
        <v>0</v>
      </c>
    </row>
    <row r="76" spans="1:4">
      <c r="A76" s="55" t="s">
        <v>684</v>
      </c>
      <c r="B76" s="50">
        <v>105</v>
      </c>
      <c r="C76" s="41">
        <v>115.59099999999999</v>
      </c>
      <c r="D76" s="41">
        <v>366.95900000000256</v>
      </c>
    </row>
    <row r="77" spans="1:4" s="49" customFormat="1" ht="25.5">
      <c r="A77" s="51" t="s">
        <v>523</v>
      </c>
      <c r="B77" s="56">
        <v>110</v>
      </c>
      <c r="C77" s="16">
        <v>-35961.822769999999</v>
      </c>
      <c r="D77" s="16">
        <v>210.99802999998803</v>
      </c>
    </row>
    <row r="78" spans="1:4" s="49" customFormat="1">
      <c r="A78" s="51" t="s">
        <v>524</v>
      </c>
      <c r="B78" s="56">
        <v>120</v>
      </c>
      <c r="C78" s="41">
        <v>0</v>
      </c>
      <c r="D78" s="41">
        <v>0</v>
      </c>
    </row>
    <row r="79" spans="1:4" s="49" customFormat="1" ht="25.5">
      <c r="A79" s="51" t="s">
        <v>525</v>
      </c>
      <c r="B79" s="56">
        <v>130</v>
      </c>
      <c r="C79" s="16">
        <v>-262382.60131999955</v>
      </c>
      <c r="D79" s="16">
        <v>104413.4892</v>
      </c>
    </row>
    <row r="80" spans="1:4" s="49" customFormat="1" ht="25.5">
      <c r="A80" s="51" t="s">
        <v>526</v>
      </c>
      <c r="B80" s="56">
        <v>140</v>
      </c>
      <c r="C80" s="16">
        <v>995066.54706000001</v>
      </c>
      <c r="D80" s="16">
        <v>825620.62204000016</v>
      </c>
    </row>
    <row r="81" spans="1:4" s="49" customFormat="1" ht="25.5">
      <c r="A81" s="51" t="s">
        <v>527</v>
      </c>
      <c r="B81" s="56">
        <v>150</v>
      </c>
      <c r="C81" s="16">
        <v>732683.94574000046</v>
      </c>
      <c r="D81" s="16">
        <v>930034.11124</v>
      </c>
    </row>
    <row r="82" spans="1:4">
      <c r="A82" s="47" t="s">
        <v>305</v>
      </c>
      <c r="B82" s="47" t="s">
        <v>305</v>
      </c>
      <c r="C82" s="235">
        <f>C81-ФО.1!D25</f>
        <v>-0.28530999948270619</v>
      </c>
      <c r="D82" s="235"/>
    </row>
    <row r="83" spans="1:4">
      <c r="A83" s="57" t="str">
        <f>CONCATENATE(Реквизиты!A12,Реквизиты!B12)</f>
        <v>Руководитель: Ембергенов Руслан Адилович</v>
      </c>
      <c r="B83" s="48" t="s">
        <v>305</v>
      </c>
      <c r="C83" s="57" t="s">
        <v>305</v>
      </c>
      <c r="D83" s="47" t="s">
        <v>305</v>
      </c>
    </row>
    <row r="84" spans="1:4">
      <c r="A84" s="48" t="s">
        <v>421</v>
      </c>
      <c r="B84" s="48" t="s">
        <v>305</v>
      </c>
      <c r="C84" s="58" t="s">
        <v>340</v>
      </c>
      <c r="D84" s="47" t="s">
        <v>305</v>
      </c>
    </row>
    <row r="85" spans="1:4">
      <c r="C85" s="58"/>
      <c r="D85" s="47"/>
    </row>
    <row r="86" spans="1:4">
      <c r="A86" s="57" t="str">
        <f>CONCATENATE(Реквизиты!A13,Реквизиты!B13)</f>
        <v>Главный бухгалтер: Муканова Наталья Анатольевна</v>
      </c>
      <c r="B86" s="48" t="s">
        <v>305</v>
      </c>
      <c r="C86" s="57" t="s">
        <v>305</v>
      </c>
      <c r="D86" s="47" t="s">
        <v>305</v>
      </c>
    </row>
    <row r="87" spans="1:4">
      <c r="A87" s="48" t="s">
        <v>422</v>
      </c>
      <c r="B87" s="48" t="s">
        <v>305</v>
      </c>
      <c r="C87" s="58" t="s">
        <v>340</v>
      </c>
      <c r="D87" s="47" t="s">
        <v>305</v>
      </c>
    </row>
    <row r="88" spans="1:4">
      <c r="A88" s="47" t="s">
        <v>341</v>
      </c>
      <c r="B88" s="47" t="s">
        <v>305</v>
      </c>
      <c r="C88" s="47" t="s">
        <v>305</v>
      </c>
      <c r="D88" s="47" t="s">
        <v>305</v>
      </c>
    </row>
  </sheetData>
  <sheetProtection formatCells="0" formatColumns="0" formatRows="0" insertColumns="0" insertRows="0" insertHyperlinks="0" deleteColumns="0" deleteRows="0" sort="0" autoFilter="0" pivotTables="0"/>
  <hyperlinks>
    <hyperlink ref="A1" r:id="rId1"/>
    <hyperlink ref="A2" r:id="rId2" display="mailto:admin@balans.kz"/>
    <hyperlink ref="A3" r:id="rId3" display="Омаров Асаин Муратбаевич (Compas)"/>
  </hyperlinks>
  <pageMargins left="1.0236220472440944" right="0.23622047244094491" top="0.55118110236220474" bottom="0.74803149606299213" header="0.31496062992125984" footer="0.31496062992125984"/>
  <pageSetup paperSize="9" scale="95" orientation="portrait" verticalDpi="0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2"/>
  <sheetViews>
    <sheetView topLeftCell="A12" workbookViewId="0">
      <selection activeCell="D95" sqref="D95"/>
    </sheetView>
  </sheetViews>
  <sheetFormatPr defaultRowHeight="15" customHeight="1" outlineLevelRow="1"/>
  <cols>
    <col min="1" max="1" width="42.28515625" style="39" customWidth="1"/>
    <col min="2" max="2" width="8.28515625" style="39" customWidth="1"/>
    <col min="3" max="3" width="13.7109375" style="39" customWidth="1"/>
    <col min="4" max="4" width="12.85546875" style="39" customWidth="1"/>
    <col min="5" max="5" width="14.85546875" style="39" customWidth="1"/>
    <col min="6" max="6" width="11.7109375" style="39" customWidth="1"/>
    <col min="7" max="7" width="16.140625" style="39" customWidth="1"/>
    <col min="8" max="8" width="12.85546875" style="39" customWidth="1"/>
    <col min="9" max="9" width="13.5703125" style="39" customWidth="1"/>
    <col min="10" max="10" width="10.85546875" style="39" bestFit="1" customWidth="1"/>
    <col min="11" max="256" width="9.140625" style="39"/>
    <col min="257" max="257" width="42.28515625" style="39" customWidth="1"/>
    <col min="258" max="258" width="8.28515625" style="39" customWidth="1"/>
    <col min="259" max="259" width="13.7109375" style="39" customWidth="1"/>
    <col min="260" max="260" width="12.85546875" style="39" customWidth="1"/>
    <col min="261" max="261" width="13.140625" style="39" customWidth="1"/>
    <col min="262" max="262" width="11.7109375" style="39" customWidth="1"/>
    <col min="263" max="263" width="16.140625" style="39" customWidth="1"/>
    <col min="264" max="264" width="12.85546875" style="39" customWidth="1"/>
    <col min="265" max="265" width="13.5703125" style="39" customWidth="1"/>
    <col min="266" max="512" width="9.140625" style="39"/>
    <col min="513" max="513" width="42.28515625" style="39" customWidth="1"/>
    <col min="514" max="514" width="8.28515625" style="39" customWidth="1"/>
    <col min="515" max="515" width="13.7109375" style="39" customWidth="1"/>
    <col min="516" max="516" width="12.85546875" style="39" customWidth="1"/>
    <col min="517" max="517" width="13.140625" style="39" customWidth="1"/>
    <col min="518" max="518" width="11.7109375" style="39" customWidth="1"/>
    <col min="519" max="519" width="16.140625" style="39" customWidth="1"/>
    <col min="520" max="520" width="12.85546875" style="39" customWidth="1"/>
    <col min="521" max="521" width="13.5703125" style="39" customWidth="1"/>
    <col min="522" max="768" width="9.140625" style="39"/>
    <col min="769" max="769" width="42.28515625" style="39" customWidth="1"/>
    <col min="770" max="770" width="8.28515625" style="39" customWidth="1"/>
    <col min="771" max="771" width="13.7109375" style="39" customWidth="1"/>
    <col min="772" max="772" width="12.85546875" style="39" customWidth="1"/>
    <col min="773" max="773" width="13.140625" style="39" customWidth="1"/>
    <col min="774" max="774" width="11.7109375" style="39" customWidth="1"/>
    <col min="775" max="775" width="16.140625" style="39" customWidth="1"/>
    <col min="776" max="776" width="12.85546875" style="39" customWidth="1"/>
    <col min="777" max="777" width="13.5703125" style="39" customWidth="1"/>
    <col min="778" max="1024" width="9.140625" style="39"/>
    <col min="1025" max="1025" width="42.28515625" style="39" customWidth="1"/>
    <col min="1026" max="1026" width="8.28515625" style="39" customWidth="1"/>
    <col min="1027" max="1027" width="13.7109375" style="39" customWidth="1"/>
    <col min="1028" max="1028" width="12.85546875" style="39" customWidth="1"/>
    <col min="1029" max="1029" width="13.140625" style="39" customWidth="1"/>
    <col min="1030" max="1030" width="11.7109375" style="39" customWidth="1"/>
    <col min="1031" max="1031" width="16.140625" style="39" customWidth="1"/>
    <col min="1032" max="1032" width="12.85546875" style="39" customWidth="1"/>
    <col min="1033" max="1033" width="13.5703125" style="39" customWidth="1"/>
    <col min="1034" max="1280" width="9.140625" style="39"/>
    <col min="1281" max="1281" width="42.28515625" style="39" customWidth="1"/>
    <col min="1282" max="1282" width="8.28515625" style="39" customWidth="1"/>
    <col min="1283" max="1283" width="13.7109375" style="39" customWidth="1"/>
    <col min="1284" max="1284" width="12.85546875" style="39" customWidth="1"/>
    <col min="1285" max="1285" width="13.140625" style="39" customWidth="1"/>
    <col min="1286" max="1286" width="11.7109375" style="39" customWidth="1"/>
    <col min="1287" max="1287" width="16.140625" style="39" customWidth="1"/>
    <col min="1288" max="1288" width="12.85546875" style="39" customWidth="1"/>
    <col min="1289" max="1289" width="13.5703125" style="39" customWidth="1"/>
    <col min="1290" max="1536" width="9.140625" style="39"/>
    <col min="1537" max="1537" width="42.28515625" style="39" customWidth="1"/>
    <col min="1538" max="1538" width="8.28515625" style="39" customWidth="1"/>
    <col min="1539" max="1539" width="13.7109375" style="39" customWidth="1"/>
    <col min="1540" max="1540" width="12.85546875" style="39" customWidth="1"/>
    <col min="1541" max="1541" width="13.140625" style="39" customWidth="1"/>
    <col min="1542" max="1542" width="11.7109375" style="39" customWidth="1"/>
    <col min="1543" max="1543" width="16.140625" style="39" customWidth="1"/>
    <col min="1544" max="1544" width="12.85546875" style="39" customWidth="1"/>
    <col min="1545" max="1545" width="13.5703125" style="39" customWidth="1"/>
    <col min="1546" max="1792" width="9.140625" style="39"/>
    <col min="1793" max="1793" width="42.28515625" style="39" customWidth="1"/>
    <col min="1794" max="1794" width="8.28515625" style="39" customWidth="1"/>
    <col min="1795" max="1795" width="13.7109375" style="39" customWidth="1"/>
    <col min="1796" max="1796" width="12.85546875" style="39" customWidth="1"/>
    <col min="1797" max="1797" width="13.140625" style="39" customWidth="1"/>
    <col min="1798" max="1798" width="11.7109375" style="39" customWidth="1"/>
    <col min="1799" max="1799" width="16.140625" style="39" customWidth="1"/>
    <col min="1800" max="1800" width="12.85546875" style="39" customWidth="1"/>
    <col min="1801" max="1801" width="13.5703125" style="39" customWidth="1"/>
    <col min="1802" max="2048" width="9.140625" style="39"/>
    <col min="2049" max="2049" width="42.28515625" style="39" customWidth="1"/>
    <col min="2050" max="2050" width="8.28515625" style="39" customWidth="1"/>
    <col min="2051" max="2051" width="13.7109375" style="39" customWidth="1"/>
    <col min="2052" max="2052" width="12.85546875" style="39" customWidth="1"/>
    <col min="2053" max="2053" width="13.140625" style="39" customWidth="1"/>
    <col min="2054" max="2054" width="11.7109375" style="39" customWidth="1"/>
    <col min="2055" max="2055" width="16.140625" style="39" customWidth="1"/>
    <col min="2056" max="2056" width="12.85546875" style="39" customWidth="1"/>
    <col min="2057" max="2057" width="13.5703125" style="39" customWidth="1"/>
    <col min="2058" max="2304" width="9.140625" style="39"/>
    <col min="2305" max="2305" width="42.28515625" style="39" customWidth="1"/>
    <col min="2306" max="2306" width="8.28515625" style="39" customWidth="1"/>
    <col min="2307" max="2307" width="13.7109375" style="39" customWidth="1"/>
    <col min="2308" max="2308" width="12.85546875" style="39" customWidth="1"/>
    <col min="2309" max="2309" width="13.140625" style="39" customWidth="1"/>
    <col min="2310" max="2310" width="11.7109375" style="39" customWidth="1"/>
    <col min="2311" max="2311" width="16.140625" style="39" customWidth="1"/>
    <col min="2312" max="2312" width="12.85546875" style="39" customWidth="1"/>
    <col min="2313" max="2313" width="13.5703125" style="39" customWidth="1"/>
    <col min="2314" max="2560" width="9.140625" style="39"/>
    <col min="2561" max="2561" width="42.28515625" style="39" customWidth="1"/>
    <col min="2562" max="2562" width="8.28515625" style="39" customWidth="1"/>
    <col min="2563" max="2563" width="13.7109375" style="39" customWidth="1"/>
    <col min="2564" max="2564" width="12.85546875" style="39" customWidth="1"/>
    <col min="2565" max="2565" width="13.140625" style="39" customWidth="1"/>
    <col min="2566" max="2566" width="11.7109375" style="39" customWidth="1"/>
    <col min="2567" max="2567" width="16.140625" style="39" customWidth="1"/>
    <col min="2568" max="2568" width="12.85546875" style="39" customWidth="1"/>
    <col min="2569" max="2569" width="13.5703125" style="39" customWidth="1"/>
    <col min="2570" max="2816" width="9.140625" style="39"/>
    <col min="2817" max="2817" width="42.28515625" style="39" customWidth="1"/>
    <col min="2818" max="2818" width="8.28515625" style="39" customWidth="1"/>
    <col min="2819" max="2819" width="13.7109375" style="39" customWidth="1"/>
    <col min="2820" max="2820" width="12.85546875" style="39" customWidth="1"/>
    <col min="2821" max="2821" width="13.140625" style="39" customWidth="1"/>
    <col min="2822" max="2822" width="11.7109375" style="39" customWidth="1"/>
    <col min="2823" max="2823" width="16.140625" style="39" customWidth="1"/>
    <col min="2824" max="2824" width="12.85546875" style="39" customWidth="1"/>
    <col min="2825" max="2825" width="13.5703125" style="39" customWidth="1"/>
    <col min="2826" max="3072" width="9.140625" style="39"/>
    <col min="3073" max="3073" width="42.28515625" style="39" customWidth="1"/>
    <col min="3074" max="3074" width="8.28515625" style="39" customWidth="1"/>
    <col min="3075" max="3075" width="13.7109375" style="39" customWidth="1"/>
    <col min="3076" max="3076" width="12.85546875" style="39" customWidth="1"/>
    <col min="3077" max="3077" width="13.140625" style="39" customWidth="1"/>
    <col min="3078" max="3078" width="11.7109375" style="39" customWidth="1"/>
    <col min="3079" max="3079" width="16.140625" style="39" customWidth="1"/>
    <col min="3080" max="3080" width="12.85546875" style="39" customWidth="1"/>
    <col min="3081" max="3081" width="13.5703125" style="39" customWidth="1"/>
    <col min="3082" max="3328" width="9.140625" style="39"/>
    <col min="3329" max="3329" width="42.28515625" style="39" customWidth="1"/>
    <col min="3330" max="3330" width="8.28515625" style="39" customWidth="1"/>
    <col min="3331" max="3331" width="13.7109375" style="39" customWidth="1"/>
    <col min="3332" max="3332" width="12.85546875" style="39" customWidth="1"/>
    <col min="3333" max="3333" width="13.140625" style="39" customWidth="1"/>
    <col min="3334" max="3334" width="11.7109375" style="39" customWidth="1"/>
    <col min="3335" max="3335" width="16.140625" style="39" customWidth="1"/>
    <col min="3336" max="3336" width="12.85546875" style="39" customWidth="1"/>
    <col min="3337" max="3337" width="13.5703125" style="39" customWidth="1"/>
    <col min="3338" max="3584" width="9.140625" style="39"/>
    <col min="3585" max="3585" width="42.28515625" style="39" customWidth="1"/>
    <col min="3586" max="3586" width="8.28515625" style="39" customWidth="1"/>
    <col min="3587" max="3587" width="13.7109375" style="39" customWidth="1"/>
    <col min="3588" max="3588" width="12.85546875" style="39" customWidth="1"/>
    <col min="3589" max="3589" width="13.140625" style="39" customWidth="1"/>
    <col min="3590" max="3590" width="11.7109375" style="39" customWidth="1"/>
    <col min="3591" max="3591" width="16.140625" style="39" customWidth="1"/>
    <col min="3592" max="3592" width="12.85546875" style="39" customWidth="1"/>
    <col min="3593" max="3593" width="13.5703125" style="39" customWidth="1"/>
    <col min="3594" max="3840" width="9.140625" style="39"/>
    <col min="3841" max="3841" width="42.28515625" style="39" customWidth="1"/>
    <col min="3842" max="3842" width="8.28515625" style="39" customWidth="1"/>
    <col min="3843" max="3843" width="13.7109375" style="39" customWidth="1"/>
    <col min="3844" max="3844" width="12.85546875" style="39" customWidth="1"/>
    <col min="3845" max="3845" width="13.140625" style="39" customWidth="1"/>
    <col min="3846" max="3846" width="11.7109375" style="39" customWidth="1"/>
    <col min="3847" max="3847" width="16.140625" style="39" customWidth="1"/>
    <col min="3848" max="3848" width="12.85546875" style="39" customWidth="1"/>
    <col min="3849" max="3849" width="13.5703125" style="39" customWidth="1"/>
    <col min="3850" max="4096" width="9.140625" style="39"/>
    <col min="4097" max="4097" width="42.28515625" style="39" customWidth="1"/>
    <col min="4098" max="4098" width="8.28515625" style="39" customWidth="1"/>
    <col min="4099" max="4099" width="13.7109375" style="39" customWidth="1"/>
    <col min="4100" max="4100" width="12.85546875" style="39" customWidth="1"/>
    <col min="4101" max="4101" width="13.140625" style="39" customWidth="1"/>
    <col min="4102" max="4102" width="11.7109375" style="39" customWidth="1"/>
    <col min="4103" max="4103" width="16.140625" style="39" customWidth="1"/>
    <col min="4104" max="4104" width="12.85546875" style="39" customWidth="1"/>
    <col min="4105" max="4105" width="13.5703125" style="39" customWidth="1"/>
    <col min="4106" max="4352" width="9.140625" style="39"/>
    <col min="4353" max="4353" width="42.28515625" style="39" customWidth="1"/>
    <col min="4354" max="4354" width="8.28515625" style="39" customWidth="1"/>
    <col min="4355" max="4355" width="13.7109375" style="39" customWidth="1"/>
    <col min="4356" max="4356" width="12.85546875" style="39" customWidth="1"/>
    <col min="4357" max="4357" width="13.140625" style="39" customWidth="1"/>
    <col min="4358" max="4358" width="11.7109375" style="39" customWidth="1"/>
    <col min="4359" max="4359" width="16.140625" style="39" customWidth="1"/>
    <col min="4360" max="4360" width="12.85546875" style="39" customWidth="1"/>
    <col min="4361" max="4361" width="13.5703125" style="39" customWidth="1"/>
    <col min="4362" max="4608" width="9.140625" style="39"/>
    <col min="4609" max="4609" width="42.28515625" style="39" customWidth="1"/>
    <col min="4610" max="4610" width="8.28515625" style="39" customWidth="1"/>
    <col min="4611" max="4611" width="13.7109375" style="39" customWidth="1"/>
    <col min="4612" max="4612" width="12.85546875" style="39" customWidth="1"/>
    <col min="4613" max="4613" width="13.140625" style="39" customWidth="1"/>
    <col min="4614" max="4614" width="11.7109375" style="39" customWidth="1"/>
    <col min="4615" max="4615" width="16.140625" style="39" customWidth="1"/>
    <col min="4616" max="4616" width="12.85546875" style="39" customWidth="1"/>
    <col min="4617" max="4617" width="13.5703125" style="39" customWidth="1"/>
    <col min="4618" max="4864" width="9.140625" style="39"/>
    <col min="4865" max="4865" width="42.28515625" style="39" customWidth="1"/>
    <col min="4866" max="4866" width="8.28515625" style="39" customWidth="1"/>
    <col min="4867" max="4867" width="13.7109375" style="39" customWidth="1"/>
    <col min="4868" max="4868" width="12.85546875" style="39" customWidth="1"/>
    <col min="4869" max="4869" width="13.140625" style="39" customWidth="1"/>
    <col min="4870" max="4870" width="11.7109375" style="39" customWidth="1"/>
    <col min="4871" max="4871" width="16.140625" style="39" customWidth="1"/>
    <col min="4872" max="4872" width="12.85546875" style="39" customWidth="1"/>
    <col min="4873" max="4873" width="13.5703125" style="39" customWidth="1"/>
    <col min="4874" max="5120" width="9.140625" style="39"/>
    <col min="5121" max="5121" width="42.28515625" style="39" customWidth="1"/>
    <col min="5122" max="5122" width="8.28515625" style="39" customWidth="1"/>
    <col min="5123" max="5123" width="13.7109375" style="39" customWidth="1"/>
    <col min="5124" max="5124" width="12.85546875" style="39" customWidth="1"/>
    <col min="5125" max="5125" width="13.140625" style="39" customWidth="1"/>
    <col min="5126" max="5126" width="11.7109375" style="39" customWidth="1"/>
    <col min="5127" max="5127" width="16.140625" style="39" customWidth="1"/>
    <col min="5128" max="5128" width="12.85546875" style="39" customWidth="1"/>
    <col min="5129" max="5129" width="13.5703125" style="39" customWidth="1"/>
    <col min="5130" max="5376" width="9.140625" style="39"/>
    <col min="5377" max="5377" width="42.28515625" style="39" customWidth="1"/>
    <col min="5378" max="5378" width="8.28515625" style="39" customWidth="1"/>
    <col min="5379" max="5379" width="13.7109375" style="39" customWidth="1"/>
    <col min="5380" max="5380" width="12.85546875" style="39" customWidth="1"/>
    <col min="5381" max="5381" width="13.140625" style="39" customWidth="1"/>
    <col min="5382" max="5382" width="11.7109375" style="39" customWidth="1"/>
    <col min="5383" max="5383" width="16.140625" style="39" customWidth="1"/>
    <col min="5384" max="5384" width="12.85546875" style="39" customWidth="1"/>
    <col min="5385" max="5385" width="13.5703125" style="39" customWidth="1"/>
    <col min="5386" max="5632" width="9.140625" style="39"/>
    <col min="5633" max="5633" width="42.28515625" style="39" customWidth="1"/>
    <col min="5634" max="5634" width="8.28515625" style="39" customWidth="1"/>
    <col min="5635" max="5635" width="13.7109375" style="39" customWidth="1"/>
    <col min="5636" max="5636" width="12.85546875" style="39" customWidth="1"/>
    <col min="5637" max="5637" width="13.140625" style="39" customWidth="1"/>
    <col min="5638" max="5638" width="11.7109375" style="39" customWidth="1"/>
    <col min="5639" max="5639" width="16.140625" style="39" customWidth="1"/>
    <col min="5640" max="5640" width="12.85546875" style="39" customWidth="1"/>
    <col min="5641" max="5641" width="13.5703125" style="39" customWidth="1"/>
    <col min="5642" max="5888" width="9.140625" style="39"/>
    <col min="5889" max="5889" width="42.28515625" style="39" customWidth="1"/>
    <col min="5890" max="5890" width="8.28515625" style="39" customWidth="1"/>
    <col min="5891" max="5891" width="13.7109375" style="39" customWidth="1"/>
    <col min="5892" max="5892" width="12.85546875" style="39" customWidth="1"/>
    <col min="5893" max="5893" width="13.140625" style="39" customWidth="1"/>
    <col min="5894" max="5894" width="11.7109375" style="39" customWidth="1"/>
    <col min="5895" max="5895" width="16.140625" style="39" customWidth="1"/>
    <col min="5896" max="5896" width="12.85546875" style="39" customWidth="1"/>
    <col min="5897" max="5897" width="13.5703125" style="39" customWidth="1"/>
    <col min="5898" max="6144" width="9.140625" style="39"/>
    <col min="6145" max="6145" width="42.28515625" style="39" customWidth="1"/>
    <col min="6146" max="6146" width="8.28515625" style="39" customWidth="1"/>
    <col min="6147" max="6147" width="13.7109375" style="39" customWidth="1"/>
    <col min="6148" max="6148" width="12.85546875" style="39" customWidth="1"/>
    <col min="6149" max="6149" width="13.140625" style="39" customWidth="1"/>
    <col min="6150" max="6150" width="11.7109375" style="39" customWidth="1"/>
    <col min="6151" max="6151" width="16.140625" style="39" customWidth="1"/>
    <col min="6152" max="6152" width="12.85546875" style="39" customWidth="1"/>
    <col min="6153" max="6153" width="13.5703125" style="39" customWidth="1"/>
    <col min="6154" max="6400" width="9.140625" style="39"/>
    <col min="6401" max="6401" width="42.28515625" style="39" customWidth="1"/>
    <col min="6402" max="6402" width="8.28515625" style="39" customWidth="1"/>
    <col min="6403" max="6403" width="13.7109375" style="39" customWidth="1"/>
    <col min="6404" max="6404" width="12.85546875" style="39" customWidth="1"/>
    <col min="6405" max="6405" width="13.140625" style="39" customWidth="1"/>
    <col min="6406" max="6406" width="11.7109375" style="39" customWidth="1"/>
    <col min="6407" max="6407" width="16.140625" style="39" customWidth="1"/>
    <col min="6408" max="6408" width="12.85546875" style="39" customWidth="1"/>
    <col min="6409" max="6409" width="13.5703125" style="39" customWidth="1"/>
    <col min="6410" max="6656" width="9.140625" style="39"/>
    <col min="6657" max="6657" width="42.28515625" style="39" customWidth="1"/>
    <col min="6658" max="6658" width="8.28515625" style="39" customWidth="1"/>
    <col min="6659" max="6659" width="13.7109375" style="39" customWidth="1"/>
    <col min="6660" max="6660" width="12.85546875" style="39" customWidth="1"/>
    <col min="6661" max="6661" width="13.140625" style="39" customWidth="1"/>
    <col min="6662" max="6662" width="11.7109375" style="39" customWidth="1"/>
    <col min="6663" max="6663" width="16.140625" style="39" customWidth="1"/>
    <col min="6664" max="6664" width="12.85546875" style="39" customWidth="1"/>
    <col min="6665" max="6665" width="13.5703125" style="39" customWidth="1"/>
    <col min="6666" max="6912" width="9.140625" style="39"/>
    <col min="6913" max="6913" width="42.28515625" style="39" customWidth="1"/>
    <col min="6914" max="6914" width="8.28515625" style="39" customWidth="1"/>
    <col min="6915" max="6915" width="13.7109375" style="39" customWidth="1"/>
    <col min="6916" max="6916" width="12.85546875" style="39" customWidth="1"/>
    <col min="6917" max="6917" width="13.140625" style="39" customWidth="1"/>
    <col min="6918" max="6918" width="11.7109375" style="39" customWidth="1"/>
    <col min="6919" max="6919" width="16.140625" style="39" customWidth="1"/>
    <col min="6920" max="6920" width="12.85546875" style="39" customWidth="1"/>
    <col min="6921" max="6921" width="13.5703125" style="39" customWidth="1"/>
    <col min="6922" max="7168" width="9.140625" style="39"/>
    <col min="7169" max="7169" width="42.28515625" style="39" customWidth="1"/>
    <col min="7170" max="7170" width="8.28515625" style="39" customWidth="1"/>
    <col min="7171" max="7171" width="13.7109375" style="39" customWidth="1"/>
    <col min="7172" max="7172" width="12.85546875" style="39" customWidth="1"/>
    <col min="7173" max="7173" width="13.140625" style="39" customWidth="1"/>
    <col min="7174" max="7174" width="11.7109375" style="39" customWidth="1"/>
    <col min="7175" max="7175" width="16.140625" style="39" customWidth="1"/>
    <col min="7176" max="7176" width="12.85546875" style="39" customWidth="1"/>
    <col min="7177" max="7177" width="13.5703125" style="39" customWidth="1"/>
    <col min="7178" max="7424" width="9.140625" style="39"/>
    <col min="7425" max="7425" width="42.28515625" style="39" customWidth="1"/>
    <col min="7426" max="7426" width="8.28515625" style="39" customWidth="1"/>
    <col min="7427" max="7427" width="13.7109375" style="39" customWidth="1"/>
    <col min="7428" max="7428" width="12.85546875" style="39" customWidth="1"/>
    <col min="7429" max="7429" width="13.140625" style="39" customWidth="1"/>
    <col min="7430" max="7430" width="11.7109375" style="39" customWidth="1"/>
    <col min="7431" max="7431" width="16.140625" style="39" customWidth="1"/>
    <col min="7432" max="7432" width="12.85546875" style="39" customWidth="1"/>
    <col min="7433" max="7433" width="13.5703125" style="39" customWidth="1"/>
    <col min="7434" max="7680" width="9.140625" style="39"/>
    <col min="7681" max="7681" width="42.28515625" style="39" customWidth="1"/>
    <col min="7682" max="7682" width="8.28515625" style="39" customWidth="1"/>
    <col min="7683" max="7683" width="13.7109375" style="39" customWidth="1"/>
    <col min="7684" max="7684" width="12.85546875" style="39" customWidth="1"/>
    <col min="7685" max="7685" width="13.140625" style="39" customWidth="1"/>
    <col min="7686" max="7686" width="11.7109375" style="39" customWidth="1"/>
    <col min="7687" max="7687" width="16.140625" style="39" customWidth="1"/>
    <col min="7688" max="7688" width="12.85546875" style="39" customWidth="1"/>
    <col min="7689" max="7689" width="13.5703125" style="39" customWidth="1"/>
    <col min="7690" max="7936" width="9.140625" style="39"/>
    <col min="7937" max="7937" width="42.28515625" style="39" customWidth="1"/>
    <col min="7938" max="7938" width="8.28515625" style="39" customWidth="1"/>
    <col min="7939" max="7939" width="13.7109375" style="39" customWidth="1"/>
    <col min="7940" max="7940" width="12.85546875" style="39" customWidth="1"/>
    <col min="7941" max="7941" width="13.140625" style="39" customWidth="1"/>
    <col min="7942" max="7942" width="11.7109375" style="39" customWidth="1"/>
    <col min="7943" max="7943" width="16.140625" style="39" customWidth="1"/>
    <col min="7944" max="7944" width="12.85546875" style="39" customWidth="1"/>
    <col min="7945" max="7945" width="13.5703125" style="39" customWidth="1"/>
    <col min="7946" max="8192" width="9.140625" style="39"/>
    <col min="8193" max="8193" width="42.28515625" style="39" customWidth="1"/>
    <col min="8194" max="8194" width="8.28515625" style="39" customWidth="1"/>
    <col min="8195" max="8195" width="13.7109375" style="39" customWidth="1"/>
    <col min="8196" max="8196" width="12.85546875" style="39" customWidth="1"/>
    <col min="8197" max="8197" width="13.140625" style="39" customWidth="1"/>
    <col min="8198" max="8198" width="11.7109375" style="39" customWidth="1"/>
    <col min="8199" max="8199" width="16.140625" style="39" customWidth="1"/>
    <col min="8200" max="8200" width="12.85546875" style="39" customWidth="1"/>
    <col min="8201" max="8201" width="13.5703125" style="39" customWidth="1"/>
    <col min="8202" max="8448" width="9.140625" style="39"/>
    <col min="8449" max="8449" width="42.28515625" style="39" customWidth="1"/>
    <col min="8450" max="8450" width="8.28515625" style="39" customWidth="1"/>
    <col min="8451" max="8451" width="13.7109375" style="39" customWidth="1"/>
    <col min="8452" max="8452" width="12.85546875" style="39" customWidth="1"/>
    <col min="8453" max="8453" width="13.140625" style="39" customWidth="1"/>
    <col min="8454" max="8454" width="11.7109375" style="39" customWidth="1"/>
    <col min="8455" max="8455" width="16.140625" style="39" customWidth="1"/>
    <col min="8456" max="8456" width="12.85546875" style="39" customWidth="1"/>
    <col min="8457" max="8457" width="13.5703125" style="39" customWidth="1"/>
    <col min="8458" max="8704" width="9.140625" style="39"/>
    <col min="8705" max="8705" width="42.28515625" style="39" customWidth="1"/>
    <col min="8706" max="8706" width="8.28515625" style="39" customWidth="1"/>
    <col min="8707" max="8707" width="13.7109375" style="39" customWidth="1"/>
    <col min="8708" max="8708" width="12.85546875" style="39" customWidth="1"/>
    <col min="8709" max="8709" width="13.140625" style="39" customWidth="1"/>
    <col min="8710" max="8710" width="11.7109375" style="39" customWidth="1"/>
    <col min="8711" max="8711" width="16.140625" style="39" customWidth="1"/>
    <col min="8712" max="8712" width="12.85546875" style="39" customWidth="1"/>
    <col min="8713" max="8713" width="13.5703125" style="39" customWidth="1"/>
    <col min="8714" max="8960" width="9.140625" style="39"/>
    <col min="8961" max="8961" width="42.28515625" style="39" customWidth="1"/>
    <col min="8962" max="8962" width="8.28515625" style="39" customWidth="1"/>
    <col min="8963" max="8963" width="13.7109375" style="39" customWidth="1"/>
    <col min="8964" max="8964" width="12.85546875" style="39" customWidth="1"/>
    <col min="8965" max="8965" width="13.140625" style="39" customWidth="1"/>
    <col min="8966" max="8966" width="11.7109375" style="39" customWidth="1"/>
    <col min="8967" max="8967" width="16.140625" style="39" customWidth="1"/>
    <col min="8968" max="8968" width="12.85546875" style="39" customWidth="1"/>
    <col min="8969" max="8969" width="13.5703125" style="39" customWidth="1"/>
    <col min="8970" max="9216" width="9.140625" style="39"/>
    <col min="9217" max="9217" width="42.28515625" style="39" customWidth="1"/>
    <col min="9218" max="9218" width="8.28515625" style="39" customWidth="1"/>
    <col min="9219" max="9219" width="13.7109375" style="39" customWidth="1"/>
    <col min="9220" max="9220" width="12.85546875" style="39" customWidth="1"/>
    <col min="9221" max="9221" width="13.140625" style="39" customWidth="1"/>
    <col min="9222" max="9222" width="11.7109375" style="39" customWidth="1"/>
    <col min="9223" max="9223" width="16.140625" style="39" customWidth="1"/>
    <col min="9224" max="9224" width="12.85546875" style="39" customWidth="1"/>
    <col min="9225" max="9225" width="13.5703125" style="39" customWidth="1"/>
    <col min="9226" max="9472" width="9.140625" style="39"/>
    <col min="9473" max="9473" width="42.28515625" style="39" customWidth="1"/>
    <col min="9474" max="9474" width="8.28515625" style="39" customWidth="1"/>
    <col min="9475" max="9475" width="13.7109375" style="39" customWidth="1"/>
    <col min="9476" max="9476" width="12.85546875" style="39" customWidth="1"/>
    <col min="9477" max="9477" width="13.140625" style="39" customWidth="1"/>
    <col min="9478" max="9478" width="11.7109375" style="39" customWidth="1"/>
    <col min="9479" max="9479" width="16.140625" style="39" customWidth="1"/>
    <col min="9480" max="9480" width="12.85546875" style="39" customWidth="1"/>
    <col min="9481" max="9481" width="13.5703125" style="39" customWidth="1"/>
    <col min="9482" max="9728" width="9.140625" style="39"/>
    <col min="9729" max="9729" width="42.28515625" style="39" customWidth="1"/>
    <col min="9730" max="9730" width="8.28515625" style="39" customWidth="1"/>
    <col min="9731" max="9731" width="13.7109375" style="39" customWidth="1"/>
    <col min="9732" max="9732" width="12.85546875" style="39" customWidth="1"/>
    <col min="9733" max="9733" width="13.140625" style="39" customWidth="1"/>
    <col min="9734" max="9734" width="11.7109375" style="39" customWidth="1"/>
    <col min="9735" max="9735" width="16.140625" style="39" customWidth="1"/>
    <col min="9736" max="9736" width="12.85546875" style="39" customWidth="1"/>
    <col min="9737" max="9737" width="13.5703125" style="39" customWidth="1"/>
    <col min="9738" max="9984" width="9.140625" style="39"/>
    <col min="9985" max="9985" width="42.28515625" style="39" customWidth="1"/>
    <col min="9986" max="9986" width="8.28515625" style="39" customWidth="1"/>
    <col min="9987" max="9987" width="13.7109375" style="39" customWidth="1"/>
    <col min="9988" max="9988" width="12.85546875" style="39" customWidth="1"/>
    <col min="9989" max="9989" width="13.140625" style="39" customWidth="1"/>
    <col min="9990" max="9990" width="11.7109375" style="39" customWidth="1"/>
    <col min="9991" max="9991" width="16.140625" style="39" customWidth="1"/>
    <col min="9992" max="9992" width="12.85546875" style="39" customWidth="1"/>
    <col min="9993" max="9993" width="13.5703125" style="39" customWidth="1"/>
    <col min="9994" max="10240" width="9.140625" style="39"/>
    <col min="10241" max="10241" width="42.28515625" style="39" customWidth="1"/>
    <col min="10242" max="10242" width="8.28515625" style="39" customWidth="1"/>
    <col min="10243" max="10243" width="13.7109375" style="39" customWidth="1"/>
    <col min="10244" max="10244" width="12.85546875" style="39" customWidth="1"/>
    <col min="10245" max="10245" width="13.140625" style="39" customWidth="1"/>
    <col min="10246" max="10246" width="11.7109375" style="39" customWidth="1"/>
    <col min="10247" max="10247" width="16.140625" style="39" customWidth="1"/>
    <col min="10248" max="10248" width="12.85546875" style="39" customWidth="1"/>
    <col min="10249" max="10249" width="13.5703125" style="39" customWidth="1"/>
    <col min="10250" max="10496" width="9.140625" style="39"/>
    <col min="10497" max="10497" width="42.28515625" style="39" customWidth="1"/>
    <col min="10498" max="10498" width="8.28515625" style="39" customWidth="1"/>
    <col min="10499" max="10499" width="13.7109375" style="39" customWidth="1"/>
    <col min="10500" max="10500" width="12.85546875" style="39" customWidth="1"/>
    <col min="10501" max="10501" width="13.140625" style="39" customWidth="1"/>
    <col min="10502" max="10502" width="11.7109375" style="39" customWidth="1"/>
    <col min="10503" max="10503" width="16.140625" style="39" customWidth="1"/>
    <col min="10504" max="10504" width="12.85546875" style="39" customWidth="1"/>
    <col min="10505" max="10505" width="13.5703125" style="39" customWidth="1"/>
    <col min="10506" max="10752" width="9.140625" style="39"/>
    <col min="10753" max="10753" width="42.28515625" style="39" customWidth="1"/>
    <col min="10754" max="10754" width="8.28515625" style="39" customWidth="1"/>
    <col min="10755" max="10755" width="13.7109375" style="39" customWidth="1"/>
    <col min="10756" max="10756" width="12.85546875" style="39" customWidth="1"/>
    <col min="10757" max="10757" width="13.140625" style="39" customWidth="1"/>
    <col min="10758" max="10758" width="11.7109375" style="39" customWidth="1"/>
    <col min="10759" max="10759" width="16.140625" style="39" customWidth="1"/>
    <col min="10760" max="10760" width="12.85546875" style="39" customWidth="1"/>
    <col min="10761" max="10761" width="13.5703125" style="39" customWidth="1"/>
    <col min="10762" max="11008" width="9.140625" style="39"/>
    <col min="11009" max="11009" width="42.28515625" style="39" customWidth="1"/>
    <col min="11010" max="11010" width="8.28515625" style="39" customWidth="1"/>
    <col min="11011" max="11011" width="13.7109375" style="39" customWidth="1"/>
    <col min="11012" max="11012" width="12.85546875" style="39" customWidth="1"/>
    <col min="11013" max="11013" width="13.140625" style="39" customWidth="1"/>
    <col min="11014" max="11014" width="11.7109375" style="39" customWidth="1"/>
    <col min="11015" max="11015" width="16.140625" style="39" customWidth="1"/>
    <col min="11016" max="11016" width="12.85546875" style="39" customWidth="1"/>
    <col min="11017" max="11017" width="13.5703125" style="39" customWidth="1"/>
    <col min="11018" max="11264" width="9.140625" style="39"/>
    <col min="11265" max="11265" width="42.28515625" style="39" customWidth="1"/>
    <col min="11266" max="11266" width="8.28515625" style="39" customWidth="1"/>
    <col min="11267" max="11267" width="13.7109375" style="39" customWidth="1"/>
    <col min="11268" max="11268" width="12.85546875" style="39" customWidth="1"/>
    <col min="11269" max="11269" width="13.140625" style="39" customWidth="1"/>
    <col min="11270" max="11270" width="11.7109375" style="39" customWidth="1"/>
    <col min="11271" max="11271" width="16.140625" style="39" customWidth="1"/>
    <col min="11272" max="11272" width="12.85546875" style="39" customWidth="1"/>
    <col min="11273" max="11273" width="13.5703125" style="39" customWidth="1"/>
    <col min="11274" max="11520" width="9.140625" style="39"/>
    <col min="11521" max="11521" width="42.28515625" style="39" customWidth="1"/>
    <col min="11522" max="11522" width="8.28515625" style="39" customWidth="1"/>
    <col min="11523" max="11523" width="13.7109375" style="39" customWidth="1"/>
    <col min="11524" max="11524" width="12.85546875" style="39" customWidth="1"/>
    <col min="11525" max="11525" width="13.140625" style="39" customWidth="1"/>
    <col min="11526" max="11526" width="11.7109375" style="39" customWidth="1"/>
    <col min="11527" max="11527" width="16.140625" style="39" customWidth="1"/>
    <col min="11528" max="11528" width="12.85546875" style="39" customWidth="1"/>
    <col min="11529" max="11529" width="13.5703125" style="39" customWidth="1"/>
    <col min="11530" max="11776" width="9.140625" style="39"/>
    <col min="11777" max="11777" width="42.28515625" style="39" customWidth="1"/>
    <col min="11778" max="11778" width="8.28515625" style="39" customWidth="1"/>
    <col min="11779" max="11779" width="13.7109375" style="39" customWidth="1"/>
    <col min="11780" max="11780" width="12.85546875" style="39" customWidth="1"/>
    <col min="11781" max="11781" width="13.140625" style="39" customWidth="1"/>
    <col min="11782" max="11782" width="11.7109375" style="39" customWidth="1"/>
    <col min="11783" max="11783" width="16.140625" style="39" customWidth="1"/>
    <col min="11784" max="11784" width="12.85546875" style="39" customWidth="1"/>
    <col min="11785" max="11785" width="13.5703125" style="39" customWidth="1"/>
    <col min="11786" max="12032" width="9.140625" style="39"/>
    <col min="12033" max="12033" width="42.28515625" style="39" customWidth="1"/>
    <col min="12034" max="12034" width="8.28515625" style="39" customWidth="1"/>
    <col min="12035" max="12035" width="13.7109375" style="39" customWidth="1"/>
    <col min="12036" max="12036" width="12.85546875" style="39" customWidth="1"/>
    <col min="12037" max="12037" width="13.140625" style="39" customWidth="1"/>
    <col min="12038" max="12038" width="11.7109375" style="39" customWidth="1"/>
    <col min="12039" max="12039" width="16.140625" style="39" customWidth="1"/>
    <col min="12040" max="12040" width="12.85546875" style="39" customWidth="1"/>
    <col min="12041" max="12041" width="13.5703125" style="39" customWidth="1"/>
    <col min="12042" max="12288" width="9.140625" style="39"/>
    <col min="12289" max="12289" width="42.28515625" style="39" customWidth="1"/>
    <col min="12290" max="12290" width="8.28515625" style="39" customWidth="1"/>
    <col min="12291" max="12291" width="13.7109375" style="39" customWidth="1"/>
    <col min="12292" max="12292" width="12.85546875" style="39" customWidth="1"/>
    <col min="12293" max="12293" width="13.140625" style="39" customWidth="1"/>
    <col min="12294" max="12294" width="11.7109375" style="39" customWidth="1"/>
    <col min="12295" max="12295" width="16.140625" style="39" customWidth="1"/>
    <col min="12296" max="12296" width="12.85546875" style="39" customWidth="1"/>
    <col min="12297" max="12297" width="13.5703125" style="39" customWidth="1"/>
    <col min="12298" max="12544" width="9.140625" style="39"/>
    <col min="12545" max="12545" width="42.28515625" style="39" customWidth="1"/>
    <col min="12546" max="12546" width="8.28515625" style="39" customWidth="1"/>
    <col min="12547" max="12547" width="13.7109375" style="39" customWidth="1"/>
    <col min="12548" max="12548" width="12.85546875" style="39" customWidth="1"/>
    <col min="12549" max="12549" width="13.140625" style="39" customWidth="1"/>
    <col min="12550" max="12550" width="11.7109375" style="39" customWidth="1"/>
    <col min="12551" max="12551" width="16.140625" style="39" customWidth="1"/>
    <col min="12552" max="12552" width="12.85546875" style="39" customWidth="1"/>
    <col min="12553" max="12553" width="13.5703125" style="39" customWidth="1"/>
    <col min="12554" max="12800" width="9.140625" style="39"/>
    <col min="12801" max="12801" width="42.28515625" style="39" customWidth="1"/>
    <col min="12802" max="12802" width="8.28515625" style="39" customWidth="1"/>
    <col min="12803" max="12803" width="13.7109375" style="39" customWidth="1"/>
    <col min="12804" max="12804" width="12.85546875" style="39" customWidth="1"/>
    <col min="12805" max="12805" width="13.140625" style="39" customWidth="1"/>
    <col min="12806" max="12806" width="11.7109375" style="39" customWidth="1"/>
    <col min="12807" max="12807" width="16.140625" style="39" customWidth="1"/>
    <col min="12808" max="12808" width="12.85546875" style="39" customWidth="1"/>
    <col min="12809" max="12809" width="13.5703125" style="39" customWidth="1"/>
    <col min="12810" max="13056" width="9.140625" style="39"/>
    <col min="13057" max="13057" width="42.28515625" style="39" customWidth="1"/>
    <col min="13058" max="13058" width="8.28515625" style="39" customWidth="1"/>
    <col min="13059" max="13059" width="13.7109375" style="39" customWidth="1"/>
    <col min="13060" max="13060" width="12.85546875" style="39" customWidth="1"/>
    <col min="13061" max="13061" width="13.140625" style="39" customWidth="1"/>
    <col min="13062" max="13062" width="11.7109375" style="39" customWidth="1"/>
    <col min="13063" max="13063" width="16.140625" style="39" customWidth="1"/>
    <col min="13064" max="13064" width="12.85546875" style="39" customWidth="1"/>
    <col min="13065" max="13065" width="13.5703125" style="39" customWidth="1"/>
    <col min="13066" max="13312" width="9.140625" style="39"/>
    <col min="13313" max="13313" width="42.28515625" style="39" customWidth="1"/>
    <col min="13314" max="13314" width="8.28515625" style="39" customWidth="1"/>
    <col min="13315" max="13315" width="13.7109375" style="39" customWidth="1"/>
    <col min="13316" max="13316" width="12.85546875" style="39" customWidth="1"/>
    <col min="13317" max="13317" width="13.140625" style="39" customWidth="1"/>
    <col min="13318" max="13318" width="11.7109375" style="39" customWidth="1"/>
    <col min="13319" max="13319" width="16.140625" style="39" customWidth="1"/>
    <col min="13320" max="13320" width="12.85546875" style="39" customWidth="1"/>
    <col min="13321" max="13321" width="13.5703125" style="39" customWidth="1"/>
    <col min="13322" max="13568" width="9.140625" style="39"/>
    <col min="13569" max="13569" width="42.28515625" style="39" customWidth="1"/>
    <col min="13570" max="13570" width="8.28515625" style="39" customWidth="1"/>
    <col min="13571" max="13571" width="13.7109375" style="39" customWidth="1"/>
    <col min="13572" max="13572" width="12.85546875" style="39" customWidth="1"/>
    <col min="13573" max="13573" width="13.140625" style="39" customWidth="1"/>
    <col min="13574" max="13574" width="11.7109375" style="39" customWidth="1"/>
    <col min="13575" max="13575" width="16.140625" style="39" customWidth="1"/>
    <col min="13576" max="13576" width="12.85546875" style="39" customWidth="1"/>
    <col min="13577" max="13577" width="13.5703125" style="39" customWidth="1"/>
    <col min="13578" max="13824" width="9.140625" style="39"/>
    <col min="13825" max="13825" width="42.28515625" style="39" customWidth="1"/>
    <col min="13826" max="13826" width="8.28515625" style="39" customWidth="1"/>
    <col min="13827" max="13827" width="13.7109375" style="39" customWidth="1"/>
    <col min="13828" max="13828" width="12.85546875" style="39" customWidth="1"/>
    <col min="13829" max="13829" width="13.140625" style="39" customWidth="1"/>
    <col min="13830" max="13830" width="11.7109375" style="39" customWidth="1"/>
    <col min="13831" max="13831" width="16.140625" style="39" customWidth="1"/>
    <col min="13832" max="13832" width="12.85546875" style="39" customWidth="1"/>
    <col min="13833" max="13833" width="13.5703125" style="39" customWidth="1"/>
    <col min="13834" max="14080" width="9.140625" style="39"/>
    <col min="14081" max="14081" width="42.28515625" style="39" customWidth="1"/>
    <col min="14082" max="14082" width="8.28515625" style="39" customWidth="1"/>
    <col min="14083" max="14083" width="13.7109375" style="39" customWidth="1"/>
    <col min="14084" max="14084" width="12.85546875" style="39" customWidth="1"/>
    <col min="14085" max="14085" width="13.140625" style="39" customWidth="1"/>
    <col min="14086" max="14086" width="11.7109375" style="39" customWidth="1"/>
    <col min="14087" max="14087" width="16.140625" style="39" customWidth="1"/>
    <col min="14088" max="14088" width="12.85546875" style="39" customWidth="1"/>
    <col min="14089" max="14089" width="13.5703125" style="39" customWidth="1"/>
    <col min="14090" max="14336" width="9.140625" style="39"/>
    <col min="14337" max="14337" width="42.28515625" style="39" customWidth="1"/>
    <col min="14338" max="14338" width="8.28515625" style="39" customWidth="1"/>
    <col min="14339" max="14339" width="13.7109375" style="39" customWidth="1"/>
    <col min="14340" max="14340" width="12.85546875" style="39" customWidth="1"/>
    <col min="14341" max="14341" width="13.140625" style="39" customWidth="1"/>
    <col min="14342" max="14342" width="11.7109375" style="39" customWidth="1"/>
    <col min="14343" max="14343" width="16.140625" style="39" customWidth="1"/>
    <col min="14344" max="14344" width="12.85546875" style="39" customWidth="1"/>
    <col min="14345" max="14345" width="13.5703125" style="39" customWidth="1"/>
    <col min="14346" max="14592" width="9.140625" style="39"/>
    <col min="14593" max="14593" width="42.28515625" style="39" customWidth="1"/>
    <col min="14594" max="14594" width="8.28515625" style="39" customWidth="1"/>
    <col min="14595" max="14595" width="13.7109375" style="39" customWidth="1"/>
    <col min="14596" max="14596" width="12.85546875" style="39" customWidth="1"/>
    <col min="14597" max="14597" width="13.140625" style="39" customWidth="1"/>
    <col min="14598" max="14598" width="11.7109375" style="39" customWidth="1"/>
    <col min="14599" max="14599" width="16.140625" style="39" customWidth="1"/>
    <col min="14600" max="14600" width="12.85546875" style="39" customWidth="1"/>
    <col min="14601" max="14601" width="13.5703125" style="39" customWidth="1"/>
    <col min="14602" max="14848" width="9.140625" style="39"/>
    <col min="14849" max="14849" width="42.28515625" style="39" customWidth="1"/>
    <col min="14850" max="14850" width="8.28515625" style="39" customWidth="1"/>
    <col min="14851" max="14851" width="13.7109375" style="39" customWidth="1"/>
    <col min="14852" max="14852" width="12.85546875" style="39" customWidth="1"/>
    <col min="14853" max="14853" width="13.140625" style="39" customWidth="1"/>
    <col min="14854" max="14854" width="11.7109375" style="39" customWidth="1"/>
    <col min="14855" max="14855" width="16.140625" style="39" customWidth="1"/>
    <col min="14856" max="14856" width="12.85546875" style="39" customWidth="1"/>
    <col min="14857" max="14857" width="13.5703125" style="39" customWidth="1"/>
    <col min="14858" max="15104" width="9.140625" style="39"/>
    <col min="15105" max="15105" width="42.28515625" style="39" customWidth="1"/>
    <col min="15106" max="15106" width="8.28515625" style="39" customWidth="1"/>
    <col min="15107" max="15107" width="13.7109375" style="39" customWidth="1"/>
    <col min="15108" max="15108" width="12.85546875" style="39" customWidth="1"/>
    <col min="15109" max="15109" width="13.140625" style="39" customWidth="1"/>
    <col min="15110" max="15110" width="11.7109375" style="39" customWidth="1"/>
    <col min="15111" max="15111" width="16.140625" style="39" customWidth="1"/>
    <col min="15112" max="15112" width="12.85546875" style="39" customWidth="1"/>
    <col min="15113" max="15113" width="13.5703125" style="39" customWidth="1"/>
    <col min="15114" max="15360" width="9.140625" style="39"/>
    <col min="15361" max="15361" width="42.28515625" style="39" customWidth="1"/>
    <col min="15362" max="15362" width="8.28515625" style="39" customWidth="1"/>
    <col min="15363" max="15363" width="13.7109375" style="39" customWidth="1"/>
    <col min="15364" max="15364" width="12.85546875" style="39" customWidth="1"/>
    <col min="15365" max="15365" width="13.140625" style="39" customWidth="1"/>
    <col min="15366" max="15366" width="11.7109375" style="39" customWidth="1"/>
    <col min="15367" max="15367" width="16.140625" style="39" customWidth="1"/>
    <col min="15368" max="15368" width="12.85546875" style="39" customWidth="1"/>
    <col min="15369" max="15369" width="13.5703125" style="39" customWidth="1"/>
    <col min="15370" max="15616" width="9.140625" style="39"/>
    <col min="15617" max="15617" width="42.28515625" style="39" customWidth="1"/>
    <col min="15618" max="15618" width="8.28515625" style="39" customWidth="1"/>
    <col min="15619" max="15619" width="13.7109375" style="39" customWidth="1"/>
    <col min="15620" max="15620" width="12.85546875" style="39" customWidth="1"/>
    <col min="15621" max="15621" width="13.140625" style="39" customWidth="1"/>
    <col min="15622" max="15622" width="11.7109375" style="39" customWidth="1"/>
    <col min="15623" max="15623" width="16.140625" style="39" customWidth="1"/>
    <col min="15624" max="15624" width="12.85546875" style="39" customWidth="1"/>
    <col min="15625" max="15625" width="13.5703125" style="39" customWidth="1"/>
    <col min="15626" max="15872" width="9.140625" style="39"/>
    <col min="15873" max="15873" width="42.28515625" style="39" customWidth="1"/>
    <col min="15874" max="15874" width="8.28515625" style="39" customWidth="1"/>
    <col min="15875" max="15875" width="13.7109375" style="39" customWidth="1"/>
    <col min="15876" max="15876" width="12.85546875" style="39" customWidth="1"/>
    <col min="15877" max="15877" width="13.140625" style="39" customWidth="1"/>
    <col min="15878" max="15878" width="11.7109375" style="39" customWidth="1"/>
    <col min="15879" max="15879" width="16.140625" style="39" customWidth="1"/>
    <col min="15880" max="15880" width="12.85546875" style="39" customWidth="1"/>
    <col min="15881" max="15881" width="13.5703125" style="39" customWidth="1"/>
    <col min="15882" max="16128" width="9.140625" style="39"/>
    <col min="16129" max="16129" width="42.28515625" style="39" customWidth="1"/>
    <col min="16130" max="16130" width="8.28515625" style="39" customWidth="1"/>
    <col min="16131" max="16131" width="13.7109375" style="39" customWidth="1"/>
    <col min="16132" max="16132" width="12.85546875" style="39" customWidth="1"/>
    <col min="16133" max="16133" width="13.140625" style="39" customWidth="1"/>
    <col min="16134" max="16134" width="11.7109375" style="39" customWidth="1"/>
    <col min="16135" max="16135" width="16.140625" style="39" customWidth="1"/>
    <col min="16136" max="16136" width="12.85546875" style="39" customWidth="1"/>
    <col min="16137" max="16137" width="13.5703125" style="39" customWidth="1"/>
    <col min="16138" max="16384" width="9.140625" style="39"/>
  </cols>
  <sheetData>
    <row r="1" spans="1:9" s="18" customFormat="1" ht="12.75" hidden="1">
      <c r="A1" s="12" t="s">
        <v>528</v>
      </c>
      <c r="B1" s="46"/>
      <c r="C1" s="17"/>
    </row>
    <row r="2" spans="1:9" s="18" customFormat="1" ht="12.75" hidden="1">
      <c r="A2" s="13" t="s">
        <v>372</v>
      </c>
      <c r="B2" s="46"/>
      <c r="C2" s="17"/>
    </row>
    <row r="3" spans="1:9" s="18" customFormat="1" ht="12.75" hidden="1">
      <c r="A3" s="14" t="s">
        <v>373</v>
      </c>
      <c r="B3" s="46"/>
      <c r="C3" s="17"/>
    </row>
    <row r="4" spans="1:9" s="19" customFormat="1" ht="12.75" hidden="1">
      <c r="A4" s="15" t="s">
        <v>374</v>
      </c>
      <c r="B4" s="15"/>
      <c r="C4" s="15"/>
      <c r="D4" s="15"/>
      <c r="F4" s="20"/>
    </row>
    <row r="5" spans="1:9" s="19" customFormat="1" ht="12.75" hidden="1">
      <c r="A5" s="59" t="s">
        <v>529</v>
      </c>
      <c r="B5" s="15"/>
      <c r="C5" s="15"/>
      <c r="D5" s="15"/>
      <c r="F5" s="20"/>
    </row>
    <row r="6" spans="1:9" s="18" customFormat="1" ht="12.75" hidden="1">
      <c r="A6" s="21" t="s">
        <v>375</v>
      </c>
      <c r="B6" s="21"/>
      <c r="D6" s="60"/>
      <c r="G6" s="21"/>
    </row>
    <row r="7" spans="1:9" s="18" customFormat="1" ht="12.75" hidden="1">
      <c r="A7" s="61" t="s">
        <v>376</v>
      </c>
      <c r="B7" s="21"/>
      <c r="D7" s="23"/>
      <c r="G7" s="21"/>
    </row>
    <row r="8" spans="1:9" ht="12" hidden="1" customHeight="1">
      <c r="A8" s="25" t="s">
        <v>305</v>
      </c>
      <c r="B8" s="25" t="s">
        <v>305</v>
      </c>
      <c r="C8" s="25" t="s">
        <v>305</v>
      </c>
      <c r="D8" s="25" t="s">
        <v>305</v>
      </c>
      <c r="E8" s="25" t="s">
        <v>305</v>
      </c>
      <c r="F8" s="25" t="s">
        <v>305</v>
      </c>
      <c r="G8" s="628" t="s">
        <v>530</v>
      </c>
      <c r="H8" s="628"/>
      <c r="I8" s="628"/>
    </row>
    <row r="9" spans="1:9" ht="12" hidden="1" customHeight="1">
      <c r="A9" s="25" t="s">
        <v>305</v>
      </c>
      <c r="B9" s="25" t="s">
        <v>305</v>
      </c>
      <c r="C9" s="25" t="s">
        <v>305</v>
      </c>
      <c r="D9" s="25" t="s">
        <v>305</v>
      </c>
      <c r="E9" s="25" t="s">
        <v>305</v>
      </c>
      <c r="F9" s="25" t="s">
        <v>305</v>
      </c>
      <c r="G9" s="628" t="s">
        <v>378</v>
      </c>
      <c r="H9" s="628"/>
      <c r="I9" s="628"/>
    </row>
    <row r="10" spans="1:9" ht="12" hidden="1" customHeight="1">
      <c r="A10" s="25" t="s">
        <v>305</v>
      </c>
      <c r="B10" s="25" t="s">
        <v>305</v>
      </c>
      <c r="C10" s="25" t="s">
        <v>305</v>
      </c>
      <c r="D10" s="25" t="s">
        <v>305</v>
      </c>
      <c r="E10" s="25" t="s">
        <v>305</v>
      </c>
      <c r="F10" s="25" t="s">
        <v>305</v>
      </c>
      <c r="G10" s="628" t="s">
        <v>379</v>
      </c>
      <c r="H10" s="628"/>
      <c r="I10" s="628"/>
    </row>
    <row r="11" spans="1:9" ht="12" hidden="1" customHeight="1">
      <c r="A11" s="25" t="s">
        <v>305</v>
      </c>
      <c r="B11" s="25" t="s">
        <v>305</v>
      </c>
      <c r="C11" s="25" t="s">
        <v>305</v>
      </c>
      <c r="D11" s="25" t="s">
        <v>305</v>
      </c>
      <c r="E11" s="25" t="s">
        <v>305</v>
      </c>
      <c r="F11" s="25" t="s">
        <v>305</v>
      </c>
      <c r="G11" s="25" t="s">
        <v>305</v>
      </c>
      <c r="H11" s="25" t="s">
        <v>305</v>
      </c>
      <c r="I11" s="62" t="s">
        <v>354</v>
      </c>
    </row>
    <row r="12" spans="1:9" ht="12" customHeight="1">
      <c r="A12" s="646" t="str">
        <f>CONCATENATE(Реквизиты!A4,Реквизиты!B4)</f>
        <v>Наименование организации: АО "Тема Ко"</v>
      </c>
      <c r="B12" s="646"/>
      <c r="C12" s="646"/>
      <c r="D12" s="646"/>
      <c r="E12" s="646"/>
      <c r="F12" s="646"/>
      <c r="G12" s="646"/>
      <c r="H12" s="646"/>
      <c r="I12" s="646"/>
    </row>
    <row r="13" spans="1:9" ht="14.25" customHeight="1">
      <c r="A13" s="632" t="s">
        <v>531</v>
      </c>
      <c r="B13" s="632"/>
      <c r="C13" s="632"/>
      <c r="D13" s="632"/>
      <c r="E13" s="632"/>
      <c r="F13" s="632"/>
      <c r="G13" s="632"/>
      <c r="H13" s="632"/>
      <c r="I13" s="632"/>
    </row>
    <row r="14" spans="1:9" ht="12" customHeight="1">
      <c r="A14" s="633" t="str">
        <f>Реквизиты!A2</f>
        <v>за период с 01.01.2013 г. по 30.09.2013 г.</v>
      </c>
      <c r="B14" s="633"/>
      <c r="C14" s="633"/>
      <c r="D14" s="633"/>
      <c r="E14" s="633"/>
      <c r="F14" s="633"/>
      <c r="G14" s="633"/>
      <c r="H14" s="633"/>
      <c r="I14" s="633"/>
    </row>
    <row r="15" spans="1:9" ht="12" customHeight="1">
      <c r="A15" s="25" t="s">
        <v>305</v>
      </c>
      <c r="B15" s="25" t="s">
        <v>305</v>
      </c>
      <c r="C15" s="25" t="s">
        <v>305</v>
      </c>
      <c r="D15" s="25" t="s">
        <v>305</v>
      </c>
      <c r="E15" s="25" t="s">
        <v>305</v>
      </c>
      <c r="F15" s="25" t="s">
        <v>305</v>
      </c>
      <c r="G15" s="25" t="s">
        <v>305</v>
      </c>
      <c r="H15" s="25" t="s">
        <v>305</v>
      </c>
      <c r="I15" s="26" t="s">
        <v>307</v>
      </c>
    </row>
    <row r="16" spans="1:9" ht="15" hidden="1" customHeight="1"/>
    <row r="17" spans="1:9" ht="15" hidden="1" customHeight="1"/>
    <row r="18" spans="1:9" ht="15" hidden="1" customHeight="1"/>
    <row r="19" spans="1:9" ht="15" hidden="1" customHeight="1"/>
    <row r="20" spans="1:9" ht="15" hidden="1" customHeight="1"/>
    <row r="21" spans="1:9" ht="15" hidden="1" customHeight="1"/>
    <row r="22" spans="1:9" ht="15" hidden="1" customHeight="1"/>
    <row r="23" spans="1:9" ht="15" hidden="1" customHeight="1"/>
    <row r="24" spans="1:9" ht="15" hidden="1" customHeight="1"/>
    <row r="25" spans="1:9" ht="15" hidden="1" customHeight="1"/>
    <row r="26" spans="1:9" ht="15" hidden="1" customHeight="1"/>
    <row r="27" spans="1:9" ht="15" hidden="1" customHeight="1"/>
    <row r="28" spans="1:9" ht="15" hidden="1" customHeight="1"/>
    <row r="29" spans="1:9" ht="15" customHeight="1">
      <c r="A29" s="651" t="s">
        <v>532</v>
      </c>
      <c r="B29" s="651" t="s">
        <v>386</v>
      </c>
      <c r="C29" s="634" t="s">
        <v>355</v>
      </c>
      <c r="D29" s="653"/>
      <c r="E29" s="653"/>
      <c r="F29" s="653"/>
      <c r="G29" s="654"/>
      <c r="H29" s="651" t="s">
        <v>418</v>
      </c>
      <c r="I29" s="651" t="s">
        <v>339</v>
      </c>
    </row>
    <row r="30" spans="1:9" ht="52.5" customHeight="1">
      <c r="A30" s="652"/>
      <c r="B30" s="652"/>
      <c r="C30" s="27" t="s">
        <v>416</v>
      </c>
      <c r="D30" s="27" t="s">
        <v>245</v>
      </c>
      <c r="E30" s="27" t="s">
        <v>244</v>
      </c>
      <c r="F30" s="27" t="s">
        <v>246</v>
      </c>
      <c r="G30" s="27" t="s">
        <v>356</v>
      </c>
      <c r="H30" s="652"/>
      <c r="I30" s="652"/>
    </row>
    <row r="31" spans="1:9" ht="15" hidden="1" customHeight="1"/>
    <row r="32" spans="1:9" ht="15" hidden="1" customHeight="1"/>
    <row r="33" spans="1:9" ht="12" customHeight="1">
      <c r="A33" s="40" t="s">
        <v>690</v>
      </c>
      <c r="B33" s="30" t="s">
        <v>310</v>
      </c>
      <c r="C33" s="63">
        <v>5801674.0269999998</v>
      </c>
      <c r="D33" s="64"/>
      <c r="E33" s="455"/>
      <c r="F33" s="63">
        <v>9.6999999999525244E-4</v>
      </c>
      <c r="G33" s="63">
        <v>-3213871.6702300003</v>
      </c>
      <c r="H33" s="63">
        <v>0</v>
      </c>
      <c r="I33" s="231">
        <v>2587802.3577399999</v>
      </c>
    </row>
    <row r="34" spans="1:9" ht="12" customHeight="1">
      <c r="A34" s="40" t="s">
        <v>533</v>
      </c>
      <c r="B34" s="30" t="s">
        <v>311</v>
      </c>
      <c r="C34" s="455"/>
      <c r="D34" s="64"/>
      <c r="E34" s="64"/>
      <c r="F34" s="64"/>
      <c r="G34" s="63"/>
      <c r="H34" s="64"/>
      <c r="I34" s="65">
        <v>0</v>
      </c>
    </row>
    <row r="35" spans="1:9" ht="12" customHeight="1">
      <c r="A35" s="42" t="s">
        <v>534</v>
      </c>
      <c r="B35" s="27">
        <v>100</v>
      </c>
      <c r="C35" s="228">
        <v>5801674.0269999998</v>
      </c>
      <c r="D35" s="228">
        <v>0</v>
      </c>
      <c r="E35" s="228">
        <v>0</v>
      </c>
      <c r="F35" s="228">
        <v>9.6999999999525244E-4</v>
      </c>
      <c r="G35" s="228">
        <v>-3213871.6702300003</v>
      </c>
      <c r="H35" s="228">
        <v>0</v>
      </c>
      <c r="I35" s="228">
        <v>2587802.3577399999</v>
      </c>
    </row>
    <row r="36" spans="1:9" ht="24" customHeight="1">
      <c r="A36" s="42" t="s">
        <v>535</v>
      </c>
      <c r="B36" s="27">
        <v>200</v>
      </c>
      <c r="C36" s="228">
        <v>0</v>
      </c>
      <c r="D36" s="228">
        <v>0</v>
      </c>
      <c r="E36" s="228">
        <v>0</v>
      </c>
      <c r="F36" s="228">
        <v>0</v>
      </c>
      <c r="G36" s="228">
        <v>450395.99926000024</v>
      </c>
      <c r="H36" s="228">
        <v>0</v>
      </c>
      <c r="I36" s="228">
        <v>450395.99926000024</v>
      </c>
    </row>
    <row r="37" spans="1:9" ht="12" customHeight="1">
      <c r="A37" s="40" t="s">
        <v>536</v>
      </c>
      <c r="B37" s="28">
        <v>210</v>
      </c>
      <c r="C37" s="64"/>
      <c r="D37" s="64"/>
      <c r="E37" s="64"/>
      <c r="F37" s="64"/>
      <c r="G37" s="63">
        <v>450395.99926000024</v>
      </c>
      <c r="H37" s="64"/>
      <c r="I37" s="231">
        <v>450395.99926000024</v>
      </c>
    </row>
    <row r="38" spans="1:9" ht="24" customHeight="1">
      <c r="A38" s="229" t="s">
        <v>537</v>
      </c>
      <c r="B38" s="230">
        <v>220</v>
      </c>
      <c r="C38" s="231">
        <f t="shared" ref="C38:I38" si="0">SUM(C40,C41,C42,C43,C44,C45,C46,C47,C48)</f>
        <v>0</v>
      </c>
      <c r="D38" s="231">
        <f t="shared" si="0"/>
        <v>0</v>
      </c>
      <c r="E38" s="231">
        <f t="shared" si="0"/>
        <v>0</v>
      </c>
      <c r="F38" s="231">
        <f t="shared" si="0"/>
        <v>0</v>
      </c>
      <c r="G38" s="231">
        <f t="shared" si="0"/>
        <v>0</v>
      </c>
      <c r="H38" s="231">
        <f t="shared" si="0"/>
        <v>0</v>
      </c>
      <c r="I38" s="231">
        <f t="shared" si="0"/>
        <v>0</v>
      </c>
    </row>
    <row r="39" spans="1:9" ht="12" hidden="1" customHeight="1" outlineLevel="1">
      <c r="A39" s="648" t="s">
        <v>440</v>
      </c>
      <c r="B39" s="649"/>
      <c r="C39" s="649"/>
      <c r="D39" s="649"/>
      <c r="E39" s="649"/>
      <c r="F39" s="649"/>
      <c r="G39" s="649"/>
      <c r="H39" s="649"/>
      <c r="I39" s="650"/>
    </row>
    <row r="40" spans="1:9" ht="24" hidden="1" customHeight="1" outlineLevel="1">
      <c r="A40" s="229" t="s">
        <v>538</v>
      </c>
      <c r="B40" s="230">
        <v>221</v>
      </c>
      <c r="C40" s="63"/>
      <c r="D40" s="63"/>
      <c r="E40" s="63"/>
      <c r="F40" s="63"/>
      <c r="G40" s="63"/>
      <c r="H40" s="63"/>
      <c r="I40" s="231">
        <f t="shared" ref="I40:I48" si="1">SUM(C40,D40,E40,F40,G40,H40)</f>
        <v>0</v>
      </c>
    </row>
    <row r="41" spans="1:9" ht="24" hidden="1" customHeight="1" outlineLevel="1">
      <c r="A41" s="229" t="s">
        <v>539</v>
      </c>
      <c r="B41" s="230">
        <v>222</v>
      </c>
      <c r="C41" s="63"/>
      <c r="D41" s="63"/>
      <c r="E41" s="63"/>
      <c r="F41" s="63"/>
      <c r="G41" s="63"/>
      <c r="H41" s="63"/>
      <c r="I41" s="231">
        <f t="shared" si="1"/>
        <v>0</v>
      </c>
    </row>
    <row r="42" spans="1:9" ht="27.75" hidden="1" customHeight="1" outlineLevel="1">
      <c r="A42" s="229" t="s">
        <v>540</v>
      </c>
      <c r="B42" s="230">
        <v>223</v>
      </c>
      <c r="C42" s="63"/>
      <c r="D42" s="63"/>
      <c r="E42" s="63"/>
      <c r="F42" s="63"/>
      <c r="G42" s="63"/>
      <c r="H42" s="63"/>
      <c r="I42" s="231">
        <f t="shared" si="1"/>
        <v>0</v>
      </c>
    </row>
    <row r="43" spans="1:9" ht="39.75" hidden="1" customHeight="1" outlineLevel="1">
      <c r="A43" s="229" t="s">
        <v>443</v>
      </c>
      <c r="B43" s="230">
        <v>224</v>
      </c>
      <c r="C43" s="63"/>
      <c r="D43" s="63"/>
      <c r="E43" s="63"/>
      <c r="F43" s="63"/>
      <c r="G43" s="63"/>
      <c r="H43" s="63"/>
      <c r="I43" s="231">
        <f t="shared" si="1"/>
        <v>0</v>
      </c>
    </row>
    <row r="44" spans="1:9" ht="24" hidden="1" customHeight="1" outlineLevel="1">
      <c r="A44" s="229" t="s">
        <v>444</v>
      </c>
      <c r="B44" s="230">
        <v>225</v>
      </c>
      <c r="C44" s="63"/>
      <c r="D44" s="63"/>
      <c r="E44" s="63"/>
      <c r="F44" s="63"/>
      <c r="G44" s="63"/>
      <c r="H44" s="63"/>
      <c r="I44" s="231">
        <f t="shared" si="1"/>
        <v>0</v>
      </c>
    </row>
    <row r="45" spans="1:9" ht="36" hidden="1" customHeight="1" outlineLevel="1">
      <c r="A45" s="229" t="s">
        <v>445</v>
      </c>
      <c r="B45" s="230">
        <v>226</v>
      </c>
      <c r="C45" s="63"/>
      <c r="D45" s="63"/>
      <c r="E45" s="63"/>
      <c r="F45" s="63"/>
      <c r="G45" s="63"/>
      <c r="H45" s="63"/>
      <c r="I45" s="231">
        <f t="shared" si="1"/>
        <v>0</v>
      </c>
    </row>
    <row r="46" spans="1:9" ht="24" hidden="1" customHeight="1" outlineLevel="1">
      <c r="A46" s="229" t="s">
        <v>541</v>
      </c>
      <c r="B46" s="230">
        <v>227</v>
      </c>
      <c r="C46" s="63"/>
      <c r="D46" s="63"/>
      <c r="E46" s="63"/>
      <c r="F46" s="63"/>
      <c r="G46" s="63"/>
      <c r="H46" s="63"/>
      <c r="I46" s="231">
        <f t="shared" si="1"/>
        <v>0</v>
      </c>
    </row>
    <row r="47" spans="1:9" ht="24" hidden="1" customHeight="1" outlineLevel="1">
      <c r="A47" s="229" t="s">
        <v>446</v>
      </c>
      <c r="B47" s="230">
        <v>228</v>
      </c>
      <c r="C47" s="63"/>
      <c r="D47" s="63"/>
      <c r="E47" s="63"/>
      <c r="F47" s="63"/>
      <c r="G47" s="63"/>
      <c r="H47" s="63"/>
      <c r="I47" s="231">
        <f t="shared" si="1"/>
        <v>0</v>
      </c>
    </row>
    <row r="48" spans="1:9" ht="24" hidden="1" customHeight="1" outlineLevel="1">
      <c r="A48" s="229" t="s">
        <v>447</v>
      </c>
      <c r="B48" s="230">
        <v>229</v>
      </c>
      <c r="C48" s="63"/>
      <c r="D48" s="63"/>
      <c r="E48" s="63"/>
      <c r="F48" s="63"/>
      <c r="G48" s="63"/>
      <c r="H48" s="63"/>
      <c r="I48" s="231">
        <f t="shared" si="1"/>
        <v>0</v>
      </c>
    </row>
    <row r="49" spans="1:9" ht="24" customHeight="1" collapsed="1">
      <c r="A49" s="232" t="s">
        <v>542</v>
      </c>
      <c r="B49" s="233">
        <v>300</v>
      </c>
      <c r="C49" s="228">
        <f t="shared" ref="C49:I49" si="2">SUM(C51,C56,C57,C58,C59,C60,C61,C62,C63)</f>
        <v>0</v>
      </c>
      <c r="D49" s="228">
        <f t="shared" si="2"/>
        <v>0</v>
      </c>
      <c r="E49" s="228">
        <f t="shared" si="2"/>
        <v>0</v>
      </c>
      <c r="F49" s="228">
        <f t="shared" si="2"/>
        <v>0</v>
      </c>
      <c r="G49" s="228">
        <f t="shared" si="2"/>
        <v>120085</v>
      </c>
      <c r="H49" s="228">
        <f t="shared" si="2"/>
        <v>0</v>
      </c>
      <c r="I49" s="228">
        <f t="shared" si="2"/>
        <v>120085</v>
      </c>
    </row>
    <row r="50" spans="1:9" ht="12" customHeight="1">
      <c r="A50" s="630" t="s">
        <v>440</v>
      </c>
      <c r="B50" s="647"/>
      <c r="C50" s="647"/>
      <c r="D50" s="647"/>
      <c r="E50" s="647"/>
      <c r="F50" s="647"/>
      <c r="G50" s="647"/>
      <c r="H50" s="647"/>
      <c r="I50" s="631"/>
    </row>
    <row r="51" spans="1:9" ht="12" customHeight="1">
      <c r="A51" s="229" t="s">
        <v>543</v>
      </c>
      <c r="B51" s="230">
        <v>310</v>
      </c>
      <c r="C51" s="231">
        <f t="shared" ref="C51:I51" si="3">SUM(C53,C54,C55)</f>
        <v>0</v>
      </c>
      <c r="D51" s="231">
        <f t="shared" si="3"/>
        <v>0</v>
      </c>
      <c r="E51" s="231">
        <f t="shared" si="3"/>
        <v>0</v>
      </c>
      <c r="F51" s="231">
        <f t="shared" si="3"/>
        <v>0</v>
      </c>
      <c r="G51" s="231">
        <f t="shared" si="3"/>
        <v>0</v>
      </c>
      <c r="H51" s="231">
        <f t="shared" si="3"/>
        <v>0</v>
      </c>
      <c r="I51" s="231">
        <f t="shared" si="3"/>
        <v>0</v>
      </c>
    </row>
    <row r="52" spans="1:9" ht="12" hidden="1" customHeight="1" outlineLevel="1">
      <c r="A52" s="648" t="s">
        <v>440</v>
      </c>
      <c r="B52" s="649"/>
      <c r="C52" s="649"/>
      <c r="D52" s="649"/>
      <c r="E52" s="649"/>
      <c r="F52" s="649"/>
      <c r="G52" s="649"/>
      <c r="H52" s="649"/>
      <c r="I52" s="650"/>
    </row>
    <row r="53" spans="1:9" ht="12" hidden="1" customHeight="1" outlineLevel="1">
      <c r="A53" s="229" t="s">
        <v>544</v>
      </c>
      <c r="B53" s="230" t="s">
        <v>305</v>
      </c>
      <c r="C53" s="63"/>
      <c r="D53" s="63"/>
      <c r="E53" s="63"/>
      <c r="F53" s="63"/>
      <c r="G53" s="63"/>
      <c r="H53" s="63"/>
      <c r="I53" s="231">
        <f t="shared" ref="I53:I63" si="4">SUM(C53:H53)</f>
        <v>0</v>
      </c>
    </row>
    <row r="54" spans="1:9" ht="24" hidden="1" customHeight="1" outlineLevel="1">
      <c r="A54" s="229" t="s">
        <v>545</v>
      </c>
      <c r="B54" s="230" t="s">
        <v>305</v>
      </c>
      <c r="C54" s="63"/>
      <c r="D54" s="63"/>
      <c r="E54" s="63"/>
      <c r="F54" s="63"/>
      <c r="G54" s="63"/>
      <c r="H54" s="63"/>
      <c r="I54" s="231">
        <f t="shared" si="4"/>
        <v>0</v>
      </c>
    </row>
    <row r="55" spans="1:9" ht="24" hidden="1" customHeight="1" outlineLevel="1">
      <c r="A55" s="229" t="s">
        <v>546</v>
      </c>
      <c r="B55" s="230" t="s">
        <v>305</v>
      </c>
      <c r="C55" s="63"/>
      <c r="D55" s="63"/>
      <c r="E55" s="63"/>
      <c r="F55" s="63"/>
      <c r="G55" s="63"/>
      <c r="H55" s="63"/>
      <c r="I55" s="231">
        <f t="shared" si="4"/>
        <v>0</v>
      </c>
    </row>
    <row r="56" spans="1:9" ht="12" hidden="1" customHeight="1" outlineLevel="1">
      <c r="A56" s="229" t="s">
        <v>547</v>
      </c>
      <c r="B56" s="230">
        <v>311</v>
      </c>
      <c r="C56" s="63"/>
      <c r="D56" s="63"/>
      <c r="E56" s="63"/>
      <c r="F56" s="63"/>
      <c r="G56" s="63"/>
      <c r="H56" s="63"/>
      <c r="I56" s="231">
        <f t="shared" si="4"/>
        <v>0</v>
      </c>
    </row>
    <row r="57" spans="1:9" ht="12" hidden="1" customHeight="1" outlineLevel="1">
      <c r="A57" s="229" t="s">
        <v>548</v>
      </c>
      <c r="B57" s="230">
        <v>312</v>
      </c>
      <c r="C57" s="63"/>
      <c r="D57" s="63"/>
      <c r="E57" s="63"/>
      <c r="F57" s="63"/>
      <c r="G57" s="63"/>
      <c r="H57" s="63"/>
      <c r="I57" s="231">
        <f t="shared" si="4"/>
        <v>0</v>
      </c>
    </row>
    <row r="58" spans="1:9" ht="24" hidden="1" customHeight="1" outlineLevel="1">
      <c r="A58" s="229" t="s">
        <v>549</v>
      </c>
      <c r="B58" s="230">
        <v>313</v>
      </c>
      <c r="C58" s="63"/>
      <c r="D58" s="63"/>
      <c r="E58" s="63"/>
      <c r="F58" s="63"/>
      <c r="G58" s="63"/>
      <c r="H58" s="63"/>
      <c r="I58" s="231">
        <f t="shared" si="4"/>
        <v>0</v>
      </c>
    </row>
    <row r="59" spans="1:9" ht="24" hidden="1" customHeight="1" outlineLevel="1">
      <c r="A59" s="229" t="s">
        <v>550</v>
      </c>
      <c r="B59" s="230">
        <v>314</v>
      </c>
      <c r="C59" s="63"/>
      <c r="D59" s="63"/>
      <c r="E59" s="63"/>
      <c r="F59" s="63"/>
      <c r="G59" s="63"/>
      <c r="H59" s="63"/>
      <c r="I59" s="231">
        <f t="shared" si="4"/>
        <v>0</v>
      </c>
    </row>
    <row r="60" spans="1:9" ht="12" hidden="1" customHeight="1" outlineLevel="1">
      <c r="A60" s="229" t="s">
        <v>551</v>
      </c>
      <c r="B60" s="230">
        <v>315</v>
      </c>
      <c r="C60" s="63"/>
      <c r="D60" s="63"/>
      <c r="E60" s="63"/>
      <c r="F60" s="63"/>
      <c r="G60" s="63"/>
      <c r="H60" s="63"/>
      <c r="I60" s="231">
        <f t="shared" si="4"/>
        <v>0</v>
      </c>
    </row>
    <row r="61" spans="1:9" ht="12" hidden="1" customHeight="1" outlineLevel="1">
      <c r="A61" s="229" t="s">
        <v>552</v>
      </c>
      <c r="B61" s="230">
        <v>316</v>
      </c>
      <c r="C61" s="63"/>
      <c r="D61" s="63"/>
      <c r="E61" s="63"/>
      <c r="F61" s="63"/>
      <c r="G61" s="63">
        <v>31077</v>
      </c>
      <c r="H61" s="63"/>
      <c r="I61" s="231">
        <f t="shared" si="4"/>
        <v>31077</v>
      </c>
    </row>
    <row r="62" spans="1:9" ht="12" hidden="1" customHeight="1" outlineLevel="1">
      <c r="A62" s="229" t="s">
        <v>553</v>
      </c>
      <c r="B62" s="230">
        <v>317</v>
      </c>
      <c r="C62" s="63"/>
      <c r="D62" s="63"/>
      <c r="E62" s="63"/>
      <c r="F62" s="63"/>
      <c r="G62" s="63"/>
      <c r="H62" s="63"/>
      <c r="I62" s="231">
        <f t="shared" si="4"/>
        <v>0</v>
      </c>
    </row>
    <row r="63" spans="1:9" ht="24" hidden="1" customHeight="1" outlineLevel="1">
      <c r="A63" s="229" t="s">
        <v>554</v>
      </c>
      <c r="B63" s="230">
        <v>318</v>
      </c>
      <c r="C63" s="63"/>
      <c r="D63" s="63"/>
      <c r="E63" s="63"/>
      <c r="F63" s="63"/>
      <c r="G63" s="63">
        <v>89008</v>
      </c>
      <c r="H63" s="63"/>
      <c r="I63" s="231">
        <f t="shared" si="4"/>
        <v>89008</v>
      </c>
    </row>
    <row r="64" spans="1:9" ht="24" customHeight="1" collapsed="1">
      <c r="A64" s="232" t="s">
        <v>691</v>
      </c>
      <c r="B64" s="233">
        <v>400</v>
      </c>
      <c r="C64" s="228">
        <v>5801674.0269999998</v>
      </c>
      <c r="D64" s="228">
        <v>0</v>
      </c>
      <c r="E64" s="228">
        <v>0</v>
      </c>
      <c r="F64" s="228">
        <v>9.6999999999525244E-4</v>
      </c>
      <c r="G64" s="228">
        <v>-2643390.6709699999</v>
      </c>
      <c r="H64" s="228">
        <v>0</v>
      </c>
      <c r="I64" s="228">
        <f t="shared" ref="I64" si="5">SUM(I35,I36,I49)</f>
        <v>3158283.3570000003</v>
      </c>
    </row>
    <row r="65" spans="1:9" ht="12" customHeight="1">
      <c r="A65" s="229" t="s">
        <v>533</v>
      </c>
      <c r="B65" s="230">
        <v>401</v>
      </c>
      <c r="C65" s="63"/>
      <c r="D65" s="63"/>
      <c r="E65" s="63"/>
      <c r="F65" s="63"/>
      <c r="G65" s="63"/>
      <c r="H65" s="63"/>
      <c r="I65" s="231">
        <f>SUM(C65:H65)</f>
        <v>0</v>
      </c>
    </row>
    <row r="66" spans="1:9" ht="12" customHeight="1">
      <c r="A66" s="232" t="s">
        <v>555</v>
      </c>
      <c r="B66" s="233">
        <v>500</v>
      </c>
      <c r="C66" s="228">
        <v>5801674.0269999998</v>
      </c>
      <c r="D66" s="228">
        <v>0</v>
      </c>
      <c r="E66" s="228">
        <v>0</v>
      </c>
      <c r="F66" s="228">
        <v>9.6999999999525244E-4</v>
      </c>
      <c r="G66" s="228">
        <v>-2643390.6709699999</v>
      </c>
      <c r="H66" s="228">
        <v>0</v>
      </c>
      <c r="I66" s="228">
        <f>I64+I65</f>
        <v>3158283.3570000003</v>
      </c>
    </row>
    <row r="67" spans="1:9" ht="24" customHeight="1">
      <c r="A67" s="232" t="s">
        <v>556</v>
      </c>
      <c r="B67" s="233">
        <v>600</v>
      </c>
      <c r="C67" s="228">
        <v>0</v>
      </c>
      <c r="D67" s="228">
        <v>0</v>
      </c>
      <c r="E67" s="228">
        <v>0</v>
      </c>
      <c r="F67" s="228">
        <v>415.32</v>
      </c>
      <c r="G67" s="228">
        <v>1929119.8139299997</v>
      </c>
      <c r="H67" s="228">
        <v>0</v>
      </c>
      <c r="I67" s="228">
        <f t="shared" ref="I67" si="6">SUM(I68,I69)</f>
        <v>1929535.1339299998</v>
      </c>
    </row>
    <row r="68" spans="1:9" ht="12" customHeight="1">
      <c r="A68" s="40" t="s">
        <v>536</v>
      </c>
      <c r="B68" s="28">
        <v>610</v>
      </c>
      <c r="C68" s="64">
        <v>0</v>
      </c>
      <c r="D68" s="64"/>
      <c r="E68" s="64"/>
      <c r="F68" s="63">
        <v>415.32</v>
      </c>
      <c r="G68" s="63">
        <v>1929119.8139299997</v>
      </c>
      <c r="H68" s="63">
        <v>0</v>
      </c>
      <c r="I68" s="65">
        <f>SUM(C68:H68)</f>
        <v>1929535.1339299998</v>
      </c>
    </row>
    <row r="69" spans="1:9" ht="24" customHeight="1">
      <c r="A69" s="229" t="s">
        <v>557</v>
      </c>
      <c r="B69" s="230">
        <v>620</v>
      </c>
      <c r="C69" s="231">
        <v>0</v>
      </c>
      <c r="D69" s="231">
        <v>0</v>
      </c>
      <c r="E69" s="231">
        <v>0</v>
      </c>
      <c r="F69" s="231">
        <v>0</v>
      </c>
      <c r="G69" s="231">
        <v>0</v>
      </c>
      <c r="H69" s="231">
        <v>0</v>
      </c>
      <c r="I69" s="231">
        <f t="shared" ref="I69" si="7">SUM(I71,I72,I73,I74,I75,I76,I77,I78,I79)</f>
        <v>0</v>
      </c>
    </row>
    <row r="70" spans="1:9" ht="12" hidden="1" customHeight="1" outlineLevel="1">
      <c r="A70" s="648" t="s">
        <v>440</v>
      </c>
      <c r="B70" s="649"/>
      <c r="C70" s="649"/>
      <c r="D70" s="649"/>
      <c r="E70" s="649"/>
      <c r="F70" s="649"/>
      <c r="G70" s="649"/>
      <c r="H70" s="649"/>
      <c r="I70" s="650"/>
    </row>
    <row r="71" spans="1:9" ht="24" hidden="1" customHeight="1" outlineLevel="1">
      <c r="A71" s="229" t="s">
        <v>538</v>
      </c>
      <c r="B71" s="230">
        <v>621</v>
      </c>
      <c r="C71" s="63"/>
      <c r="D71" s="63"/>
      <c r="E71" s="63"/>
      <c r="F71" s="63"/>
      <c r="G71" s="63"/>
      <c r="H71" s="63"/>
      <c r="I71" s="231">
        <f t="shared" ref="I71:I79" si="8">SUM(C71:H71)</f>
        <v>0</v>
      </c>
    </row>
    <row r="72" spans="1:9" ht="24" hidden="1" customHeight="1" outlineLevel="1">
      <c r="A72" s="229" t="s">
        <v>539</v>
      </c>
      <c r="B72" s="230">
        <v>622</v>
      </c>
      <c r="C72" s="63"/>
      <c r="D72" s="63"/>
      <c r="E72" s="63"/>
      <c r="F72" s="63"/>
      <c r="G72" s="63"/>
      <c r="H72" s="63"/>
      <c r="I72" s="231">
        <f t="shared" si="8"/>
        <v>0</v>
      </c>
    </row>
    <row r="73" spans="1:9" ht="27" hidden="1" customHeight="1" outlineLevel="1">
      <c r="A73" s="229" t="s">
        <v>540</v>
      </c>
      <c r="B73" s="230">
        <v>623</v>
      </c>
      <c r="C73" s="63"/>
      <c r="D73" s="63"/>
      <c r="E73" s="63"/>
      <c r="F73" s="63"/>
      <c r="G73" s="63"/>
      <c r="H73" s="63"/>
      <c r="I73" s="231">
        <f t="shared" si="8"/>
        <v>0</v>
      </c>
    </row>
    <row r="74" spans="1:9" ht="41.25" hidden="1" customHeight="1" outlineLevel="1">
      <c r="A74" s="229" t="s">
        <v>443</v>
      </c>
      <c r="B74" s="230">
        <v>624</v>
      </c>
      <c r="C74" s="63"/>
      <c r="D74" s="63"/>
      <c r="E74" s="63"/>
      <c r="F74" s="63"/>
      <c r="G74" s="63"/>
      <c r="H74" s="63"/>
      <c r="I74" s="231">
        <f t="shared" si="8"/>
        <v>0</v>
      </c>
    </row>
    <row r="75" spans="1:9" ht="24" hidden="1" customHeight="1" outlineLevel="1">
      <c r="A75" s="229" t="s">
        <v>444</v>
      </c>
      <c r="B75" s="230">
        <v>625</v>
      </c>
      <c r="C75" s="63"/>
      <c r="D75" s="63"/>
      <c r="E75" s="63"/>
      <c r="F75" s="63"/>
      <c r="G75" s="63"/>
      <c r="H75" s="63"/>
      <c r="I75" s="231">
        <f t="shared" si="8"/>
        <v>0</v>
      </c>
    </row>
    <row r="76" spans="1:9" ht="36" hidden="1" customHeight="1" outlineLevel="1">
      <c r="A76" s="229" t="s">
        <v>558</v>
      </c>
      <c r="B76" s="230">
        <v>626</v>
      </c>
      <c r="C76" s="63"/>
      <c r="D76" s="63"/>
      <c r="E76" s="63"/>
      <c r="F76" s="63"/>
      <c r="G76" s="63"/>
      <c r="H76" s="63"/>
      <c r="I76" s="231">
        <f t="shared" si="8"/>
        <v>0</v>
      </c>
    </row>
    <row r="77" spans="1:9" ht="24" hidden="1" customHeight="1" outlineLevel="1">
      <c r="A77" s="229" t="s">
        <v>541</v>
      </c>
      <c r="B77" s="230">
        <v>627</v>
      </c>
      <c r="C77" s="63"/>
      <c r="D77" s="63"/>
      <c r="E77" s="63"/>
      <c r="F77" s="63"/>
      <c r="G77" s="63"/>
      <c r="H77" s="63"/>
      <c r="I77" s="231">
        <f t="shared" si="8"/>
        <v>0</v>
      </c>
    </row>
    <row r="78" spans="1:9" ht="24" hidden="1" customHeight="1" outlineLevel="1">
      <c r="A78" s="229" t="s">
        <v>446</v>
      </c>
      <c r="B78" s="230">
        <v>628</v>
      </c>
      <c r="C78" s="63"/>
      <c r="D78" s="63"/>
      <c r="E78" s="63"/>
      <c r="F78" s="63"/>
      <c r="G78" s="63"/>
      <c r="H78" s="63"/>
      <c r="I78" s="231">
        <f t="shared" si="8"/>
        <v>0</v>
      </c>
    </row>
    <row r="79" spans="1:9" ht="24" hidden="1" customHeight="1" outlineLevel="1">
      <c r="A79" s="229" t="s">
        <v>447</v>
      </c>
      <c r="B79" s="230">
        <v>629</v>
      </c>
      <c r="C79" s="63"/>
      <c r="D79" s="63"/>
      <c r="E79" s="63"/>
      <c r="F79" s="63"/>
      <c r="G79" s="63"/>
      <c r="H79" s="63"/>
      <c r="I79" s="231">
        <f t="shared" si="8"/>
        <v>0</v>
      </c>
    </row>
    <row r="80" spans="1:9" ht="24" customHeight="1" collapsed="1">
      <c r="A80" s="232" t="s">
        <v>559</v>
      </c>
      <c r="B80" s="233">
        <v>700</v>
      </c>
      <c r="C80" s="228">
        <f t="shared" ref="C80:I80" si="9">SUM(C82,C87,C88,C89,C90,C91,C92,C93,C94)</f>
        <v>-99</v>
      </c>
      <c r="D80" s="228">
        <f t="shared" si="9"/>
        <v>0</v>
      </c>
      <c r="E80" s="228">
        <f t="shared" si="9"/>
        <v>0</v>
      </c>
      <c r="F80" s="228">
        <f t="shared" si="9"/>
        <v>0</v>
      </c>
      <c r="G80" s="228">
        <f t="shared" si="9"/>
        <v>0</v>
      </c>
      <c r="H80" s="228">
        <f t="shared" si="9"/>
        <v>0</v>
      </c>
      <c r="I80" s="228">
        <f t="shared" si="9"/>
        <v>-99</v>
      </c>
    </row>
    <row r="81" spans="1:10" ht="12" customHeight="1">
      <c r="A81" s="630" t="s">
        <v>440</v>
      </c>
      <c r="B81" s="647"/>
      <c r="C81" s="647"/>
      <c r="D81" s="647"/>
      <c r="E81" s="647"/>
      <c r="F81" s="647"/>
      <c r="G81" s="647"/>
      <c r="H81" s="647"/>
      <c r="I81" s="631"/>
    </row>
    <row r="82" spans="1:10" ht="12" customHeight="1">
      <c r="A82" s="229" t="s">
        <v>560</v>
      </c>
      <c r="B82" s="230">
        <v>710</v>
      </c>
      <c r="C82" s="231">
        <f t="shared" ref="C82:I82" si="10">SUM(C84,C85,C86)</f>
        <v>0</v>
      </c>
      <c r="D82" s="231">
        <f t="shared" si="10"/>
        <v>0</v>
      </c>
      <c r="E82" s="231">
        <f t="shared" si="10"/>
        <v>0</v>
      </c>
      <c r="F82" s="231">
        <f t="shared" si="10"/>
        <v>0</v>
      </c>
      <c r="G82" s="231">
        <f t="shared" si="10"/>
        <v>0</v>
      </c>
      <c r="H82" s="231">
        <f t="shared" si="10"/>
        <v>0</v>
      </c>
      <c r="I82" s="231">
        <f t="shared" si="10"/>
        <v>0</v>
      </c>
    </row>
    <row r="83" spans="1:10" ht="12" hidden="1" customHeight="1" outlineLevel="1">
      <c r="A83" s="648" t="s">
        <v>440</v>
      </c>
      <c r="B83" s="649"/>
      <c r="C83" s="649"/>
      <c r="D83" s="649"/>
      <c r="E83" s="649"/>
      <c r="F83" s="649"/>
      <c r="G83" s="649"/>
      <c r="H83" s="649"/>
      <c r="I83" s="650"/>
    </row>
    <row r="84" spans="1:10" ht="12" hidden="1" customHeight="1" outlineLevel="1">
      <c r="A84" s="229" t="s">
        <v>544</v>
      </c>
      <c r="B84" s="230" t="s">
        <v>305</v>
      </c>
      <c r="C84" s="63"/>
      <c r="D84" s="63"/>
      <c r="E84" s="63"/>
      <c r="F84" s="63"/>
      <c r="G84" s="63"/>
      <c r="H84" s="63"/>
      <c r="I84" s="231">
        <f t="shared" ref="I84:I94" si="11">SUM(C84:H84)</f>
        <v>0</v>
      </c>
    </row>
    <row r="85" spans="1:10" ht="24" hidden="1" customHeight="1" outlineLevel="1">
      <c r="A85" s="229" t="s">
        <v>545</v>
      </c>
      <c r="B85" s="230" t="s">
        <v>305</v>
      </c>
      <c r="C85" s="63"/>
      <c r="D85" s="63"/>
      <c r="E85" s="63"/>
      <c r="F85" s="63"/>
      <c r="G85" s="63"/>
      <c r="H85" s="63"/>
      <c r="I85" s="231">
        <f t="shared" si="11"/>
        <v>0</v>
      </c>
    </row>
    <row r="86" spans="1:10" ht="24" hidden="1" customHeight="1" outlineLevel="1">
      <c r="A86" s="229" t="s">
        <v>546</v>
      </c>
      <c r="B86" s="230" t="s">
        <v>305</v>
      </c>
      <c r="C86" s="63"/>
      <c r="D86" s="63"/>
      <c r="E86" s="63"/>
      <c r="F86" s="63"/>
      <c r="G86" s="63"/>
      <c r="H86" s="63"/>
      <c r="I86" s="231">
        <f t="shared" si="11"/>
        <v>0</v>
      </c>
    </row>
    <row r="87" spans="1:10" ht="12" hidden="1" customHeight="1" outlineLevel="1">
      <c r="A87" s="229" t="s">
        <v>547</v>
      </c>
      <c r="B87" s="230">
        <v>711</v>
      </c>
      <c r="C87" s="63"/>
      <c r="D87" s="63"/>
      <c r="E87" s="63"/>
      <c r="F87" s="63"/>
      <c r="G87" s="63"/>
      <c r="H87" s="63"/>
      <c r="I87" s="231">
        <f t="shared" si="11"/>
        <v>0</v>
      </c>
    </row>
    <row r="88" spans="1:10" ht="12" hidden="1" customHeight="1" outlineLevel="1">
      <c r="A88" s="229" t="s">
        <v>548</v>
      </c>
      <c r="B88" s="230">
        <v>712</v>
      </c>
      <c r="C88" s="63"/>
      <c r="D88" s="63"/>
      <c r="E88" s="63"/>
      <c r="F88" s="63"/>
      <c r="G88" s="63"/>
      <c r="H88" s="63"/>
      <c r="I88" s="231">
        <f t="shared" si="11"/>
        <v>0</v>
      </c>
    </row>
    <row r="89" spans="1:10" ht="24" hidden="1" customHeight="1" outlineLevel="1">
      <c r="A89" s="229" t="s">
        <v>561</v>
      </c>
      <c r="B89" s="230">
        <v>713</v>
      </c>
      <c r="C89" s="63"/>
      <c r="D89" s="63"/>
      <c r="E89" s="63"/>
      <c r="F89" s="63"/>
      <c r="G89" s="63"/>
      <c r="H89" s="63"/>
      <c r="I89" s="231">
        <f t="shared" si="11"/>
        <v>0</v>
      </c>
    </row>
    <row r="90" spans="1:10" ht="24" hidden="1" customHeight="1" outlineLevel="1">
      <c r="A90" s="229" t="s">
        <v>550</v>
      </c>
      <c r="B90" s="230">
        <v>714</v>
      </c>
      <c r="C90" s="63"/>
      <c r="D90" s="63"/>
      <c r="E90" s="63"/>
      <c r="F90" s="63"/>
      <c r="G90" s="63"/>
      <c r="H90" s="63"/>
      <c r="I90" s="231">
        <f t="shared" si="11"/>
        <v>0</v>
      </c>
    </row>
    <row r="91" spans="1:10" ht="12" hidden="1" customHeight="1" outlineLevel="1">
      <c r="A91" s="229" t="s">
        <v>551</v>
      </c>
      <c r="B91" s="230">
        <v>715</v>
      </c>
      <c r="C91" s="63"/>
      <c r="D91" s="63"/>
      <c r="E91" s="63"/>
      <c r="F91" s="63"/>
      <c r="G91" s="63"/>
      <c r="H91" s="63"/>
      <c r="I91" s="231">
        <f t="shared" si="11"/>
        <v>0</v>
      </c>
    </row>
    <row r="92" spans="1:10" ht="12" hidden="1" customHeight="1" outlineLevel="1">
      <c r="A92" s="229" t="s">
        <v>552</v>
      </c>
      <c r="B92" s="230">
        <v>716</v>
      </c>
      <c r="C92" s="63"/>
      <c r="D92" s="63"/>
      <c r="E92" s="63"/>
      <c r="F92" s="63"/>
      <c r="G92" s="63"/>
      <c r="H92" s="63"/>
      <c r="I92" s="231">
        <f t="shared" si="11"/>
        <v>0</v>
      </c>
    </row>
    <row r="93" spans="1:10" ht="12" hidden="1" customHeight="1" outlineLevel="1">
      <c r="A93" s="229" t="s">
        <v>553</v>
      </c>
      <c r="B93" s="230">
        <v>717</v>
      </c>
      <c r="C93" s="63">
        <v>-99</v>
      </c>
      <c r="D93" s="63"/>
      <c r="E93" s="63"/>
      <c r="F93" s="63"/>
      <c r="G93" s="63"/>
      <c r="H93" s="63"/>
      <c r="I93" s="231">
        <f t="shared" si="11"/>
        <v>-99</v>
      </c>
    </row>
    <row r="94" spans="1:10" ht="24" hidden="1" customHeight="1" outlineLevel="1">
      <c r="A94" s="229" t="s">
        <v>554</v>
      </c>
      <c r="B94" s="230">
        <v>718</v>
      </c>
      <c r="C94" s="63"/>
      <c r="D94" s="63"/>
      <c r="E94" s="63"/>
      <c r="F94" s="63"/>
      <c r="G94" s="63"/>
      <c r="H94" s="63"/>
      <c r="I94" s="231">
        <f t="shared" si="11"/>
        <v>0</v>
      </c>
    </row>
    <row r="95" spans="1:10" ht="24" customHeight="1" collapsed="1">
      <c r="A95" s="232" t="s">
        <v>692</v>
      </c>
      <c r="B95" s="233">
        <v>800</v>
      </c>
      <c r="C95" s="228">
        <f t="shared" ref="C95:I95" si="12">C66+C67+C80</f>
        <v>5801575.0269999998</v>
      </c>
      <c r="D95" s="228">
        <f t="shared" si="12"/>
        <v>0</v>
      </c>
      <c r="E95" s="228">
        <f t="shared" si="12"/>
        <v>0</v>
      </c>
      <c r="F95" s="228">
        <f t="shared" si="12"/>
        <v>415.32096999999999</v>
      </c>
      <c r="G95" s="228">
        <f t="shared" si="12"/>
        <v>-714270.85704000015</v>
      </c>
      <c r="H95" s="228">
        <f t="shared" si="12"/>
        <v>0</v>
      </c>
      <c r="I95" s="228">
        <f t="shared" si="12"/>
        <v>5087719.4909300003</v>
      </c>
      <c r="J95" s="234">
        <f>I95-ФО.1!D84</f>
        <v>0</v>
      </c>
    </row>
    <row r="96" spans="1:10" ht="12" customHeight="1">
      <c r="A96" s="25" t="s">
        <v>305</v>
      </c>
      <c r="B96" s="25" t="s">
        <v>305</v>
      </c>
      <c r="C96" s="25" t="s">
        <v>305</v>
      </c>
      <c r="D96" s="25" t="s">
        <v>305</v>
      </c>
      <c r="E96" s="25" t="s">
        <v>305</v>
      </c>
      <c r="F96" s="25" t="s">
        <v>305</v>
      </c>
      <c r="G96" s="25" t="s">
        <v>305</v>
      </c>
      <c r="H96" s="25" t="s">
        <v>305</v>
      </c>
      <c r="I96" s="25" t="s">
        <v>305</v>
      </c>
    </row>
    <row r="97" spans="1:9" ht="12" customHeight="1">
      <c r="A97" s="645" t="str">
        <f>CONCATENATE(Реквизиты!A12,Реквизиты!B12)</f>
        <v>Руководитель: Ембергенов Руслан Адилович</v>
      </c>
      <c r="B97" s="645"/>
      <c r="C97" s="645"/>
      <c r="D97" s="25" t="s">
        <v>305</v>
      </c>
      <c r="E97" s="36" t="s">
        <v>305</v>
      </c>
      <c r="F97" s="25" t="s">
        <v>305</v>
      </c>
      <c r="G97" s="25" t="s">
        <v>305</v>
      </c>
      <c r="H97" s="25" t="s">
        <v>305</v>
      </c>
      <c r="I97" s="25" t="s">
        <v>305</v>
      </c>
    </row>
    <row r="98" spans="1:9" ht="12" customHeight="1">
      <c r="A98" s="644" t="s">
        <v>421</v>
      </c>
      <c r="B98" s="644"/>
      <c r="C98" s="644"/>
      <c r="D98" s="25" t="s">
        <v>305</v>
      </c>
      <c r="E98" s="37" t="s">
        <v>340</v>
      </c>
      <c r="F98" s="25" t="s">
        <v>305</v>
      </c>
      <c r="G98" s="25" t="s">
        <v>305</v>
      </c>
      <c r="H98" s="25" t="s">
        <v>305</v>
      </c>
      <c r="I98" s="25" t="s">
        <v>305</v>
      </c>
    </row>
    <row r="99" spans="1:9" ht="12" customHeight="1">
      <c r="A99" s="38"/>
      <c r="B99" s="38"/>
      <c r="C99" s="38"/>
      <c r="D99" s="25"/>
      <c r="E99" s="37"/>
      <c r="F99" s="25"/>
      <c r="G99" s="25"/>
      <c r="H99" s="25"/>
      <c r="I99" s="25"/>
    </row>
    <row r="100" spans="1:9" ht="12" customHeight="1">
      <c r="A100" s="645" t="str">
        <f>CONCATENATE(Реквизиты!A13,Реквизиты!B13)</f>
        <v>Главный бухгалтер: Муканова Наталья Анатольевна</v>
      </c>
      <c r="B100" s="645"/>
      <c r="C100" s="645"/>
      <c r="D100" s="25" t="s">
        <v>305</v>
      </c>
      <c r="E100" s="36" t="s">
        <v>305</v>
      </c>
      <c r="F100" s="25" t="s">
        <v>305</v>
      </c>
      <c r="G100" s="25" t="s">
        <v>305</v>
      </c>
      <c r="H100" s="25" t="s">
        <v>305</v>
      </c>
      <c r="I100" s="25" t="s">
        <v>305</v>
      </c>
    </row>
    <row r="101" spans="1:9" ht="12" customHeight="1">
      <c r="A101" s="644" t="s">
        <v>422</v>
      </c>
      <c r="B101" s="644"/>
      <c r="C101" s="644"/>
      <c r="D101" s="25" t="s">
        <v>305</v>
      </c>
      <c r="E101" s="37" t="s">
        <v>340</v>
      </c>
      <c r="F101" s="25" t="s">
        <v>305</v>
      </c>
      <c r="G101" s="25" t="s">
        <v>305</v>
      </c>
      <c r="H101" s="25" t="s">
        <v>305</v>
      </c>
      <c r="I101" s="25" t="s">
        <v>305</v>
      </c>
    </row>
    <row r="102" spans="1:9" ht="12" customHeight="1">
      <c r="A102" s="25" t="s">
        <v>341</v>
      </c>
      <c r="B102" s="25" t="s">
        <v>305</v>
      </c>
      <c r="C102" s="25" t="s">
        <v>305</v>
      </c>
      <c r="D102" s="25" t="s">
        <v>305</v>
      </c>
      <c r="E102" s="25" t="s">
        <v>305</v>
      </c>
      <c r="F102" s="25" t="s">
        <v>305</v>
      </c>
      <c r="G102" s="25" t="s">
        <v>305</v>
      </c>
      <c r="H102" s="25" t="s">
        <v>305</v>
      </c>
      <c r="I102" s="25" t="s">
        <v>305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98:C98"/>
    <mergeCell ref="A100:C100"/>
    <mergeCell ref="A101:C101"/>
    <mergeCell ref="A50:I50"/>
    <mergeCell ref="A52:I52"/>
    <mergeCell ref="A70:I70"/>
    <mergeCell ref="A81:I81"/>
    <mergeCell ref="A83:I83"/>
    <mergeCell ref="A97:C97"/>
    <mergeCell ref="A39:I39"/>
    <mergeCell ref="G8:I8"/>
    <mergeCell ref="G9:I9"/>
    <mergeCell ref="G10:I10"/>
    <mergeCell ref="A12:I12"/>
    <mergeCell ref="A13:I13"/>
    <mergeCell ref="A14:I14"/>
    <mergeCell ref="A29:A30"/>
    <mergeCell ref="B29:B30"/>
    <mergeCell ref="C29:G29"/>
    <mergeCell ref="H29:H30"/>
    <mergeCell ref="I29:I30"/>
  </mergeCells>
  <hyperlinks>
    <hyperlink ref="A1" r:id="rId1"/>
    <hyperlink ref="A2" r:id="rId2" display="mailto:admin@balans.kz"/>
    <hyperlink ref="A3" r:id="rId3" display="Омаров Асаин Муратбаевич (Compas)"/>
    <hyperlink ref="A5" r:id="rId4" display="Фролов Владимир (VFrol)"/>
  </hyperlinks>
  <pageMargins left="0.51181102362204722" right="0.19685039370078741" top="0.62992125984251968" bottom="0.15748031496062992" header="0.23622047244094491" footer="0.15748031496062992"/>
  <pageSetup paperSize="9" scale="95" fitToHeight="3" orientation="landscape" verticalDpi="0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topLeftCell="B1" workbookViewId="0">
      <selection activeCell="B22" sqref="B22"/>
    </sheetView>
  </sheetViews>
  <sheetFormatPr defaultRowHeight="12"/>
  <cols>
    <col min="1" max="1" width="2.28515625" style="166" hidden="1" customWidth="1"/>
    <col min="2" max="2" width="24.7109375" style="150" customWidth="1"/>
    <col min="3" max="5" width="8.140625" style="150" customWidth="1"/>
    <col min="6" max="6" width="16.140625" style="150" customWidth="1"/>
    <col min="7" max="7" width="25.140625" style="150" customWidth="1"/>
    <col min="8" max="8" width="8.42578125" style="150" bestFit="1" customWidth="1"/>
    <col min="9" max="16384" width="9.140625" style="150"/>
  </cols>
  <sheetData>
    <row r="1" spans="1:8" s="141" customFormat="1" ht="12" customHeight="1">
      <c r="B1" s="140"/>
      <c r="F1" s="657" t="s">
        <v>378</v>
      </c>
      <c r="G1" s="657"/>
      <c r="H1" s="143"/>
    </row>
    <row r="2" spans="1:8" s="141" customFormat="1" ht="12" customHeight="1">
      <c r="F2" s="657" t="s">
        <v>379</v>
      </c>
      <c r="G2" s="657"/>
      <c r="H2" s="143"/>
    </row>
    <row r="3" spans="1:8" s="141" customFormat="1">
      <c r="G3" s="142"/>
      <c r="H3" s="143"/>
    </row>
    <row r="4" spans="1:8" s="146" customFormat="1" ht="15" customHeight="1">
      <c r="B4" s="333" t="str">
        <f>CONCATENATE(Реквизиты!A4,Реквизиты!B4)</f>
        <v>Наименование организации: АО "Тема Ко"</v>
      </c>
      <c r="C4" s="145"/>
      <c r="D4" s="144"/>
      <c r="E4" s="144"/>
      <c r="F4" s="144"/>
      <c r="G4" s="144"/>
      <c r="H4" s="144"/>
    </row>
    <row r="5" spans="1:8" s="146" customFormat="1" ht="15" customHeight="1">
      <c r="B5" s="144"/>
      <c r="C5" s="145"/>
      <c r="D5" s="144"/>
      <c r="E5" s="144"/>
      <c r="F5" s="144"/>
      <c r="G5" s="144"/>
      <c r="H5" s="144"/>
    </row>
    <row r="6" spans="1:8" s="148" customFormat="1">
      <c r="B6" s="658" t="s">
        <v>718</v>
      </c>
      <c r="C6" s="658"/>
      <c r="D6" s="658"/>
      <c r="E6" s="658"/>
      <c r="F6" s="658"/>
      <c r="G6" s="658"/>
      <c r="H6" s="147"/>
    </row>
    <row r="7" spans="1:8" s="141" customFormat="1">
      <c r="B7" s="659" t="str">
        <f>Реквизиты!A3</f>
        <v>по состоянию на  30.09.2013 года</v>
      </c>
      <c r="C7" s="659"/>
      <c r="D7" s="659"/>
      <c r="E7" s="659"/>
      <c r="F7" s="659"/>
      <c r="G7" s="659"/>
      <c r="H7" s="149"/>
    </row>
    <row r="8" spans="1:8">
      <c r="A8" s="150"/>
      <c r="B8" s="337" t="s">
        <v>388</v>
      </c>
      <c r="G8" s="335" t="s">
        <v>307</v>
      </c>
    </row>
    <row r="9" spans="1:8">
      <c r="A9" s="150"/>
      <c r="B9" s="660" t="s">
        <v>78</v>
      </c>
      <c r="C9" s="661"/>
      <c r="D9" s="661"/>
      <c r="E9" s="661"/>
      <c r="F9" s="662"/>
      <c r="G9" s="151" t="s">
        <v>709</v>
      </c>
    </row>
    <row r="10" spans="1:8" s="153" customFormat="1">
      <c r="B10" s="327" t="s">
        <v>708</v>
      </c>
      <c r="C10" s="328"/>
      <c r="D10" s="328"/>
      <c r="E10" s="328"/>
      <c r="F10" s="329"/>
      <c r="G10" s="341">
        <v>355770.57390000002</v>
      </c>
    </row>
    <row r="11" spans="1:8">
      <c r="A11" s="150"/>
      <c r="B11" s="663"/>
      <c r="C11" s="664"/>
      <c r="D11" s="664"/>
      <c r="E11" s="664"/>
      <c r="F11" s="665"/>
      <c r="G11" s="341">
        <f>SUM(G10:G10)</f>
        <v>355770.57390000002</v>
      </c>
      <c r="H11" s="155"/>
    </row>
    <row r="12" spans="1:8">
      <c r="A12" s="150"/>
      <c r="B12" s="154"/>
      <c r="C12" s="154"/>
      <c r="D12" s="154"/>
      <c r="E12" s="154"/>
      <c r="F12" s="154"/>
      <c r="G12" s="253">
        <f>G11-ФО.1!D38</f>
        <v>-2609929.9852900002</v>
      </c>
    </row>
    <row r="13" spans="1:8">
      <c r="A13" s="150"/>
      <c r="B13" s="154"/>
      <c r="C13" s="154"/>
      <c r="D13" s="154"/>
      <c r="E13" s="154"/>
      <c r="F13" s="154"/>
      <c r="G13" s="253"/>
    </row>
    <row r="14" spans="1:8" s="148" customFormat="1">
      <c r="B14" s="337" t="s">
        <v>717</v>
      </c>
      <c r="C14" s="150"/>
      <c r="D14" s="150"/>
      <c r="E14" s="150"/>
      <c r="F14" s="150"/>
      <c r="G14" s="335" t="s">
        <v>307</v>
      </c>
      <c r="H14" s="147"/>
    </row>
    <row r="15" spans="1:8" s="141" customFormat="1">
      <c r="B15" s="660" t="s">
        <v>78</v>
      </c>
      <c r="C15" s="661"/>
      <c r="D15" s="661"/>
      <c r="E15" s="661"/>
      <c r="F15" s="662"/>
      <c r="G15" s="151" t="s">
        <v>709</v>
      </c>
      <c r="H15" s="149"/>
    </row>
    <row r="16" spans="1:8">
      <c r="A16" s="150"/>
      <c r="B16" s="327" t="s">
        <v>716</v>
      </c>
      <c r="C16" s="328"/>
      <c r="D16" s="328"/>
      <c r="E16" s="328"/>
      <c r="F16" s="329"/>
      <c r="G16" s="341">
        <v>198252.136</v>
      </c>
    </row>
    <row r="17" spans="1:8">
      <c r="A17" s="150"/>
      <c r="B17" s="327"/>
      <c r="C17" s="328"/>
      <c r="D17" s="328"/>
      <c r="E17" s="328"/>
      <c r="F17" s="329"/>
      <c r="G17" s="152"/>
    </row>
    <row r="18" spans="1:8" s="153" customFormat="1">
      <c r="B18" s="663"/>
      <c r="C18" s="664"/>
      <c r="D18" s="664"/>
      <c r="E18" s="664"/>
      <c r="F18" s="665"/>
      <c r="G18" s="341">
        <f>SUM(G16:G17)</f>
        <v>198252.136</v>
      </c>
    </row>
    <row r="19" spans="1:8" s="153" customFormat="1">
      <c r="B19" s="336"/>
      <c r="C19" s="336"/>
      <c r="D19" s="336"/>
      <c r="E19" s="336"/>
      <c r="F19" s="336"/>
      <c r="G19" s="253">
        <f>G18-ФО.1!D70</f>
        <v>-35651.856059999991</v>
      </c>
    </row>
    <row r="20" spans="1:8">
      <c r="A20" s="150"/>
      <c r="B20" s="154"/>
      <c r="C20" s="154"/>
      <c r="D20" s="154"/>
      <c r="E20" s="154"/>
      <c r="F20" s="154"/>
      <c r="H20" s="155"/>
    </row>
    <row r="21" spans="1:8" ht="12" customHeight="1">
      <c r="A21" s="150"/>
      <c r="B21" s="157" t="s">
        <v>654</v>
      </c>
      <c r="C21" s="157"/>
      <c r="D21" s="666" t="str">
        <f>Реквизиты!B12</f>
        <v>Ембергенов Руслан Адилович</v>
      </c>
      <c r="E21" s="666"/>
      <c r="F21" s="666"/>
      <c r="G21" s="158" t="s">
        <v>305</v>
      </c>
      <c r="H21" s="155"/>
    </row>
    <row r="22" spans="1:8" ht="12" customHeight="1">
      <c r="A22" s="150"/>
      <c r="B22" s="160" t="s">
        <v>305</v>
      </c>
      <c r="C22" s="160" t="s">
        <v>305</v>
      </c>
      <c r="D22" s="656" t="s">
        <v>655</v>
      </c>
      <c r="E22" s="656"/>
      <c r="F22" s="656"/>
      <c r="G22" s="161" t="s">
        <v>340</v>
      </c>
    </row>
    <row r="23" spans="1:8" s="156" customFormat="1" ht="12" customHeight="1">
      <c r="B23" s="162" t="s">
        <v>656</v>
      </c>
      <c r="C23" s="162"/>
      <c r="D23" s="655" t="str">
        <f>Реквизиты!B13</f>
        <v>Муканова Наталья Анатольевна</v>
      </c>
      <c r="E23" s="655"/>
      <c r="F23" s="655"/>
      <c r="G23" s="158" t="s">
        <v>305</v>
      </c>
      <c r="H23" s="159"/>
    </row>
    <row r="24" spans="1:8" s="156" customFormat="1" ht="12" customHeight="1">
      <c r="B24" s="164" t="s">
        <v>305</v>
      </c>
      <c r="C24" s="164" t="s">
        <v>305</v>
      </c>
      <c r="D24" s="656" t="s">
        <v>655</v>
      </c>
      <c r="E24" s="656"/>
      <c r="F24" s="656"/>
      <c r="G24" s="161" t="s">
        <v>340</v>
      </c>
      <c r="H24" s="159"/>
    </row>
    <row r="25" spans="1:8" s="141" customFormat="1" ht="12" customHeight="1">
      <c r="B25" s="144" t="s">
        <v>341</v>
      </c>
      <c r="C25" s="144"/>
      <c r="D25" s="165" t="s">
        <v>305</v>
      </c>
      <c r="E25" s="165" t="s">
        <v>305</v>
      </c>
      <c r="F25" s="165" t="s">
        <v>305</v>
      </c>
      <c r="H25" s="163"/>
    </row>
    <row r="26" spans="1:8" s="156" customFormat="1" ht="12" customHeight="1">
      <c r="B26" s="150"/>
      <c r="C26" s="150"/>
      <c r="D26" s="150"/>
      <c r="E26" s="150"/>
      <c r="F26" s="150"/>
      <c r="G26" s="150"/>
      <c r="H26" s="159"/>
    </row>
    <row r="27" spans="1:8" s="141" customFormat="1">
      <c r="B27" s="150"/>
      <c r="C27" s="150"/>
      <c r="D27" s="150"/>
      <c r="E27" s="150"/>
      <c r="F27" s="150"/>
      <c r="G27" s="150"/>
    </row>
  </sheetData>
  <mergeCells count="12">
    <mergeCell ref="D23:F23"/>
    <mergeCell ref="D24:F24"/>
    <mergeCell ref="F1:G1"/>
    <mergeCell ref="F2:G2"/>
    <mergeCell ref="B6:G6"/>
    <mergeCell ref="B7:G7"/>
    <mergeCell ref="B9:F9"/>
    <mergeCell ref="B11:F11"/>
    <mergeCell ref="D21:F21"/>
    <mergeCell ref="D22:F22"/>
    <mergeCell ref="B15:F15"/>
    <mergeCell ref="B18:F18"/>
  </mergeCells>
  <pageMargins left="0.9055118110236221" right="0.31496062992125984" top="0.74803149606299213" bottom="0.74803149606299213" header="0.31496062992125984" footer="0.31496062992125984"/>
  <pageSetup paperSize="9" scale="95" fitToHeight="10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topLeftCell="B1" workbookViewId="0">
      <selection activeCell="F34" sqref="F34"/>
    </sheetView>
  </sheetViews>
  <sheetFormatPr defaultRowHeight="12"/>
  <cols>
    <col min="1" max="1" width="0" style="170" hidden="1" customWidth="1"/>
    <col min="2" max="2" width="3.85546875" style="170" customWidth="1"/>
    <col min="3" max="3" width="38.5703125" style="170" customWidth="1"/>
    <col min="4" max="4" width="15.42578125" style="170" customWidth="1"/>
    <col min="5" max="5" width="13.7109375" style="170" hidden="1" customWidth="1"/>
    <col min="6" max="6" width="33.28515625" style="170" bestFit="1" customWidth="1"/>
    <col min="7" max="16384" width="9.140625" style="170"/>
  </cols>
  <sheetData>
    <row r="1" spans="2:6" ht="12" customHeight="1">
      <c r="B1" s="167"/>
      <c r="C1" s="168"/>
      <c r="D1" s="628" t="s">
        <v>378</v>
      </c>
      <c r="E1" s="628"/>
      <c r="F1" s="628"/>
    </row>
    <row r="2" spans="2:6">
      <c r="B2" s="168"/>
      <c r="C2" s="168"/>
      <c r="D2" s="628" t="s">
        <v>379</v>
      </c>
      <c r="E2" s="628"/>
      <c r="F2" s="628"/>
    </row>
    <row r="3" spans="2:6">
      <c r="B3" s="168"/>
      <c r="C3" s="168"/>
      <c r="D3" s="168"/>
      <c r="E3" s="168"/>
      <c r="F3" s="169"/>
    </row>
    <row r="4" spans="2:6">
      <c r="B4" s="171" t="str">
        <f>CONCATENATE(Реквизиты!A4,Реквизиты!B4)</f>
        <v>Наименование организации: АО "Тема Ко"</v>
      </c>
      <c r="D4" s="172"/>
      <c r="F4" s="173"/>
    </row>
    <row r="5" spans="2:6">
      <c r="B5" s="173"/>
      <c r="C5" s="172"/>
      <c r="D5" s="173"/>
      <c r="E5" s="173"/>
      <c r="F5" s="173"/>
    </row>
    <row r="6" spans="2:6">
      <c r="B6" s="667" t="s">
        <v>657</v>
      </c>
      <c r="C6" s="667"/>
      <c r="D6" s="667"/>
      <c r="E6" s="667"/>
      <c r="F6" s="667"/>
    </row>
    <row r="7" spans="2:6">
      <c r="B7" s="668" t="str">
        <f>Реквизиты!A3</f>
        <v>по состоянию на  30.09.2013 года</v>
      </c>
      <c r="C7" s="668"/>
      <c r="D7" s="668"/>
      <c r="E7" s="668"/>
      <c r="F7" s="668"/>
    </row>
    <row r="9" spans="2:6">
      <c r="B9" s="174"/>
      <c r="C9" s="175" t="s">
        <v>658</v>
      </c>
      <c r="D9" s="176"/>
      <c r="E9" s="174"/>
      <c r="F9" s="338" t="s">
        <v>307</v>
      </c>
    </row>
    <row r="10" spans="2:6">
      <c r="B10" s="177"/>
      <c r="C10" s="177" t="s">
        <v>659</v>
      </c>
      <c r="D10" s="178" t="s">
        <v>660</v>
      </c>
      <c r="E10" s="177" t="s">
        <v>661</v>
      </c>
      <c r="F10" s="177" t="s">
        <v>662</v>
      </c>
    </row>
    <row r="11" spans="2:6">
      <c r="B11" s="179">
        <v>1</v>
      </c>
      <c r="C11" s="180" t="s">
        <v>712</v>
      </c>
      <c r="D11" s="185">
        <v>4.42</v>
      </c>
      <c r="E11" s="181"/>
      <c r="F11" s="179"/>
    </row>
    <row r="12" spans="2:6">
      <c r="B12" s="187">
        <v>2</v>
      </c>
      <c r="C12" s="180" t="s">
        <v>694</v>
      </c>
      <c r="D12" s="185">
        <v>2</v>
      </c>
      <c r="E12" s="186"/>
      <c r="F12" s="187"/>
    </row>
    <row r="13" spans="2:6">
      <c r="B13" s="187">
        <v>3</v>
      </c>
      <c r="C13" s="180" t="s">
        <v>713</v>
      </c>
      <c r="D13" s="185">
        <v>0.1</v>
      </c>
      <c r="E13" s="186"/>
      <c r="F13" s="187"/>
    </row>
    <row r="14" spans="2:6">
      <c r="B14" s="179">
        <v>4</v>
      </c>
      <c r="C14" s="180" t="s">
        <v>614</v>
      </c>
      <c r="D14" s="185">
        <v>22.407080000000001</v>
      </c>
      <c r="E14" s="181"/>
      <c r="F14" s="179" t="s">
        <v>711</v>
      </c>
    </row>
    <row r="15" spans="2:6">
      <c r="B15" s="182"/>
      <c r="C15" s="182" t="s">
        <v>615</v>
      </c>
      <c r="D15" s="340">
        <f>SUM(D11:D14)</f>
        <v>28.92708</v>
      </c>
      <c r="E15" s="182"/>
      <c r="F15" s="182"/>
    </row>
    <row r="16" spans="2:6">
      <c r="B16" s="175"/>
      <c r="C16" s="175"/>
      <c r="D16" s="183">
        <f>(ФО.1!D31+ФО.1!D34)</f>
        <v>3343477.5346900001</v>
      </c>
      <c r="E16" s="184">
        <f>D15-D16</f>
        <v>-3343448.6076100003</v>
      </c>
      <c r="F16" s="175"/>
    </row>
    <row r="17" spans="2:6">
      <c r="B17" s="175"/>
      <c r="C17" s="175"/>
      <c r="D17" s="184"/>
      <c r="E17" s="175"/>
      <c r="F17" s="175"/>
    </row>
    <row r="18" spans="2:6">
      <c r="B18" s="175"/>
      <c r="C18" s="669"/>
      <c r="D18" s="669"/>
      <c r="E18" s="669"/>
      <c r="F18" s="670"/>
    </row>
    <row r="19" spans="2:6">
      <c r="B19" s="175"/>
      <c r="C19" s="175" t="s">
        <v>663</v>
      </c>
      <c r="D19" s="184"/>
      <c r="E19" s="175"/>
      <c r="F19" s="338" t="s">
        <v>307</v>
      </c>
    </row>
    <row r="20" spans="2:6">
      <c r="B20" s="177"/>
      <c r="C20" s="177" t="s">
        <v>664</v>
      </c>
      <c r="D20" s="178" t="s">
        <v>660</v>
      </c>
      <c r="E20" s="177" t="s">
        <v>661</v>
      </c>
      <c r="F20" s="177" t="s">
        <v>662</v>
      </c>
    </row>
    <row r="21" spans="2:6">
      <c r="B21" s="179">
        <v>1</v>
      </c>
      <c r="C21" s="188" t="s">
        <v>714</v>
      </c>
      <c r="D21" s="189">
        <v>37420.790999999997</v>
      </c>
      <c r="E21" s="181"/>
      <c r="F21" s="179">
        <v>3397</v>
      </c>
    </row>
    <row r="22" spans="2:6">
      <c r="B22" s="179">
        <v>2</v>
      </c>
      <c r="C22" s="188" t="s">
        <v>665</v>
      </c>
      <c r="D22" s="189">
        <v>1933.6089999999999</v>
      </c>
      <c r="E22" s="181"/>
      <c r="F22" s="179">
        <v>3510</v>
      </c>
    </row>
    <row r="23" spans="2:6">
      <c r="B23" s="179">
        <v>3</v>
      </c>
      <c r="C23" s="188" t="s">
        <v>710</v>
      </c>
      <c r="D23" s="189">
        <v>501.315</v>
      </c>
      <c r="E23" s="181"/>
      <c r="F23" s="179">
        <v>3310</v>
      </c>
    </row>
    <row r="24" spans="2:6">
      <c r="B24" s="179">
        <v>4</v>
      </c>
      <c r="C24" s="188" t="s">
        <v>715</v>
      </c>
      <c r="D24" s="189">
        <v>3.9289999999999998</v>
      </c>
      <c r="E24" s="181"/>
      <c r="F24" s="179">
        <v>3310</v>
      </c>
    </row>
    <row r="25" spans="2:6">
      <c r="B25" s="179">
        <v>5</v>
      </c>
      <c r="C25" s="188" t="s">
        <v>694</v>
      </c>
      <c r="D25" s="189">
        <v>2</v>
      </c>
      <c r="E25" s="181"/>
      <c r="F25" s="179">
        <v>3310</v>
      </c>
    </row>
    <row r="26" spans="2:6">
      <c r="B26" s="179">
        <v>6</v>
      </c>
      <c r="C26" s="188" t="s">
        <v>666</v>
      </c>
      <c r="D26" s="189">
        <v>0.1</v>
      </c>
      <c r="E26" s="181"/>
      <c r="F26" s="179">
        <v>3510</v>
      </c>
    </row>
    <row r="27" spans="2:6">
      <c r="B27" s="179">
        <v>7</v>
      </c>
      <c r="C27" s="188" t="s">
        <v>614</v>
      </c>
      <c r="D27" s="189">
        <v>4.5209099999999998</v>
      </c>
      <c r="E27" s="186"/>
      <c r="F27" s="187"/>
    </row>
    <row r="28" spans="2:6">
      <c r="B28" s="190"/>
      <c r="C28" s="190" t="s">
        <v>615</v>
      </c>
      <c r="D28" s="339">
        <f>SUM(D21:D27)</f>
        <v>39866.264909999991</v>
      </c>
      <c r="E28" s="190"/>
      <c r="F28" s="190"/>
    </row>
    <row r="29" spans="2:6" s="191" customFormat="1">
      <c r="D29" s="192">
        <f>(ФО.1!D60+ФО.1!D64)</f>
        <v>4352002.0833200002</v>
      </c>
      <c r="E29" s="184">
        <f>D28-D29</f>
        <v>-4312135.8184099998</v>
      </c>
    </row>
    <row r="31" spans="2:6" ht="12" customHeight="1">
      <c r="C31" s="157" t="s">
        <v>654</v>
      </c>
      <c r="D31" s="255" t="str">
        <f>Реквизиты!B12</f>
        <v>Ембергенов Руслан Адилович</v>
      </c>
      <c r="E31" s="193"/>
      <c r="F31" s="193"/>
    </row>
    <row r="32" spans="2:6" ht="12" customHeight="1">
      <c r="C32" s="160" t="s">
        <v>305</v>
      </c>
      <c r="D32" s="194" t="s">
        <v>655</v>
      </c>
      <c r="E32" s="195"/>
      <c r="F32" s="161" t="s">
        <v>340</v>
      </c>
    </row>
    <row r="33" spans="3:6" ht="12" customHeight="1">
      <c r="C33" s="162" t="s">
        <v>656</v>
      </c>
      <c r="D33" s="254" t="str">
        <f>Реквизиты!B13</f>
        <v>Муканова Наталья Анатольевна</v>
      </c>
      <c r="E33" s="196"/>
      <c r="F33" s="158" t="s">
        <v>305</v>
      </c>
    </row>
    <row r="34" spans="3:6" ht="12" customHeight="1">
      <c r="C34" s="164" t="s">
        <v>305</v>
      </c>
      <c r="D34" s="194" t="s">
        <v>655</v>
      </c>
      <c r="E34" s="195"/>
      <c r="F34" s="161" t="s">
        <v>340</v>
      </c>
    </row>
    <row r="35" spans="3:6">
      <c r="C35" s="144" t="s">
        <v>341</v>
      </c>
      <c r="D35" s="197" t="s">
        <v>305</v>
      </c>
      <c r="E35" s="165" t="s">
        <v>305</v>
      </c>
      <c r="F35" s="165" t="s">
        <v>305</v>
      </c>
    </row>
  </sheetData>
  <mergeCells count="5">
    <mergeCell ref="B6:F6"/>
    <mergeCell ref="B7:F7"/>
    <mergeCell ref="C18:F18"/>
    <mergeCell ref="D1:F1"/>
    <mergeCell ref="D2:F2"/>
  </mergeCells>
  <pageMargins left="0.70866141732283472" right="0.70866141732283472" top="0.74803149606299213" bottom="0.74803149606299213" header="0.31496062992125984" footer="0.31496062992125984"/>
  <pageSetup paperSize="9" scale="95" fitToHeight="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26"/>
  <sheetViews>
    <sheetView topLeftCell="AB1" workbookViewId="0">
      <selection activeCell="AL1" sqref="AL1:AO8"/>
    </sheetView>
  </sheetViews>
  <sheetFormatPr defaultRowHeight="15"/>
  <cols>
    <col min="2" max="2" width="5" bestFit="1" customWidth="1"/>
    <col min="3" max="3" width="8.85546875" bestFit="1" customWidth="1"/>
    <col min="4" max="4" width="13.140625" bestFit="1" customWidth="1"/>
    <col min="8" max="8" width="20.7109375" customWidth="1"/>
    <col min="9" max="9" width="16.28515625" customWidth="1"/>
    <col min="10" max="10" width="15.7109375" customWidth="1"/>
    <col min="12" max="12" width="15.85546875" customWidth="1"/>
    <col min="17" max="17" width="15.28515625" customWidth="1"/>
    <col min="24" max="24" width="15" customWidth="1"/>
    <col min="29" max="29" width="19" customWidth="1"/>
    <col min="34" max="34" width="17.5703125" customWidth="1"/>
    <col min="35" max="35" width="21" customWidth="1"/>
    <col min="38" max="38" width="16" bestFit="1" customWidth="1"/>
    <col min="39" max="39" width="17.85546875" customWidth="1"/>
    <col min="40" max="40" width="18.28515625" customWidth="1"/>
  </cols>
  <sheetData>
    <row r="1" spans="1:41" ht="15" customHeight="1">
      <c r="A1" s="548" t="s">
        <v>757</v>
      </c>
      <c r="B1" s="549"/>
      <c r="C1" s="549"/>
      <c r="D1" s="549"/>
      <c r="F1" s="671" t="s">
        <v>760</v>
      </c>
      <c r="G1" s="671"/>
      <c r="H1" s="671"/>
      <c r="I1" s="671"/>
      <c r="J1" s="671"/>
      <c r="K1" s="671"/>
      <c r="L1" s="671"/>
      <c r="N1" s="396" t="s">
        <v>770</v>
      </c>
      <c r="O1" s="616"/>
      <c r="P1" s="616"/>
      <c r="Q1" s="616"/>
      <c r="U1" s="548" t="s">
        <v>771</v>
      </c>
      <c r="V1" s="549"/>
      <c r="W1" s="549"/>
      <c r="X1" s="549"/>
      <c r="Z1" s="396" t="s">
        <v>774</v>
      </c>
      <c r="AA1" s="616"/>
      <c r="AB1" s="616"/>
      <c r="AC1" s="616"/>
      <c r="AF1" s="548" t="s">
        <v>775</v>
      </c>
      <c r="AG1" s="549"/>
      <c r="AH1" s="549"/>
      <c r="AI1" s="549"/>
      <c r="AL1" s="548" t="s">
        <v>775</v>
      </c>
      <c r="AM1" s="549"/>
      <c r="AN1" s="549"/>
      <c r="AO1" s="549"/>
    </row>
    <row r="2" spans="1:41" ht="15.75">
      <c r="A2" s="550" t="s">
        <v>758</v>
      </c>
      <c r="B2" s="549"/>
      <c r="C2" s="549"/>
      <c r="D2" s="549"/>
      <c r="F2" s="556" t="s">
        <v>761</v>
      </c>
      <c r="G2" s="557"/>
      <c r="H2" s="557"/>
      <c r="I2" s="557"/>
      <c r="J2" s="557"/>
      <c r="K2" s="557"/>
      <c r="L2" s="557"/>
      <c r="N2" s="550" t="s">
        <v>758</v>
      </c>
      <c r="O2" s="549"/>
      <c r="P2" s="549"/>
      <c r="Q2" s="549"/>
      <c r="U2" s="550" t="s">
        <v>773</v>
      </c>
      <c r="V2" s="549"/>
      <c r="W2" s="549"/>
      <c r="X2" s="549"/>
      <c r="Z2" s="550" t="s">
        <v>758</v>
      </c>
      <c r="AA2" s="549"/>
      <c r="AB2" s="549"/>
      <c r="AC2" s="549"/>
      <c r="AF2" s="550" t="s">
        <v>773</v>
      </c>
      <c r="AG2" s="549"/>
      <c r="AH2" s="549"/>
      <c r="AI2" s="549"/>
      <c r="AL2" s="550" t="s">
        <v>778</v>
      </c>
      <c r="AM2" s="549"/>
      <c r="AN2" s="549"/>
      <c r="AO2" s="549"/>
    </row>
    <row r="3" spans="1:41" ht="15.75">
      <c r="A3" s="551" t="s">
        <v>730</v>
      </c>
      <c r="B3" s="551" t="s">
        <v>731</v>
      </c>
      <c r="C3" s="549"/>
      <c r="D3" s="549"/>
      <c r="F3" s="556" t="s">
        <v>762</v>
      </c>
      <c r="G3" s="557"/>
      <c r="H3" s="557"/>
      <c r="I3" s="557"/>
      <c r="J3" s="557"/>
      <c r="K3" s="557"/>
      <c r="L3" s="557"/>
      <c r="N3" s="551" t="s">
        <v>730</v>
      </c>
      <c r="O3" s="551" t="s">
        <v>731</v>
      </c>
      <c r="P3" s="549"/>
      <c r="Q3" s="549"/>
      <c r="U3" s="551" t="s">
        <v>730</v>
      </c>
      <c r="V3" s="551" t="s">
        <v>731</v>
      </c>
      <c r="W3" s="549"/>
      <c r="X3" s="549"/>
      <c r="Z3" s="551" t="s">
        <v>730</v>
      </c>
      <c r="AA3" s="551" t="s">
        <v>731</v>
      </c>
      <c r="AB3" s="549"/>
      <c r="AC3" s="549"/>
      <c r="AF3" s="551" t="s">
        <v>730</v>
      </c>
      <c r="AG3" s="551" t="s">
        <v>731</v>
      </c>
      <c r="AH3" s="549"/>
      <c r="AI3" s="549"/>
      <c r="AL3" s="551" t="s">
        <v>730</v>
      </c>
      <c r="AM3" s="551" t="s">
        <v>731</v>
      </c>
      <c r="AN3" s="549"/>
      <c r="AO3" s="549"/>
    </row>
    <row r="4" spans="1:41" ht="24.75" thickBot="1">
      <c r="A4" s="410" t="s">
        <v>360</v>
      </c>
      <c r="B4" s="411" t="s">
        <v>727</v>
      </c>
      <c r="C4" s="411" t="s">
        <v>364</v>
      </c>
      <c r="D4" s="411" t="s">
        <v>365</v>
      </c>
      <c r="F4" s="556" t="s">
        <v>763</v>
      </c>
      <c r="G4" s="557"/>
      <c r="H4" s="557"/>
      <c r="I4" s="557"/>
      <c r="J4" s="557"/>
      <c r="K4" s="557"/>
      <c r="L4" s="557"/>
      <c r="N4" s="410" t="s">
        <v>360</v>
      </c>
      <c r="O4" s="411" t="s">
        <v>727</v>
      </c>
      <c r="P4" s="411" t="s">
        <v>364</v>
      </c>
      <c r="Q4" s="411" t="s">
        <v>365</v>
      </c>
      <c r="U4" s="410" t="s">
        <v>360</v>
      </c>
      <c r="V4" s="411" t="s">
        <v>727</v>
      </c>
      <c r="W4" s="411" t="s">
        <v>364</v>
      </c>
      <c r="X4" s="411" t="s">
        <v>365</v>
      </c>
      <c r="Z4" s="410" t="s">
        <v>360</v>
      </c>
      <c r="AA4" s="411" t="s">
        <v>727</v>
      </c>
      <c r="AB4" s="411" t="s">
        <v>364</v>
      </c>
      <c r="AC4" s="411" t="s">
        <v>365</v>
      </c>
      <c r="AF4" s="551" t="s">
        <v>732</v>
      </c>
      <c r="AG4" s="551" t="s">
        <v>776</v>
      </c>
      <c r="AH4" s="549"/>
      <c r="AI4" s="549"/>
      <c r="AL4" s="410" t="s">
        <v>360</v>
      </c>
      <c r="AM4" s="411" t="s">
        <v>727</v>
      </c>
      <c r="AN4" s="411" t="s">
        <v>364</v>
      </c>
      <c r="AO4" s="411" t="s">
        <v>365</v>
      </c>
    </row>
    <row r="5" spans="1:41" ht="60">
      <c r="A5" s="552">
        <v>5030</v>
      </c>
      <c r="B5" s="553" t="s">
        <v>728</v>
      </c>
      <c r="C5" s="554"/>
      <c r="D5" s="555">
        <v>34920000</v>
      </c>
      <c r="F5" s="558" t="s">
        <v>669</v>
      </c>
      <c r="G5" s="559" t="s">
        <v>361</v>
      </c>
      <c r="H5" s="560"/>
      <c r="I5" s="559" t="s">
        <v>367</v>
      </c>
      <c r="J5" s="560"/>
      <c r="K5" s="559" t="s">
        <v>363</v>
      </c>
      <c r="L5" s="561"/>
      <c r="N5" s="552">
        <v>5030</v>
      </c>
      <c r="O5" s="553" t="s">
        <v>728</v>
      </c>
      <c r="P5" s="554"/>
      <c r="Q5" s="617">
        <v>1500000</v>
      </c>
      <c r="U5" s="412">
        <v>5000</v>
      </c>
      <c r="V5" s="413" t="s">
        <v>728</v>
      </c>
      <c r="W5" s="414"/>
      <c r="X5" s="415">
        <v>59050000</v>
      </c>
      <c r="Z5" s="552">
        <v>5030</v>
      </c>
      <c r="AA5" s="553" t="s">
        <v>728</v>
      </c>
      <c r="AB5" s="554"/>
      <c r="AC5" s="443">
        <v>801955000</v>
      </c>
      <c r="AF5" s="410" t="s">
        <v>360</v>
      </c>
      <c r="AG5" s="411" t="s">
        <v>727</v>
      </c>
      <c r="AH5" s="411" t="s">
        <v>364</v>
      </c>
      <c r="AI5" s="411" t="s">
        <v>365</v>
      </c>
      <c r="AL5" s="462">
        <v>5100</v>
      </c>
      <c r="AM5" s="463" t="s">
        <v>728</v>
      </c>
      <c r="AN5" s="465">
        <v>14198424973</v>
      </c>
      <c r="AO5" s="464"/>
    </row>
    <row r="6" spans="1:41" ht="36.75" thickBot="1">
      <c r="A6" s="416"/>
      <c r="B6" s="417">
        <v>1000</v>
      </c>
      <c r="C6" s="418"/>
      <c r="D6" s="419">
        <v>27135000</v>
      </c>
      <c r="F6" s="562"/>
      <c r="G6" s="563" t="s">
        <v>364</v>
      </c>
      <c r="H6" s="563" t="s">
        <v>365</v>
      </c>
      <c r="I6" s="563" t="s">
        <v>364</v>
      </c>
      <c r="J6" s="563" t="s">
        <v>365</v>
      </c>
      <c r="K6" s="563" t="s">
        <v>364</v>
      </c>
      <c r="L6" s="564" t="s">
        <v>365</v>
      </c>
      <c r="N6" s="466"/>
      <c r="O6" s="553" t="s">
        <v>698</v>
      </c>
      <c r="P6" s="554"/>
      <c r="Q6" s="617">
        <v>1500000</v>
      </c>
      <c r="U6" s="416"/>
      <c r="V6" s="417">
        <v>1000</v>
      </c>
      <c r="W6" s="418"/>
      <c r="X6" s="419">
        <v>192200000</v>
      </c>
      <c r="Z6" s="466"/>
      <c r="AA6" s="553" t="s">
        <v>698</v>
      </c>
      <c r="AB6" s="554"/>
      <c r="AC6" s="443">
        <v>801955000</v>
      </c>
      <c r="AF6" s="462">
        <v>5000</v>
      </c>
      <c r="AG6" s="463" t="s">
        <v>728</v>
      </c>
      <c r="AH6" s="464"/>
      <c r="AI6" s="465">
        <v>20000000000</v>
      </c>
      <c r="AL6" s="416"/>
      <c r="AM6" s="417">
        <v>5000</v>
      </c>
      <c r="AN6" s="419">
        <v>20000000000</v>
      </c>
      <c r="AO6" s="418"/>
    </row>
    <row r="7" spans="1:41" ht="39">
      <c r="A7" s="466"/>
      <c r="B7" s="553" t="s">
        <v>608</v>
      </c>
      <c r="C7" s="554"/>
      <c r="D7" s="555">
        <v>27135000</v>
      </c>
      <c r="F7" s="565" t="s">
        <v>764</v>
      </c>
      <c r="G7" s="566" t="s">
        <v>366</v>
      </c>
      <c r="H7" s="566" t="s">
        <v>366</v>
      </c>
      <c r="I7" s="566" t="s">
        <v>366</v>
      </c>
      <c r="J7" s="567">
        <v>137026000</v>
      </c>
      <c r="K7" s="566" t="s">
        <v>366</v>
      </c>
      <c r="L7" s="568">
        <v>137026000</v>
      </c>
      <c r="U7" s="416"/>
      <c r="V7" s="417">
        <v>1300</v>
      </c>
      <c r="W7" s="418"/>
      <c r="X7" s="419">
        <v>854397</v>
      </c>
      <c r="AF7" s="416"/>
      <c r="AG7" s="417">
        <v>5000</v>
      </c>
      <c r="AH7" s="419">
        <v>600227873</v>
      </c>
      <c r="AI7" s="419">
        <v>600227873</v>
      </c>
      <c r="AL7" s="466"/>
      <c r="AM7" s="463" t="s">
        <v>608</v>
      </c>
      <c r="AN7" s="465">
        <v>20000000000</v>
      </c>
      <c r="AO7" s="464"/>
    </row>
    <row r="8" spans="1:41" ht="52.5" thickBot="1">
      <c r="A8" s="466"/>
      <c r="B8" s="553" t="s">
        <v>698</v>
      </c>
      <c r="C8" s="554"/>
      <c r="D8" s="555">
        <v>62055000</v>
      </c>
      <c r="F8" s="565" t="s">
        <v>765</v>
      </c>
      <c r="G8" s="566" t="s">
        <v>366</v>
      </c>
      <c r="H8" s="567">
        <v>137026000</v>
      </c>
      <c r="I8" s="567">
        <v>137026000</v>
      </c>
      <c r="J8" s="566" t="s">
        <v>366</v>
      </c>
      <c r="K8" s="566" t="s">
        <v>366</v>
      </c>
      <c r="L8" s="569" t="s">
        <v>366</v>
      </c>
      <c r="U8" s="416"/>
      <c r="V8" s="417">
        <v>2400</v>
      </c>
      <c r="W8" s="418"/>
      <c r="X8" s="419">
        <v>48697401</v>
      </c>
      <c r="AF8" s="416"/>
      <c r="AG8" s="417">
        <v>5100</v>
      </c>
      <c r="AH8" s="418"/>
      <c r="AI8" s="419">
        <v>20000000000</v>
      </c>
      <c r="AL8" s="466"/>
      <c r="AM8" s="463" t="s">
        <v>698</v>
      </c>
      <c r="AN8" s="465">
        <v>34198424973</v>
      </c>
      <c r="AO8" s="464"/>
    </row>
    <row r="9" spans="1:41">
      <c r="F9" s="570" t="s">
        <v>766</v>
      </c>
      <c r="G9" s="571" t="s">
        <v>366</v>
      </c>
      <c r="H9" s="572">
        <v>137026000</v>
      </c>
      <c r="I9" s="573"/>
      <c r="J9" s="573"/>
      <c r="K9" s="571" t="s">
        <v>366</v>
      </c>
      <c r="L9" s="574">
        <v>137026000</v>
      </c>
      <c r="U9" s="420"/>
      <c r="V9" s="413" t="s">
        <v>608</v>
      </c>
      <c r="W9" s="414"/>
      <c r="X9" s="415">
        <v>241751798</v>
      </c>
      <c r="AF9" s="466"/>
      <c r="AG9" s="463" t="s">
        <v>608</v>
      </c>
      <c r="AH9" s="465">
        <v>600227873</v>
      </c>
      <c r="AI9" s="465">
        <v>20600227873</v>
      </c>
    </row>
    <row r="10" spans="1:41" ht="24.75" thickBot="1">
      <c r="F10" s="575" t="s">
        <v>615</v>
      </c>
      <c r="G10" s="576" t="s">
        <v>366</v>
      </c>
      <c r="H10" s="577">
        <v>137026000</v>
      </c>
      <c r="I10" s="577">
        <v>137026000</v>
      </c>
      <c r="J10" s="577">
        <v>137026000</v>
      </c>
      <c r="K10" s="576" t="s">
        <v>366</v>
      </c>
      <c r="L10" s="578">
        <v>137026000</v>
      </c>
      <c r="U10" s="420"/>
      <c r="V10" s="413" t="s">
        <v>698</v>
      </c>
      <c r="W10" s="414"/>
      <c r="X10" s="415">
        <v>300801798</v>
      </c>
      <c r="AF10" s="466"/>
      <c r="AG10" s="463" t="s">
        <v>698</v>
      </c>
      <c r="AH10" s="464"/>
      <c r="AI10" s="465">
        <v>40000000000</v>
      </c>
    </row>
    <row r="16" spans="1:41">
      <c r="A16" s="548" t="s">
        <v>757</v>
      </c>
      <c r="B16" s="549"/>
      <c r="C16" s="549"/>
      <c r="D16" s="549"/>
      <c r="F16" s="396" t="s">
        <v>767</v>
      </c>
    </row>
    <row r="17" spans="1:40" ht="15.75">
      <c r="A17" s="550" t="s">
        <v>759</v>
      </c>
      <c r="B17" s="549"/>
      <c r="C17" s="549"/>
      <c r="D17" s="549"/>
      <c r="F17" s="550" t="s">
        <v>759</v>
      </c>
      <c r="G17" s="549"/>
      <c r="H17" s="549"/>
      <c r="I17" s="549"/>
      <c r="N17" s="396" t="s">
        <v>770</v>
      </c>
      <c r="U17" s="548" t="s">
        <v>771</v>
      </c>
      <c r="V17" s="549"/>
      <c r="W17" s="549"/>
      <c r="X17" s="549"/>
      <c r="Z17" s="396" t="s">
        <v>774</v>
      </c>
      <c r="AF17" s="548" t="s">
        <v>775</v>
      </c>
      <c r="AG17" s="549"/>
      <c r="AH17" s="549"/>
      <c r="AI17" s="549"/>
    </row>
    <row r="18" spans="1:40" ht="15.75">
      <c r="A18" s="551" t="s">
        <v>730</v>
      </c>
      <c r="B18" s="551" t="s">
        <v>731</v>
      </c>
      <c r="C18" s="549"/>
      <c r="D18" s="549"/>
      <c r="F18" s="551" t="s">
        <v>730</v>
      </c>
      <c r="G18" s="551" t="s">
        <v>731</v>
      </c>
      <c r="H18" s="549"/>
      <c r="I18" s="549"/>
      <c r="N18" s="550" t="s">
        <v>759</v>
      </c>
      <c r="O18" s="549"/>
      <c r="P18" s="549"/>
      <c r="Q18" s="549"/>
      <c r="U18" s="550" t="s">
        <v>772</v>
      </c>
      <c r="V18" s="549"/>
      <c r="W18" s="549"/>
      <c r="X18" s="549"/>
      <c r="Z18" s="550" t="s">
        <v>772</v>
      </c>
      <c r="AA18" s="549"/>
      <c r="AB18" s="549"/>
      <c r="AC18" s="549"/>
      <c r="AF18" s="550" t="s">
        <v>772</v>
      </c>
      <c r="AG18" s="549"/>
      <c r="AH18" s="549"/>
      <c r="AI18" s="549"/>
      <c r="AK18" s="548" t="s">
        <v>775</v>
      </c>
      <c r="AL18" s="549"/>
      <c r="AM18" s="549"/>
      <c r="AN18" s="549"/>
    </row>
    <row r="19" spans="1:40" ht="24">
      <c r="A19" s="410" t="s">
        <v>360</v>
      </c>
      <c r="B19" s="411" t="s">
        <v>727</v>
      </c>
      <c r="C19" s="411" t="s">
        <v>364</v>
      </c>
      <c r="D19" s="411" t="s">
        <v>365</v>
      </c>
      <c r="F19" s="410" t="s">
        <v>360</v>
      </c>
      <c r="G19" s="411" t="s">
        <v>727</v>
      </c>
      <c r="H19" s="411" t="s">
        <v>364</v>
      </c>
      <c r="I19" s="411" t="s">
        <v>365</v>
      </c>
      <c r="N19" s="551" t="s">
        <v>730</v>
      </c>
      <c r="O19" s="551" t="s">
        <v>731</v>
      </c>
      <c r="P19" s="549"/>
      <c r="Q19" s="549"/>
      <c r="U19" s="551" t="s">
        <v>730</v>
      </c>
      <c r="V19" s="551" t="s">
        <v>731</v>
      </c>
      <c r="W19" s="549"/>
      <c r="X19" s="549"/>
      <c r="Z19" s="551" t="s">
        <v>730</v>
      </c>
      <c r="AA19" s="551" t="s">
        <v>731</v>
      </c>
      <c r="AB19" s="549"/>
      <c r="AC19" s="549"/>
      <c r="AF19" s="551" t="s">
        <v>730</v>
      </c>
      <c r="AG19" s="551" t="s">
        <v>731</v>
      </c>
      <c r="AH19" s="549"/>
      <c r="AI19" s="549"/>
      <c r="AK19" s="550" t="s">
        <v>777</v>
      </c>
      <c r="AL19" s="549"/>
      <c r="AM19" s="549"/>
      <c r="AN19" s="549"/>
    </row>
    <row r="20" spans="1:40" ht="60">
      <c r="A20" s="552">
        <v>5030</v>
      </c>
      <c r="B20" s="553" t="s">
        <v>728</v>
      </c>
      <c r="C20" s="554"/>
      <c r="D20" s="555">
        <v>62055000</v>
      </c>
      <c r="F20" s="552">
        <v>5030</v>
      </c>
      <c r="G20" s="553" t="s">
        <v>728</v>
      </c>
      <c r="H20" s="554"/>
      <c r="I20" s="555">
        <v>137026000</v>
      </c>
      <c r="N20" s="410" t="s">
        <v>360</v>
      </c>
      <c r="O20" s="411" t="s">
        <v>727</v>
      </c>
      <c r="P20" s="411" t="s">
        <v>364</v>
      </c>
      <c r="Q20" s="411" t="s">
        <v>365</v>
      </c>
      <c r="U20" s="410" t="s">
        <v>360</v>
      </c>
      <c r="V20" s="411" t="s">
        <v>727</v>
      </c>
      <c r="W20" s="411" t="s">
        <v>364</v>
      </c>
      <c r="X20" s="411" t="s">
        <v>365</v>
      </c>
      <c r="Z20" s="410" t="s">
        <v>360</v>
      </c>
      <c r="AA20" s="411" t="s">
        <v>727</v>
      </c>
      <c r="AB20" s="411" t="s">
        <v>364</v>
      </c>
      <c r="AC20" s="411" t="s">
        <v>365</v>
      </c>
      <c r="AF20" s="551" t="s">
        <v>732</v>
      </c>
      <c r="AG20" s="551" t="s">
        <v>776</v>
      </c>
      <c r="AH20" s="549"/>
      <c r="AI20" s="549"/>
      <c r="AK20" s="551" t="s">
        <v>730</v>
      </c>
      <c r="AL20" s="551" t="s">
        <v>731</v>
      </c>
      <c r="AM20" s="549"/>
      <c r="AN20" s="549"/>
    </row>
    <row r="21" spans="1:40" ht="36">
      <c r="A21" s="466"/>
      <c r="B21" s="553" t="s">
        <v>608</v>
      </c>
      <c r="C21" s="553"/>
      <c r="D21" s="553"/>
      <c r="F21" s="466"/>
      <c r="G21" s="553" t="s">
        <v>608</v>
      </c>
      <c r="H21" s="553"/>
      <c r="I21" s="553"/>
      <c r="N21" s="552">
        <v>5030</v>
      </c>
      <c r="O21" s="553" t="s">
        <v>728</v>
      </c>
      <c r="P21" s="554"/>
      <c r="Q21" s="617">
        <v>1500000</v>
      </c>
      <c r="U21" s="412">
        <v>5000</v>
      </c>
      <c r="V21" s="413" t="s">
        <v>728</v>
      </c>
      <c r="W21" s="414"/>
      <c r="X21" s="415">
        <v>300801798</v>
      </c>
      <c r="Z21" s="412">
        <v>5000</v>
      </c>
      <c r="AA21" s="413" t="s">
        <v>728</v>
      </c>
      <c r="AB21" s="414"/>
      <c r="AC21" s="443">
        <v>801955000</v>
      </c>
      <c r="AF21" s="410" t="s">
        <v>360</v>
      </c>
      <c r="AG21" s="411" t="s">
        <v>727</v>
      </c>
      <c r="AH21" s="411" t="s">
        <v>364</v>
      </c>
      <c r="AI21" s="411" t="s">
        <v>365</v>
      </c>
      <c r="AK21" s="410" t="s">
        <v>360</v>
      </c>
      <c r="AL21" s="411" t="s">
        <v>727</v>
      </c>
      <c r="AM21" s="411" t="s">
        <v>364</v>
      </c>
      <c r="AN21" s="411" t="s">
        <v>365</v>
      </c>
    </row>
    <row r="22" spans="1:40" ht="48">
      <c r="A22" s="466"/>
      <c r="B22" s="553" t="s">
        <v>698</v>
      </c>
      <c r="C22" s="554"/>
      <c r="D22" s="555">
        <v>62055000</v>
      </c>
      <c r="F22" s="466"/>
      <c r="G22" s="553" t="s">
        <v>698</v>
      </c>
      <c r="H22" s="554"/>
      <c r="I22" s="555">
        <v>137026000</v>
      </c>
      <c r="N22" s="466"/>
      <c r="O22" s="553" t="s">
        <v>608</v>
      </c>
      <c r="P22" s="553"/>
      <c r="Q22" s="553"/>
      <c r="U22" s="420"/>
      <c r="V22" s="413" t="s">
        <v>608</v>
      </c>
      <c r="W22" s="413"/>
      <c r="X22" s="413"/>
      <c r="Z22" s="420"/>
      <c r="AA22" s="413" t="s">
        <v>608</v>
      </c>
      <c r="AB22" s="413"/>
      <c r="AC22" s="413"/>
      <c r="AF22" s="462">
        <v>5000</v>
      </c>
      <c r="AG22" s="463" t="s">
        <v>728</v>
      </c>
      <c r="AH22" s="464"/>
      <c r="AI22" s="465">
        <v>40000000000</v>
      </c>
      <c r="AK22" s="462">
        <v>5100</v>
      </c>
      <c r="AL22" s="463" t="s">
        <v>728</v>
      </c>
      <c r="AM22" s="465">
        <v>34198424973</v>
      </c>
      <c r="AN22" s="464"/>
    </row>
    <row r="23" spans="1:40" ht="24">
      <c r="N23" s="466"/>
      <c r="O23" s="553" t="s">
        <v>698</v>
      </c>
      <c r="P23" s="554"/>
      <c r="Q23" s="617">
        <v>1500000</v>
      </c>
      <c r="U23" s="420"/>
      <c r="V23" s="413" t="s">
        <v>698</v>
      </c>
      <c r="W23" s="414"/>
      <c r="X23" s="415">
        <v>300801798</v>
      </c>
      <c r="Z23" s="420"/>
      <c r="AA23" s="413" t="s">
        <v>698</v>
      </c>
      <c r="AB23" s="414"/>
      <c r="AC23" s="443">
        <v>801955000</v>
      </c>
      <c r="AF23" s="416"/>
      <c r="AG23" s="417">
        <v>5100</v>
      </c>
      <c r="AH23" s="419">
        <v>3000000000</v>
      </c>
      <c r="AI23" s="419">
        <v>3000000000</v>
      </c>
      <c r="AK23" s="416"/>
      <c r="AL23" s="417">
        <v>5000</v>
      </c>
      <c r="AM23" s="419">
        <v>3000000000</v>
      </c>
      <c r="AN23" s="419">
        <v>3000000000</v>
      </c>
    </row>
    <row r="24" spans="1:40">
      <c r="U24" s="549"/>
      <c r="V24" s="549"/>
      <c r="W24" s="549"/>
      <c r="X24" s="549"/>
      <c r="AF24" s="466"/>
      <c r="AG24" s="463" t="s">
        <v>608</v>
      </c>
      <c r="AH24" s="465">
        <v>3000000000</v>
      </c>
      <c r="AI24" s="465">
        <v>3000000000</v>
      </c>
      <c r="AK24" s="466"/>
      <c r="AL24" s="463" t="s">
        <v>608</v>
      </c>
      <c r="AM24" s="465">
        <v>3000000000</v>
      </c>
      <c r="AN24" s="465">
        <v>3000000000</v>
      </c>
    </row>
    <row r="25" spans="1:40" ht="24">
      <c r="AF25" s="466"/>
      <c r="AG25" s="463" t="s">
        <v>698</v>
      </c>
      <c r="AH25" s="464"/>
      <c r="AI25" s="465">
        <v>40000000000</v>
      </c>
      <c r="AK25" s="466"/>
      <c r="AL25" s="463" t="s">
        <v>698</v>
      </c>
      <c r="AM25" s="465">
        <v>34198424973</v>
      </c>
      <c r="AN25" s="464"/>
    </row>
    <row r="26" spans="1:40">
      <c r="AF26" s="549"/>
      <c r="AG26" s="549"/>
      <c r="AH26" s="549"/>
      <c r="AI26" s="549"/>
    </row>
  </sheetData>
  <mergeCells count="1">
    <mergeCell ref="F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4</vt:i4>
      </vt:variant>
    </vt:vector>
  </HeadingPairs>
  <TitlesOfParts>
    <vt:vector size="36" baseType="lpstr">
      <vt:lpstr>Индекс</vt:lpstr>
      <vt:lpstr>Реквизиты</vt:lpstr>
      <vt:lpstr>ФО.1</vt:lpstr>
      <vt:lpstr>ФО.2</vt:lpstr>
      <vt:lpstr>ФО.3_П</vt:lpstr>
      <vt:lpstr>ФО.4</vt:lpstr>
      <vt:lpstr>ФА</vt:lpstr>
      <vt:lpstr>Д и К</vt:lpstr>
      <vt:lpstr>СК</vt:lpstr>
      <vt:lpstr>ОСВ.1</vt:lpstr>
      <vt:lpstr>ОСВ.2</vt:lpstr>
      <vt:lpstr>ОСВ.3</vt:lpstr>
      <vt:lpstr>ОСВ.4</vt:lpstr>
      <vt:lpstr>ОСВ.5</vt:lpstr>
      <vt:lpstr>ОСВ.6</vt:lpstr>
      <vt:lpstr>Лист1</vt:lpstr>
      <vt:lpstr>ОПИУ.1</vt:lpstr>
      <vt:lpstr>ОПИУ.2</vt:lpstr>
      <vt:lpstr>ОПИУ.3</vt:lpstr>
      <vt:lpstr>ОПИУ.4</vt:lpstr>
      <vt:lpstr>ОПИУ.5</vt:lpstr>
      <vt:lpstr>ОПИУ.6</vt:lpstr>
      <vt:lpstr>ДДС.1</vt:lpstr>
      <vt:lpstr>ДДС.2</vt:lpstr>
      <vt:lpstr>Справочник</vt:lpstr>
      <vt:lpstr>1240</vt:lpstr>
      <vt:lpstr>12.ИИ</vt:lpstr>
      <vt:lpstr>13.ОС</vt:lpstr>
      <vt:lpstr>ДДС.3</vt:lpstr>
      <vt:lpstr>ДДС.4</vt:lpstr>
      <vt:lpstr>ДДС.5</vt:lpstr>
      <vt:lpstr>ДДС.6</vt:lpstr>
      <vt:lpstr>ФО.1!Область_печати</vt:lpstr>
      <vt:lpstr>ФО.2!Область_печати</vt:lpstr>
      <vt:lpstr>ФО.3_П!Область_печати</vt:lpstr>
      <vt:lpstr>ФО.4!Область_печати</vt:lpstr>
    </vt:vector>
  </TitlesOfParts>
  <Company>CG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Mukanov</dc:creator>
  <cp:lastModifiedBy>Designer</cp:lastModifiedBy>
  <cp:lastPrinted>2013-12-23T06:14:24Z</cp:lastPrinted>
  <dcterms:created xsi:type="dcterms:W3CDTF">2011-08-23T03:32:22Z</dcterms:created>
  <dcterms:modified xsi:type="dcterms:W3CDTF">2013-12-24T08:32:47Z</dcterms:modified>
</cp:coreProperties>
</file>