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ин. полож" sheetId="1" r:id="rId1"/>
    <sheet name="капитал" sheetId="2" r:id="rId2"/>
    <sheet name="ДД" sheetId="3" r:id="rId3"/>
    <sheet name="СГД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D7" i="4"/>
  <c r="C26" i="3"/>
  <c r="D35"/>
  <c r="D38" s="1"/>
  <c r="P17" i="4" l="1"/>
  <c r="Q17" s="1"/>
  <c r="P18"/>
  <c r="P19"/>
  <c r="P20"/>
  <c r="Q20" s="1"/>
  <c r="P21"/>
  <c r="Q21" s="1"/>
  <c r="P22"/>
  <c r="Q22" s="1"/>
  <c r="P23"/>
  <c r="P24"/>
  <c r="Q24" s="1"/>
  <c r="P25"/>
  <c r="Q25" s="1"/>
  <c r="P26"/>
  <c r="Q26" s="1"/>
  <c r="P27"/>
  <c r="P28"/>
  <c r="Q28" s="1"/>
  <c r="P11"/>
  <c r="Q11" s="1"/>
  <c r="P12"/>
  <c r="Q12" s="1"/>
  <c r="P13"/>
  <c r="P14"/>
  <c r="Q14" s="1"/>
  <c r="P15"/>
  <c r="P16"/>
  <c r="Q16" s="1"/>
  <c r="C18"/>
  <c r="C13"/>
  <c r="C25" i="1"/>
  <c r="C17"/>
  <c r="Q13" i="4" l="1"/>
  <c r="Q18"/>
  <c r="C18" i="1" l="1"/>
  <c r="C26"/>
  <c r="C27"/>
  <c r="C11"/>
  <c r="C20" l="1"/>
  <c r="D32" i="3" l="1"/>
  <c r="D27"/>
  <c r="D20"/>
  <c r="D18"/>
  <c r="D25"/>
  <c r="D15" i="4"/>
  <c r="D19" s="1"/>
  <c r="D23" s="1"/>
  <c r="D27" s="1"/>
  <c r="D29" s="1"/>
  <c r="D7" i="3" l="1"/>
  <c r="D30"/>
  <c r="C40" i="1"/>
  <c r="C38"/>
  <c r="C36" s="1"/>
  <c r="D27"/>
  <c r="D18"/>
  <c r="D36"/>
  <c r="C7" i="4"/>
  <c r="A33"/>
  <c r="A44" i="3"/>
  <c r="A28" i="2"/>
  <c r="D40" i="3" l="1"/>
  <c r="C24"/>
  <c r="C21"/>
  <c r="D20" i="2" l="1"/>
  <c r="E20" s="1"/>
  <c r="C15" i="4" l="1"/>
  <c r="C19" l="1"/>
  <c r="Q15"/>
  <c r="E17" i="2"/>
  <c r="E10"/>
  <c r="D17"/>
  <c r="E12"/>
  <c r="C17"/>
  <c r="B17"/>
  <c r="E14"/>
  <c r="E13"/>
  <c r="E11"/>
  <c r="D33" i="1"/>
  <c r="D41" s="1"/>
  <c r="D26"/>
  <c r="D25"/>
  <c r="D17"/>
  <c r="D12"/>
  <c r="C22" i="3" s="1"/>
  <c r="D11" i="1"/>
  <c r="C23" i="4" l="1"/>
  <c r="Q19"/>
  <c r="D30" i="1"/>
  <c r="D43" s="1"/>
  <c r="D20"/>
  <c r="C39" i="3"/>
  <c r="C31"/>
  <c r="C35"/>
  <c r="A2" i="4"/>
  <c r="A2" i="3"/>
  <c r="Q23" i="4" l="1"/>
  <c r="C8" i="3"/>
  <c r="C27" i="4"/>
  <c r="E21" i="2"/>
  <c r="A27"/>
  <c r="A4"/>
  <c r="C23"/>
  <c r="E22"/>
  <c r="E19"/>
  <c r="E18"/>
  <c r="E16"/>
  <c r="A3"/>
  <c r="C29" i="4" l="1"/>
  <c r="Q27"/>
  <c r="B23" i="2"/>
  <c r="D23"/>
  <c r="E23" l="1"/>
  <c r="C33" i="1"/>
  <c r="C41" s="1"/>
  <c r="A32" i="4" l="1"/>
  <c r="A43" i="3"/>
  <c r="C18" l="1"/>
  <c r="A3" i="4" l="1"/>
  <c r="A3" i="3"/>
  <c r="C32"/>
  <c r="C30" i="1"/>
  <c r="C20" i="3"/>
  <c r="C29" l="1"/>
  <c r="C27" s="1"/>
  <c r="C30" s="1"/>
  <c r="C7" s="1"/>
  <c r="C38" s="1"/>
  <c r="C43" i="1"/>
  <c r="C40" i="3" l="1"/>
</calcChain>
</file>

<file path=xl/sharedStrings.xml><?xml version="1.0" encoding="utf-8"?>
<sst xmlns="http://schemas.openxmlformats.org/spreadsheetml/2006/main" count="139" uniqueCount="106">
  <si>
    <t>Приме-чания</t>
  </si>
  <si>
    <t>закончившийся</t>
  </si>
  <si>
    <t>Комиссионный доход</t>
  </si>
  <si>
    <t>Комиссионный расход</t>
  </si>
  <si>
    <t>Процентный доход</t>
  </si>
  <si>
    <t>Чистая прибыль по операциям с финансовыми активами, отражаемыми по справедливой стоимости через прибыль или убыток</t>
  </si>
  <si>
    <t>Прочие доходы</t>
  </si>
  <si>
    <t>ОПЕРАЦИОННЫЕ ДОХОДЫ</t>
  </si>
  <si>
    <t>ОПЕРАЦИОННЫЕ РАСХОДЫ</t>
  </si>
  <si>
    <t>Чистый операционный убыток</t>
  </si>
  <si>
    <t>Формирование резерва под обесценение по прочим операциям</t>
  </si>
  <si>
    <t>УБЫТОК ДО НАЛОГООБЛОЖЕНИЯ</t>
  </si>
  <si>
    <t>ЧИСТЫЙ УБЫТОК</t>
  </si>
  <si>
    <t>ИТОГО СОВОКУПНЫЙ УБЫТОК</t>
  </si>
  <si>
    <t>_________________________</t>
  </si>
  <si>
    <t>Королева О.В.</t>
  </si>
  <si>
    <t>Главный бухгалтер</t>
  </si>
  <si>
    <t>ОТЧЕТ О СОВОКУПНОМ ГОДОВОМ ДОХОДЕ</t>
  </si>
  <si>
    <t>Примечания</t>
  </si>
  <si>
    <t>Период</t>
  </si>
  <si>
    <t>(в тысячах казахстанских тенге)</t>
  </si>
  <si>
    <t>в том числе:</t>
  </si>
  <si>
    <t>Прочие расходы</t>
  </si>
  <si>
    <t>Корпоративный подоходный налог</t>
  </si>
  <si>
    <t xml:space="preserve">31 декабря </t>
  </si>
  <si>
    <t>АКТИВЫ:</t>
  </si>
  <si>
    <t>Денежные средства и их эквиваленты</t>
  </si>
  <si>
    <t>Финансовые активы, отражаемые по справедливой  стоимости через прибыль или убыток</t>
  </si>
  <si>
    <t>Соглашения обратного РЕПО</t>
  </si>
  <si>
    <t>Комиссии к получению</t>
  </si>
  <si>
    <t>Основные средства и нематериальные активы</t>
  </si>
  <si>
    <t>Прочие активы</t>
  </si>
  <si>
    <t>ИТОГО АКТИВЫ</t>
  </si>
  <si>
    <t>ОБЯЗАТЕЛЬСТВА И КАПИТАЛ</t>
  </si>
  <si>
    <t>ОБЯЗАТЕЛЬСТВА:</t>
  </si>
  <si>
    <t>Кредиторская задолженность по отрицательному комиссионному вознаграждению</t>
  </si>
  <si>
    <t>Прочие обязательства</t>
  </si>
  <si>
    <t>Итого обязательства</t>
  </si>
  <si>
    <t>КАПИТАЛ:</t>
  </si>
  <si>
    <t>Уставный капитал</t>
  </si>
  <si>
    <t>Итого капитал</t>
  </si>
  <si>
    <t>ИТОГО ОБЯЗАТЕЛЬСТВА И КАПИТАЛ</t>
  </si>
  <si>
    <t>ОТЧЕТ О ФИНАНСОВОМ ПОЛОЖЕНИИ</t>
  </si>
  <si>
    <t>Вклады размещенные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</si>
  <si>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</si>
  <si>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</si>
  <si>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Кредиторская задолженность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</si>
  <si>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</si>
  <si>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</si>
  <si>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</si>
  <si>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 xml:space="preserve">Непокрытый убыток </t>
  </si>
  <si>
    <t>Итого</t>
  </si>
  <si>
    <t>капитал</t>
  </si>
  <si>
    <t>Выпуск простых акций</t>
  </si>
  <si>
    <t>ДВИЖЕНИЕ ДЕНЕЖНЫХ СРЕДСТВ ОТ ОПЕРАЦИОННОЙ ДЕЯТЕЛЬНОСТИ:</t>
  </si>
  <si>
    <t>Корректировки:</t>
  </si>
  <si>
    <t>Расходы по износу и амортизации</t>
  </si>
  <si>
    <t>Чистое изменение справедливой стоимости</t>
  </si>
  <si>
    <t>финансовых активов, отражаемых по справедливой стоимости через прибыль или убыток</t>
  </si>
  <si>
    <t>Формирование резерва по неиспользованным отпускам</t>
  </si>
  <si>
    <t>Уменьшение комиссионного дохода вследствие инвестиционного убытка</t>
  </si>
  <si>
    <t>Чистое изменение в начисленных процентах</t>
  </si>
  <si>
    <t>Чистый убыток от выбытия основных средств и нематериальных активов</t>
  </si>
  <si>
    <t>Отток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</si>
  <si>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</si>
  <si>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</si>
  <si>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Финансовые активы, отражаемые по справедливой стоимости через прибыль или убыток</t>
  </si>
  <si>
    <t>(Уменьшение)/увеличение операционных обязательств:</t>
  </si>
  <si>
    <t xml:space="preserve">Комиссии к уплате </t>
  </si>
  <si>
    <t>Чистый отток денежных средств от операционной деятельности</t>
  </si>
  <si>
    <t>ДВИЖЕНИЕ ДЕНЕЖНЫХ СРЕДСТВ ОТ ИНВЕСТИЦИОННОЙ ДЕЯТЕЛЬНОСТИ:</t>
  </si>
  <si>
    <t>Приобретение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</si>
  <si>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</si>
  <si>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 ФИНАНСОВОЙ ДЕЯТЕЛЬНОСТИ:</t>
  </si>
  <si>
    <t>Чистый приток денежных средств от финансовой деятельности</t>
  </si>
  <si>
    <t>ЧИСТОЕ УВЕЛИЧЕНИЕ/(УМЕНЬШЕНИЕ) ДЕНЕЖНЫХ СРЕДСТВ и их эквивалентов</t>
  </si>
  <si>
    <t>ОТЧЕТ О ДВИЖЕНИИ ДЕНЕЖНЫХ СРЕДСТВ</t>
  </si>
  <si>
    <t>ОТЧЕТ ОБ ИЗМЕНЕНИЯХ КАПИТАЛА</t>
  </si>
  <si>
    <t>Период , закончившийся</t>
  </si>
  <si>
    <t>Операция "Обратное РЕПО"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</si>
  <si>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</si>
  <si>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</si>
  <si>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Балансовая стоимость акции</t>
  </si>
  <si>
    <t>Ценные бумаги, удерживаемые до погашения (за вычетом резервов на обесценение)</t>
  </si>
  <si>
    <t>На конец отчетного периода</t>
  </si>
  <si>
    <t>На конец предыдущего отчетного периода</t>
  </si>
  <si>
    <t>Корпоративный подоходный налог (удерживаемый у источника выплаты)</t>
  </si>
  <si>
    <t>31 декабря 2013 года</t>
  </si>
  <si>
    <t>Совокупный доход</t>
  </si>
  <si>
    <t>Прибыль/Убыток до налогообложения</t>
  </si>
  <si>
    <t>Королева О. В.</t>
  </si>
  <si>
    <t>2014 года</t>
  </si>
  <si>
    <t>31 декабря 2014 года</t>
  </si>
  <si>
    <t xml:space="preserve"> простые акции</t>
  </si>
  <si>
    <t>Выкуп собственных акций</t>
  </si>
  <si>
    <t>Нераспределенная прибыль (непокрытый убыток) отчетного года</t>
  </si>
  <si>
    <t>АО "УК "РЕСПУБЛИКА"</t>
  </si>
  <si>
    <t>2015 года</t>
  </si>
  <si>
    <t xml:space="preserve"> собственные выукупленные акции</t>
  </si>
  <si>
    <t>Бабенов Б.Б.</t>
  </si>
  <si>
    <t>Председатель Правления</t>
  </si>
  <si>
    <t>ПО СОСТОЯНИЮ НА 01 ЯНВАРЯ 2016 ГОДА</t>
  </si>
  <si>
    <t>31 декабря</t>
  </si>
  <si>
    <t>31 декабря 2015 года</t>
  </si>
  <si>
    <t>31 декабря 2015 г</t>
  </si>
  <si>
    <t>31 декабря 2014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</si>
</sst>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3" fontId="0" fillId="0" borderId="0" xfId="0" applyNumberFormat="1"/>
    <xf numFmtId="3" fontId="6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/>
    <xf numFmtId="3" fontId="9" fillId="0" borderId="3" xfId="0" applyNumberFormat="1" applyFont="1" applyBorder="1" applyAlignment="1">
      <alignment wrapText="1"/>
    </xf>
    <xf numFmtId="0" fontId="14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ill="1"/>
    <xf numFmtId="3" fontId="5" fillId="0" borderId="1" xfId="1" applyNumberFormat="1" applyFont="1" applyFill="1" applyBorder="1" applyAlignment="1">
      <alignment horizontal="center" vertical="top" wrapText="1"/>
    </xf>
    <xf numFmtId="3" fontId="5" fillId="0" borderId="3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Fill="1"/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3" fontId="5" fillId="0" borderId="6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top" wrapText="1"/>
    </xf>
    <xf numFmtId="3" fontId="5" fillId="0" borderId="7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3" fontId="2" fillId="0" borderId="0" xfId="0" applyNumberFormat="1" applyFont="1" applyFill="1"/>
    <xf numFmtId="3" fontId="3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0" xfId="0" applyFont="1" applyFill="1"/>
    <xf numFmtId="3" fontId="0" fillId="0" borderId="0" xfId="1" applyNumberFormat="1" applyFont="1" applyFill="1"/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2" fillId="0" borderId="0" xfId="0" applyNumberFormat="1" applyFont="1"/>
    <xf numFmtId="0" fontId="0" fillId="2" borderId="0" xfId="0" applyFill="1"/>
    <xf numFmtId="0" fontId="0" fillId="2" borderId="0" xfId="0" applyFill="1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</cellXfs>
  <cellStyles count="3">
    <cellStyle name="Обычный" xfId="0" builtinId="0"/>
    <cellStyle name="Обычный 2 6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77;&#1087;&#1072;&#1088;&#1090;&#1072;&#1084;&#1077;&#1085;&#1090;%20&#1073;&#1091;&#1093;&#1075;&#1072;&#1083;&#1090;&#1077;&#1088;&#1089;&#1082;&#1086;&#1075;&#1086;%20&#1091;&#1095;&#1077;&#1090;&#1072;%20&#1080;%20&#1086;&#1090;&#1095;&#1077;&#1090;&#1085;&#1086;&#1089;&#1090;&#1080;\2014%20&#1075;&#1086;&#1076;%20&#1092;&#1080;&#1085;&#1086;&#1090;&#1095;&#1077;&#1090;&#1085;&#1086;&#1089;&#1090;&#1100;\&#1060;&#1080;&#1085;&#1072;&#1085;&#1089;&#1086;&#1074;&#1072;&#1103;%20&#1086;&#1090;&#1095;&#1077;&#1090;&#1085;&#1086;&#1089;&#1090;&#1100;%20&#1079;&#1072;%202014%20&#1075;&#1086;&#1076;\&#1060;&#1080;&#1085;&#1072;&#1085;&#1089;&#1086;&#1074;&#1072;&#1103;%20&#1086;&#1090;&#1095;&#1077;&#1090;&#1085;&#1086;&#1089;&#1090;&#1100;%20&#1087;&#1086;%20&#1052;&#1057;&#1060;&#1054;%20&#1075;&#1086;&#1076;%202014%20&#1087;&#1088;&#1077;&#107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%20&#1089;%20&#1088;&#1072;&#1073;&#1086;&#1095;&#1077;&#1075;&#1086;%20&#1089;&#1090;&#1086;&#1083;&#1072;\2%20&#1082;&#1074;&#1072;&#1088;&#1090;&#1072;&#1083;%202014u\&#1060;&#1080;&#1085;&#1072;&#1085;&#1089;&#1086;&#1074;&#1072;&#1103;%20&#1086;&#1090;&#1095;&#1077;&#1090;&#1085;&#1086;&#1089;&#1090;&#1100;%20&#1087;&#1086;%20&#1052;&#1057;&#1060;&#1054;%202%20&#1082;&#1074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лож"/>
      <sheetName val="капитал"/>
      <sheetName val="ДД"/>
      <sheetName val="СГД"/>
    </sheetNames>
    <sheetDataSet>
      <sheetData sheetId="0">
        <row r="2">
          <cell r="A2" t="str">
            <v>АО "УК "РЕСПУБЛИКА"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лож"/>
      <sheetName val="капитал"/>
      <sheetName val="ДД"/>
      <sheetName val="СГД"/>
      <sheetName val="Фин. полож (2)"/>
      <sheetName val="11 год баланс"/>
    </sheetNames>
    <sheetDataSet>
      <sheetData sheetId="0">
        <row r="16">
          <cell r="D16">
            <v>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topLeftCell="A31" workbookViewId="0">
      <selection activeCell="C50" sqref="C50"/>
    </sheetView>
  </sheetViews>
  <sheetFormatPr defaultRowHeight="15"/>
  <cols>
    <col min="1" max="1" width="66.5703125" style="8" customWidth="1"/>
    <col min="2" max="2" width="6.85546875" bestFit="1" customWidth="1"/>
    <col min="3" max="3" width="13" style="21" customWidth="1"/>
    <col min="4" max="4" width="13" style="36" customWidth="1"/>
  </cols>
  <sheetData>
    <row r="1" spans="1:7">
      <c r="A1" s="80" t="s">
        <v>42</v>
      </c>
      <c r="B1" s="80"/>
      <c r="C1" s="80"/>
      <c r="D1" s="80"/>
    </row>
    <row r="2" spans="1:7">
      <c r="A2" s="80" t="s">
        <v>96</v>
      </c>
      <c r="B2" s="80"/>
      <c r="C2" s="80"/>
      <c r="D2" s="80"/>
    </row>
    <row r="3" spans="1:7">
      <c r="A3" s="81" t="s">
        <v>101</v>
      </c>
      <c r="B3" s="81"/>
      <c r="C3" s="81"/>
      <c r="D3" s="81"/>
    </row>
    <row r="4" spans="1:7">
      <c r="A4" s="79" t="s">
        <v>20</v>
      </c>
      <c r="B4" s="79"/>
      <c r="C4" s="79"/>
    </row>
    <row r="5" spans="1:7">
      <c r="A5" s="7"/>
      <c r="B5" s="6"/>
      <c r="C5" s="72"/>
    </row>
    <row r="6" spans="1:7">
      <c r="A6" s="7"/>
      <c r="B6" s="6"/>
      <c r="C6" s="72"/>
    </row>
    <row r="7" spans="1:7" ht="51">
      <c r="A7" s="77"/>
      <c r="B7" s="78" t="s">
        <v>0</v>
      </c>
      <c r="C7" s="64" t="s">
        <v>84</v>
      </c>
      <c r="D7" s="64" t="s">
        <v>85</v>
      </c>
    </row>
    <row r="8" spans="1:7">
      <c r="A8" s="77"/>
      <c r="B8" s="78"/>
      <c r="C8" s="64" t="s">
        <v>102</v>
      </c>
      <c r="D8" s="64" t="s">
        <v>24</v>
      </c>
    </row>
    <row r="9" spans="1:7">
      <c r="A9" s="77"/>
      <c r="B9" s="78"/>
      <c r="C9" s="65" t="s">
        <v>97</v>
      </c>
      <c r="D9" s="65" t="s">
        <v>91</v>
      </c>
    </row>
    <row r="10" spans="1:7">
      <c r="A10" s="4" t="s">
        <v>25</v>
      </c>
      <c r="B10" s="16"/>
      <c r="C10" s="66"/>
      <c r="D10" s="66"/>
    </row>
    <row r="11" spans="1:7">
      <c r="A11" s="3" t="s">
        <v>26</v>
      </c>
      <c r="B11" s="17">
        <v>3</v>
      </c>
      <c r="C11" s="27">
        <f>35593+643+81202</f>
        <v>117438</v>
      </c>
      <c r="D11" s="27">
        <f>19+5130+40969</f>
        <v>46118</v>
      </c>
      <c r="E11" s="9"/>
    </row>
    <row r="12" spans="1:7">
      <c r="A12" s="3" t="s">
        <v>43</v>
      </c>
      <c r="B12" s="17">
        <v>4</v>
      </c>
      <c r="C12" s="27"/>
      <c r="D12" s="27">
        <f>54000+14855</f>
        <v>68855</v>
      </c>
      <c r="E12" s="9"/>
    </row>
    <row r="13" spans="1:7" ht="26.25">
      <c r="A13" s="3" t="s">
        <v>27</v>
      </c>
      <c r="B13" s="17">
        <v>4</v>
      </c>
      <c r="C13" s="27">
        <v>1968574</v>
      </c>
      <c r="D13" s="27">
        <v>2110255</v>
      </c>
      <c r="E13" s="9"/>
      <c r="F13" s="9"/>
    </row>
    <row r="14" spans="1:7" ht="26.25">
      <c r="A14" s="3" t="s">
        <v>83</v>
      </c>
      <c r="B14" s="17">
        <v>4</v>
      </c>
      <c r="C14" s="27">
        <v>247697</v>
      </c>
      <c r="D14" s="27">
        <v>247711</v>
      </c>
      <c r="E14" s="9"/>
      <c r="F14" s="9"/>
      <c r="G14" s="9"/>
    </row>
    <row r="15" spans="1:7">
      <c r="A15" s="3" t="s">
        <v>28</v>
      </c>
      <c r="B15" s="17">
        <v>4</v>
      </c>
      <c r="C15" s="27"/>
      <c r="D15" s="27"/>
      <c r="E15" s="9"/>
    </row>
    <row r="16" spans="1:7">
      <c r="A16" s="3" t="s">
        <v>29</v>
      </c>
      <c r="B16" s="17"/>
      <c r="C16" s="27"/>
      <c r="D16" s="27"/>
      <c r="E16" s="9"/>
    </row>
    <row r="17" spans="1:5">
      <c r="A17" s="3" t="s">
        <v>30</v>
      </c>
      <c r="B17" s="17">
        <v>5</v>
      </c>
      <c r="C17" s="27">
        <f>46270-37322+13434</f>
        <v>22382</v>
      </c>
      <c r="D17" s="27">
        <f>19920+16241-1805</f>
        <v>34356</v>
      </c>
      <c r="E17" s="9"/>
    </row>
    <row r="18" spans="1:5">
      <c r="A18" s="3" t="s">
        <v>31</v>
      </c>
      <c r="B18" s="17">
        <v>6</v>
      </c>
      <c r="C18" s="67">
        <f>201641+1640+8584+-3619+113+74+82894+9</f>
        <v>291336</v>
      </c>
      <c r="D18" s="27">
        <f>42+139627+355+20031-3619+155+74+3265+22+1805-1</f>
        <v>161756</v>
      </c>
      <c r="E18" s="9"/>
    </row>
    <row r="19" spans="1:5">
      <c r="A19" s="3"/>
      <c r="B19" s="18"/>
      <c r="C19" s="67"/>
      <c r="D19" s="67"/>
      <c r="E19" s="9"/>
    </row>
    <row r="20" spans="1:5" s="5" customFormat="1">
      <c r="A20" s="4" t="s">
        <v>32</v>
      </c>
      <c r="B20" s="18"/>
      <c r="C20" s="31">
        <f>C11+C12+C13+C15+C16+C17+C18+C14</f>
        <v>2647427</v>
      </c>
      <c r="D20" s="31">
        <f>D11+D12+D13+D15+D16+D17+D18+D14</f>
        <v>2669051</v>
      </c>
      <c r="E20" s="9"/>
    </row>
    <row r="21" spans="1:5">
      <c r="A21" s="3"/>
      <c r="B21" s="18"/>
      <c r="C21" s="27"/>
      <c r="D21" s="27"/>
      <c r="E21" s="9"/>
    </row>
    <row r="22" spans="1:5">
      <c r="A22" s="4" t="s">
        <v>33</v>
      </c>
      <c r="B22" s="18"/>
      <c r="C22" s="67"/>
      <c r="D22" s="67"/>
      <c r="E22" s="9"/>
    </row>
    <row r="23" spans="1:5">
      <c r="A23" s="3" t="s">
        <v>34</v>
      </c>
      <c r="B23" s="18"/>
      <c r="C23" s="67"/>
      <c r="D23" s="67"/>
      <c r="E23" s="9"/>
    </row>
    <row r="24" spans="1:5" ht="26.25">
      <c r="A24" s="3" t="s">
        <v>35</v>
      </c>
      <c r="B24" s="17"/>
      <c r="C24" s="27"/>
      <c r="D24" s="27"/>
      <c r="E24" s="9"/>
    </row>
    <row r="25" spans="1:5">
      <c r="A25" s="3" t="s">
        <v>46</v>
      </c>
      <c r="B25" s="17">
        <v>7</v>
      </c>
      <c r="C25" s="27">
        <f>1676+1600+268</f>
        <v>3544</v>
      </c>
      <c r="D25" s="27">
        <f>1804+268</f>
        <v>2072</v>
      </c>
      <c r="E25" s="9"/>
    </row>
    <row r="26" spans="1:5">
      <c r="A26" s="3" t="s">
        <v>44</v>
      </c>
      <c r="B26" s="17">
        <v>7</v>
      </c>
      <c r="C26" s="27">
        <f>20+2658+7958</f>
        <v>10636</v>
      </c>
      <c r="D26" s="27">
        <f>247+20+2658</f>
        <v>2925</v>
      </c>
      <c r="E26" s="9"/>
    </row>
    <row r="27" spans="1:5" ht="26.25">
      <c r="A27" s="3" t="s">
        <v>45</v>
      </c>
      <c r="B27" s="17">
        <v>7</v>
      </c>
      <c r="C27" s="27">
        <f>1672+987</f>
        <v>2659</v>
      </c>
      <c r="D27" s="27">
        <f>3492+666</f>
        <v>4158</v>
      </c>
      <c r="E27" s="9"/>
    </row>
    <row r="28" spans="1:5">
      <c r="A28" s="3" t="s">
        <v>36</v>
      </c>
      <c r="B28" s="17"/>
      <c r="C28" s="27"/>
      <c r="D28" s="27">
        <v>5829</v>
      </c>
      <c r="E28" s="9"/>
    </row>
    <row r="29" spans="1:5">
      <c r="A29" s="3"/>
      <c r="B29" s="18"/>
      <c r="C29" s="67"/>
      <c r="D29" s="67"/>
      <c r="E29" s="9"/>
    </row>
    <row r="30" spans="1:5" s="5" customFormat="1">
      <c r="A30" s="4" t="s">
        <v>37</v>
      </c>
      <c r="B30" s="18"/>
      <c r="C30" s="31">
        <f>C26+C27+C28+C25+C24</f>
        <v>16839</v>
      </c>
      <c r="D30" s="31">
        <f>D26+D27+D28+D25+D24</f>
        <v>14984</v>
      </c>
      <c r="E30" s="9"/>
    </row>
    <row r="31" spans="1:5">
      <c r="A31" s="3"/>
      <c r="B31" s="18"/>
      <c r="C31" s="27"/>
      <c r="D31" s="27"/>
      <c r="E31" s="9"/>
    </row>
    <row r="32" spans="1:5">
      <c r="A32" s="3" t="s">
        <v>38</v>
      </c>
      <c r="B32" s="18"/>
      <c r="C32" s="67"/>
      <c r="D32" s="67"/>
      <c r="E32" s="9"/>
    </row>
    <row r="33" spans="1:6" s="5" customFormat="1">
      <c r="A33" s="62" t="s">
        <v>39</v>
      </c>
      <c r="B33" s="68">
        <v>12</v>
      </c>
      <c r="C33" s="31">
        <f>SUM(C35:C35)</f>
        <v>4155000</v>
      </c>
      <c r="D33" s="31">
        <f>SUM(D35:D35)</f>
        <v>4155000</v>
      </c>
      <c r="E33" s="9"/>
    </row>
    <row r="34" spans="1:6">
      <c r="A34" s="3" t="s">
        <v>21</v>
      </c>
      <c r="B34" s="17"/>
      <c r="C34" s="31"/>
      <c r="D34" s="31"/>
      <c r="E34" s="9"/>
    </row>
    <row r="35" spans="1:6">
      <c r="A35" s="3" t="s">
        <v>93</v>
      </c>
      <c r="B35" s="17"/>
      <c r="C35" s="27">
        <v>4155000</v>
      </c>
      <c r="D35" s="27">
        <v>4155000</v>
      </c>
      <c r="E35" s="9"/>
    </row>
    <row r="36" spans="1:6" s="5" customFormat="1">
      <c r="A36" s="4" t="s">
        <v>47</v>
      </c>
      <c r="B36" s="17"/>
      <c r="C36" s="31">
        <f>C38+C39+C40</f>
        <v>-1524412</v>
      </c>
      <c r="D36" s="31">
        <f>D38+D39+D40</f>
        <v>-1500933</v>
      </c>
      <c r="E36" s="9"/>
    </row>
    <row r="37" spans="1:6">
      <c r="A37" s="3" t="s">
        <v>21</v>
      </c>
      <c r="B37" s="17"/>
      <c r="C37" s="27"/>
      <c r="D37" s="27"/>
      <c r="E37" s="9"/>
    </row>
    <row r="38" spans="1:6">
      <c r="A38" s="3" t="s">
        <v>48</v>
      </c>
      <c r="B38" s="17">
        <v>12</v>
      </c>
      <c r="C38" s="36">
        <f>D39+D38</f>
        <v>-1490587</v>
      </c>
      <c r="D38" s="27">
        <v>-1471790</v>
      </c>
      <c r="E38" s="9"/>
    </row>
    <row r="39" spans="1:6">
      <c r="A39" s="3" t="s">
        <v>49</v>
      </c>
      <c r="B39" s="17">
        <v>12</v>
      </c>
      <c r="C39" s="27">
        <v>-23479</v>
      </c>
      <c r="D39" s="27">
        <v>-18797</v>
      </c>
      <c r="E39" s="9"/>
      <c r="F39" s="9"/>
    </row>
    <row r="40" spans="1:6">
      <c r="A40" s="3" t="s">
        <v>98</v>
      </c>
      <c r="B40" s="19"/>
      <c r="C40" s="67">
        <f>D40</f>
        <v>-10346</v>
      </c>
      <c r="D40" s="67">
        <v>-10346</v>
      </c>
      <c r="E40" s="9"/>
      <c r="F40" s="9"/>
    </row>
    <row r="41" spans="1:6">
      <c r="A41" s="62" t="s">
        <v>40</v>
      </c>
      <c r="B41" s="69"/>
      <c r="C41" s="31">
        <f>C33+C36</f>
        <v>2630588</v>
      </c>
      <c r="D41" s="31">
        <f>D33+D36</f>
        <v>2654067</v>
      </c>
      <c r="E41" s="9"/>
      <c r="F41" s="9"/>
    </row>
    <row r="42" spans="1:6">
      <c r="A42" s="3"/>
      <c r="B42" s="20"/>
      <c r="C42" s="27"/>
      <c r="D42" s="27"/>
      <c r="E42" s="9"/>
      <c r="F42" s="9"/>
    </row>
    <row r="43" spans="1:6" s="5" customFormat="1">
      <c r="A43" s="4" t="s">
        <v>41</v>
      </c>
      <c r="B43" s="20"/>
      <c r="C43" s="31">
        <f>C30+C41</f>
        <v>2647427</v>
      </c>
      <c r="D43" s="31">
        <f>D30+D41</f>
        <v>2669051</v>
      </c>
      <c r="E43" s="9"/>
      <c r="F43" s="9"/>
    </row>
    <row r="44" spans="1:6">
      <c r="A44" s="3" t="s">
        <v>82</v>
      </c>
      <c r="B44" s="20">
        <v>14</v>
      </c>
      <c r="C44" s="27">
        <v>629</v>
      </c>
      <c r="D44" s="27">
        <v>634</v>
      </c>
      <c r="E44" s="9"/>
      <c r="F44" s="9"/>
    </row>
    <row r="45" spans="1:6">
      <c r="C45" s="36"/>
      <c r="E45" s="9"/>
      <c r="F45" s="9"/>
    </row>
    <row r="46" spans="1:6">
      <c r="A46" s="2" t="s">
        <v>14</v>
      </c>
      <c r="C46" s="36"/>
      <c r="E46" s="9"/>
      <c r="F46" s="9"/>
    </row>
    <row r="47" spans="1:6">
      <c r="A47" s="2" t="s">
        <v>99</v>
      </c>
    </row>
    <row r="48" spans="1:6">
      <c r="A48" s="2" t="s">
        <v>100</v>
      </c>
    </row>
    <row r="49" spans="1:1">
      <c r="A49" s="2" t="s">
        <v>14</v>
      </c>
    </row>
    <row r="50" spans="1:1">
      <c r="A50" s="2" t="s">
        <v>90</v>
      </c>
    </row>
    <row r="51" spans="1:1">
      <c r="A51" s="2" t="s">
        <v>16</v>
      </c>
    </row>
  </sheetData>
  <mergeCells count="6">
    <mergeCell ref="A7:A9"/>
    <mergeCell ref="B7:B9"/>
    <mergeCell ref="A4:C4"/>
    <mergeCell ref="A2:D2"/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31"/>
  <sheetViews>
    <sheetView workbookViewId="0">
      <selection activeCell="A22" sqref="A22"/>
    </sheetView>
  </sheetViews>
  <sheetFormatPr defaultRowHeight="15"/>
  <cols>
    <col min="1" max="1" width="32.7109375" customWidth="1"/>
    <col min="2" max="4" width="18.42578125" customWidth="1"/>
    <col min="5" max="5" width="18.42578125" style="5" customWidth="1"/>
    <col min="7" max="7" width="9.5703125" bestFit="1" customWidth="1"/>
  </cols>
  <sheetData>
    <row r="2" spans="1:5">
      <c r="A2" s="80" t="s">
        <v>77</v>
      </c>
      <c r="B2" s="80"/>
      <c r="C2" s="80"/>
      <c r="D2" s="80"/>
      <c r="E2" s="80"/>
    </row>
    <row r="3" spans="1:5">
      <c r="A3" s="80" t="str">
        <f>'[1]Фин. полож'!A2:D2</f>
        <v>АО "УК "РЕСПУБЛИКА"</v>
      </c>
      <c r="B3" s="80"/>
      <c r="C3" s="80"/>
      <c r="D3" s="80"/>
      <c r="E3" s="80"/>
    </row>
    <row r="4" spans="1:5">
      <c r="A4" s="83" t="str">
        <f>'Фин. полож'!A3:D3</f>
        <v>ПО СОСТОЯНИЮ НА 01 ЯНВАРЯ 2016 ГОДА</v>
      </c>
      <c r="B4" s="83"/>
      <c r="C4" s="83"/>
      <c r="D4" s="83"/>
      <c r="E4" s="83"/>
    </row>
    <row r="5" spans="1:5">
      <c r="A5" s="79" t="s">
        <v>20</v>
      </c>
      <c r="B5" s="79"/>
      <c r="C5" s="63"/>
    </row>
    <row r="7" spans="1:5">
      <c r="A7" s="14"/>
    </row>
    <row r="8" spans="1:5">
      <c r="A8" s="77"/>
      <c r="B8" s="82" t="s">
        <v>39</v>
      </c>
      <c r="C8" s="82" t="s">
        <v>94</v>
      </c>
      <c r="D8" s="78" t="s">
        <v>50</v>
      </c>
      <c r="E8" s="12" t="s">
        <v>51</v>
      </c>
    </row>
    <row r="9" spans="1:5">
      <c r="A9" s="77"/>
      <c r="B9" s="82"/>
      <c r="C9" s="82"/>
      <c r="D9" s="78"/>
      <c r="E9" s="13" t="s">
        <v>52</v>
      </c>
    </row>
    <row r="10" spans="1:5">
      <c r="A10" s="70" t="s">
        <v>87</v>
      </c>
      <c r="B10" s="11">
        <v>4155000</v>
      </c>
      <c r="C10" s="11"/>
      <c r="D10" s="11">
        <v>-1471790</v>
      </c>
      <c r="E10" s="15">
        <f>B10+D10</f>
        <v>2683210</v>
      </c>
    </row>
    <row r="11" spans="1:5">
      <c r="A11" s="3" t="s">
        <v>53</v>
      </c>
      <c r="B11" s="10"/>
      <c r="C11" s="10"/>
      <c r="D11" s="10"/>
      <c r="E11" s="11">
        <f t="shared" ref="E11:E14" si="0">B11+D11</f>
        <v>0</v>
      </c>
    </row>
    <row r="12" spans="1:5">
      <c r="A12" s="3" t="s">
        <v>94</v>
      </c>
      <c r="B12" s="10">
        <v>-1034596</v>
      </c>
      <c r="C12" s="10">
        <v>1034596</v>
      </c>
      <c r="D12" s="10"/>
      <c r="E12" s="11">
        <f>B12+D12+C12</f>
        <v>0</v>
      </c>
    </row>
    <row r="13" spans="1:5" ht="26.25">
      <c r="A13" s="3" t="s">
        <v>95</v>
      </c>
      <c r="B13" s="10"/>
      <c r="C13" s="10"/>
      <c r="D13" s="10">
        <v>-10346</v>
      </c>
      <c r="E13" s="11">
        <f t="shared" si="0"/>
        <v>-10346</v>
      </c>
    </row>
    <row r="14" spans="1:5">
      <c r="A14" s="3" t="s">
        <v>88</v>
      </c>
      <c r="B14" s="10"/>
      <c r="C14" s="10"/>
      <c r="D14" s="10">
        <v>-18797</v>
      </c>
      <c r="E14" s="11">
        <f t="shared" si="0"/>
        <v>-18797</v>
      </c>
    </row>
    <row r="15" spans="1:5">
      <c r="A15" s="3"/>
      <c r="B15" s="10"/>
      <c r="C15" s="10"/>
      <c r="D15" s="10"/>
      <c r="E15" s="11"/>
    </row>
    <row r="16" spans="1:5">
      <c r="A16" s="3"/>
      <c r="B16" s="10"/>
      <c r="C16" s="10"/>
      <c r="D16" s="10"/>
      <c r="E16" s="11">
        <f t="shared" ref="E16:E21" si="1">B16+D16</f>
        <v>0</v>
      </c>
    </row>
    <row r="17" spans="1:7">
      <c r="A17" s="70" t="s">
        <v>92</v>
      </c>
      <c r="B17" s="11">
        <f>B10+B11+B12</f>
        <v>3120404</v>
      </c>
      <c r="C17" s="11">
        <f>C12</f>
        <v>1034596</v>
      </c>
      <c r="D17" s="11">
        <f>SUM(D10:D16)</f>
        <v>-1500933</v>
      </c>
      <c r="E17" s="11">
        <f>B17+D17+C17</f>
        <v>2654067</v>
      </c>
      <c r="F17" s="9"/>
      <c r="G17" s="9"/>
    </row>
    <row r="18" spans="1:7">
      <c r="A18" s="3" t="s">
        <v>53</v>
      </c>
      <c r="B18" s="10"/>
      <c r="C18" s="10"/>
      <c r="D18" s="10"/>
      <c r="E18" s="11">
        <f t="shared" si="1"/>
        <v>0</v>
      </c>
    </row>
    <row r="19" spans="1:7">
      <c r="A19" s="3" t="s">
        <v>94</v>
      </c>
      <c r="B19" s="10"/>
      <c r="C19" s="10"/>
      <c r="D19" s="10"/>
      <c r="E19" s="11">
        <f t="shared" si="1"/>
        <v>0</v>
      </c>
    </row>
    <row r="20" spans="1:7" ht="26.25">
      <c r="A20" s="3" t="s">
        <v>95</v>
      </c>
      <c r="B20" s="10"/>
      <c r="C20" s="10"/>
      <c r="D20" s="10">
        <f>'Фин. полож'!C39</f>
        <v>-23479</v>
      </c>
      <c r="E20" s="11">
        <f>B20+D20</f>
        <v>-23479</v>
      </c>
    </row>
    <row r="21" spans="1:7">
      <c r="A21" s="3" t="s">
        <v>88</v>
      </c>
      <c r="B21" s="10"/>
      <c r="C21" s="10"/>
      <c r="D21" s="10"/>
      <c r="E21" s="11">
        <f t="shared" si="1"/>
        <v>0</v>
      </c>
    </row>
    <row r="22" spans="1:7">
      <c r="A22" s="3"/>
      <c r="B22" s="10"/>
      <c r="C22" s="10"/>
      <c r="D22" s="10"/>
      <c r="E22" s="11">
        <f>B22+D22</f>
        <v>0</v>
      </c>
    </row>
    <row r="23" spans="1:7">
      <c r="A23" s="71" t="s">
        <v>103</v>
      </c>
      <c r="B23" s="11">
        <f>B17+B19</f>
        <v>3120404</v>
      </c>
      <c r="C23" s="11">
        <f>C17+C19</f>
        <v>1034596</v>
      </c>
      <c r="D23" s="11">
        <f>D17+D18+D21+D20+D19</f>
        <v>-1524412</v>
      </c>
      <c r="E23" s="11">
        <f>B23+D23+C23</f>
        <v>2630588</v>
      </c>
      <c r="F23" s="9"/>
      <c r="G23" s="9"/>
    </row>
    <row r="24" spans="1:7">
      <c r="A24" s="1"/>
      <c r="E24" s="74"/>
    </row>
    <row r="25" spans="1:7">
      <c r="A25" s="1"/>
    </row>
    <row r="26" spans="1:7">
      <c r="A26" s="2" t="s">
        <v>14</v>
      </c>
    </row>
    <row r="27" spans="1:7">
      <c r="A27" s="2" t="str">
        <f>'Фин. полож'!A47</f>
        <v>Бабенов Б.Б.</v>
      </c>
    </row>
    <row r="28" spans="1:7">
      <c r="A28" s="2" t="str">
        <f>'Фин. полож'!A48</f>
        <v>Председатель Правления</v>
      </c>
    </row>
    <row r="29" spans="1:7">
      <c r="A29" s="2" t="s">
        <v>14</v>
      </c>
    </row>
    <row r="30" spans="1:7">
      <c r="A30" s="2" t="s">
        <v>15</v>
      </c>
    </row>
    <row r="31" spans="1:7">
      <c r="A31" s="2" t="s">
        <v>16</v>
      </c>
    </row>
  </sheetData>
  <mergeCells count="8">
    <mergeCell ref="A5:B5"/>
    <mergeCell ref="A8:A9"/>
    <mergeCell ref="B8:B9"/>
    <mergeCell ref="C8:C9"/>
    <mergeCell ref="A2:E2"/>
    <mergeCell ref="A3:E3"/>
    <mergeCell ref="A4:E4"/>
    <mergeCell ref="D8:D9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7"/>
  <sheetViews>
    <sheetView workbookViewId="0">
      <selection activeCell="D7" sqref="D7"/>
    </sheetView>
  </sheetViews>
  <sheetFormatPr defaultRowHeight="15"/>
  <cols>
    <col min="1" max="1" width="54.28515625" style="37" customWidth="1"/>
    <col min="2" max="2" width="8" style="21" customWidth="1"/>
    <col min="3" max="4" width="15.28515625" style="21" customWidth="1"/>
    <col min="5" max="5" width="9.140625" style="21" customWidth="1"/>
    <col min="6" max="6" width="10.7109375" style="21" bestFit="1" customWidth="1"/>
    <col min="7" max="7" width="11.42578125" style="21" bestFit="1" customWidth="1"/>
    <col min="8" max="8" width="7.7109375" style="21" bestFit="1" customWidth="1"/>
    <col min="9" max="16384" width="9.140625" style="21"/>
  </cols>
  <sheetData>
    <row r="1" spans="1:8" ht="22.5" customHeight="1">
      <c r="A1" s="85" t="s">
        <v>76</v>
      </c>
      <c r="B1" s="85"/>
      <c r="C1" s="85"/>
      <c r="D1" s="85"/>
    </row>
    <row r="2" spans="1:8" ht="21.75" customHeight="1">
      <c r="A2" s="85" t="str">
        <f>'Фин. полож'!A2:D2</f>
        <v>АО "УК "РЕСПУБЛИКА"</v>
      </c>
      <c r="B2" s="85"/>
      <c r="C2" s="85"/>
      <c r="D2" s="85"/>
    </row>
    <row r="3" spans="1:8">
      <c r="A3" s="86" t="str">
        <f>капитал!A4</f>
        <v>ПО СОСТОЯНИЮ НА 01 ЯНВАРЯ 2016 ГОДА</v>
      </c>
      <c r="B3" s="86"/>
      <c r="C3" s="86"/>
      <c r="D3" s="86"/>
    </row>
    <row r="4" spans="1:8">
      <c r="A4" s="84" t="s">
        <v>20</v>
      </c>
      <c r="B4" s="84"/>
      <c r="C4" s="84"/>
    </row>
    <row r="5" spans="1:8" ht="24">
      <c r="A5" s="87"/>
      <c r="B5" s="88" t="s">
        <v>18</v>
      </c>
      <c r="C5" s="22" t="s">
        <v>78</v>
      </c>
      <c r="D5" s="22" t="s">
        <v>78</v>
      </c>
    </row>
    <row r="6" spans="1:8">
      <c r="A6" s="87"/>
      <c r="B6" s="88"/>
      <c r="C6" s="23" t="s">
        <v>104</v>
      </c>
      <c r="D6" s="23" t="s">
        <v>105</v>
      </c>
    </row>
    <row r="7" spans="1:8" ht="24.75">
      <c r="A7" s="24" t="s">
        <v>54</v>
      </c>
      <c r="B7" s="39"/>
      <c r="C7" s="25">
        <f>C18+C30</f>
        <v>71422</v>
      </c>
      <c r="D7" s="25">
        <f>D18+D30</f>
        <v>45399</v>
      </c>
      <c r="F7" s="36"/>
    </row>
    <row r="8" spans="1:8">
      <c r="A8" s="60" t="s">
        <v>89</v>
      </c>
      <c r="B8" s="26"/>
      <c r="C8" s="27">
        <f>СГД!C23</f>
        <v>-23474</v>
      </c>
      <c r="D8" s="27">
        <v>-17884</v>
      </c>
      <c r="F8" s="36"/>
    </row>
    <row r="9" spans="1:8">
      <c r="A9" s="38" t="s">
        <v>55</v>
      </c>
      <c r="B9" s="26"/>
      <c r="C9" s="27"/>
      <c r="D9" s="27"/>
      <c r="F9" s="36"/>
    </row>
    <row r="10" spans="1:8">
      <c r="A10" s="38" t="s">
        <v>56</v>
      </c>
      <c r="B10" s="28">
        <v>7.8</v>
      </c>
      <c r="C10" s="27">
        <v>11101</v>
      </c>
      <c r="D10" s="27">
        <v>15851</v>
      </c>
      <c r="E10" s="36"/>
      <c r="F10" s="36"/>
      <c r="G10" s="36"/>
      <c r="H10" s="36"/>
    </row>
    <row r="11" spans="1:8">
      <c r="A11" s="38" t="s">
        <v>57</v>
      </c>
      <c r="B11" s="28"/>
      <c r="C11" s="27"/>
      <c r="D11" s="27"/>
      <c r="F11" s="36"/>
    </row>
    <row r="12" spans="1:8" ht="24.75">
      <c r="A12" s="38" t="s">
        <v>58</v>
      </c>
      <c r="B12" s="29"/>
      <c r="C12" s="27"/>
      <c r="D12" s="27">
        <v>176016</v>
      </c>
      <c r="F12" s="36"/>
    </row>
    <row r="13" spans="1:8">
      <c r="A13" s="38" t="s">
        <v>10</v>
      </c>
      <c r="B13" s="28"/>
      <c r="C13" s="27"/>
      <c r="D13" s="27"/>
      <c r="F13" s="36"/>
    </row>
    <row r="14" spans="1:8">
      <c r="A14" s="38" t="s">
        <v>59</v>
      </c>
      <c r="B14" s="26"/>
      <c r="C14" s="27">
        <v>-3731</v>
      </c>
      <c r="D14" s="27">
        <v>959</v>
      </c>
      <c r="F14" s="36"/>
    </row>
    <row r="15" spans="1:8" ht="24.75">
      <c r="A15" s="38" t="s">
        <v>60</v>
      </c>
      <c r="B15" s="26"/>
      <c r="C15" s="27"/>
      <c r="D15" s="27"/>
      <c r="F15" s="36"/>
    </row>
    <row r="16" spans="1:8">
      <c r="A16" s="38" t="s">
        <v>61</v>
      </c>
      <c r="B16" s="26"/>
      <c r="C16" s="27"/>
      <c r="D16" s="27">
        <v>12716</v>
      </c>
      <c r="F16" s="36"/>
    </row>
    <row r="17" spans="1:6" ht="24.75">
      <c r="A17" s="38" t="s">
        <v>62</v>
      </c>
      <c r="B17" s="26"/>
      <c r="C17" s="27">
        <v>970</v>
      </c>
      <c r="D17" s="27">
        <v>7422</v>
      </c>
      <c r="F17" s="36"/>
    </row>
    <row r="18" spans="1:6" s="32" customFormat="1" ht="24.75">
      <c r="A18" s="24" t="s">
        <v>63</v>
      </c>
      <c r="B18" s="30"/>
      <c r="C18" s="31">
        <f>SUM(C8:C17)</f>
        <v>-15134</v>
      </c>
      <c r="D18" s="31">
        <f>SUM(D8:D17)</f>
        <v>195080</v>
      </c>
      <c r="F18" s="36"/>
    </row>
    <row r="19" spans="1:6">
      <c r="A19" s="38" t="s">
        <v>64</v>
      </c>
      <c r="B19" s="26"/>
      <c r="C19" s="27"/>
      <c r="D19" s="27"/>
      <c r="F19" s="36"/>
    </row>
    <row r="20" spans="1:6" s="32" customFormat="1">
      <c r="A20" s="24" t="s">
        <v>65</v>
      </c>
      <c r="B20" s="30"/>
      <c r="C20" s="31">
        <f>SUM(C21:C26)</f>
        <v>84701</v>
      </c>
      <c r="D20" s="31">
        <f>SUM(D21:D26)</f>
        <v>-147216</v>
      </c>
      <c r="F20" s="36"/>
    </row>
    <row r="21" spans="1:6" ht="24.75">
      <c r="A21" s="38" t="s">
        <v>66</v>
      </c>
      <c r="B21" s="26"/>
      <c r="C21" s="27">
        <f>'Фин. полож'!D13-'Фин. полож'!C13</f>
        <v>141681</v>
      </c>
      <c r="D21" s="27">
        <v>-316771</v>
      </c>
      <c r="F21" s="36"/>
    </row>
    <row r="22" spans="1:6">
      <c r="A22" s="38" t="s">
        <v>43</v>
      </c>
      <c r="B22" s="26"/>
      <c r="C22" s="27">
        <f>'Фин. полож'!D12-'Фин. полож'!C12</f>
        <v>68855</v>
      </c>
      <c r="D22" s="27">
        <v>312759</v>
      </c>
      <c r="F22" s="36"/>
    </row>
    <row r="23" spans="1:6">
      <c r="A23" s="38" t="s">
        <v>79</v>
      </c>
      <c r="B23" s="26"/>
      <c r="C23" s="27"/>
      <c r="D23" s="27"/>
      <c r="F23" s="36"/>
    </row>
    <row r="24" spans="1:6" ht="26.25">
      <c r="A24" s="3" t="s">
        <v>83</v>
      </c>
      <c r="B24" s="26"/>
      <c r="C24" s="27">
        <f>'Фин. полож'!D14-'Фин. полож'!C14</f>
        <v>14</v>
      </c>
      <c r="D24" s="27">
        <v>141</v>
      </c>
      <c r="F24" s="36"/>
    </row>
    <row r="25" spans="1:6">
      <c r="A25" s="38" t="s">
        <v>29</v>
      </c>
      <c r="B25" s="26"/>
      <c r="C25" s="27"/>
      <c r="D25" s="27">
        <f>'[2]Фин. полож'!E16-'[2]Фин. полож'!D16</f>
        <v>0</v>
      </c>
      <c r="F25" s="36"/>
    </row>
    <row r="26" spans="1:6">
      <c r="A26" s="38" t="s">
        <v>31</v>
      </c>
      <c r="B26" s="26"/>
      <c r="C26" s="27">
        <f>'Фин. полож'!D18-'Фин. полож'!C18+3731</f>
        <v>-125849</v>
      </c>
      <c r="D26" s="27">
        <v>-143345</v>
      </c>
      <c r="F26" s="36"/>
    </row>
    <row r="27" spans="1:6" s="32" customFormat="1">
      <c r="A27" s="24" t="s">
        <v>67</v>
      </c>
      <c r="B27" s="30"/>
      <c r="C27" s="61">
        <f>C28+C29</f>
        <v>1855</v>
      </c>
      <c r="D27" s="61">
        <f>D28+D29</f>
        <v>-2465</v>
      </c>
      <c r="F27" s="36"/>
    </row>
    <row r="28" spans="1:6">
      <c r="A28" s="38" t="s">
        <v>68</v>
      </c>
      <c r="B28" s="26"/>
      <c r="C28" s="27"/>
      <c r="D28" s="27"/>
      <c r="F28" s="36"/>
    </row>
    <row r="29" spans="1:6">
      <c r="A29" s="38" t="s">
        <v>36</v>
      </c>
      <c r="B29" s="26"/>
      <c r="C29" s="27">
        <f>'Фин. полож'!C30-'Фин. полож'!D30</f>
        <v>1855</v>
      </c>
      <c r="D29" s="27">
        <v>-2465</v>
      </c>
      <c r="F29" s="36"/>
    </row>
    <row r="30" spans="1:6" s="32" customFormat="1">
      <c r="A30" s="24" t="s">
        <v>69</v>
      </c>
      <c r="B30" s="30"/>
      <c r="C30" s="31">
        <f>C20+C27</f>
        <v>86556</v>
      </c>
      <c r="D30" s="31">
        <f>D20+D27</f>
        <v>-149681</v>
      </c>
      <c r="F30" s="36"/>
    </row>
    <row r="31" spans="1:6" s="32" customFormat="1" ht="24.75">
      <c r="A31" s="24" t="s">
        <v>86</v>
      </c>
      <c r="B31" s="30"/>
      <c r="C31" s="31">
        <f>-(СГД!C25)</f>
        <v>-5</v>
      </c>
      <c r="D31" s="27">
        <v>-913</v>
      </c>
      <c r="F31" s="36"/>
    </row>
    <row r="32" spans="1:6" s="32" customFormat="1" ht="24.75">
      <c r="A32" s="24" t="s">
        <v>70</v>
      </c>
      <c r="B32" s="39"/>
      <c r="C32" s="31">
        <f>C33+C34</f>
        <v>-97</v>
      </c>
      <c r="D32" s="31">
        <f>D33+D34</f>
        <v>-5297</v>
      </c>
      <c r="F32" s="36"/>
    </row>
    <row r="33" spans="1:6">
      <c r="A33" s="38" t="s">
        <v>71</v>
      </c>
      <c r="B33" s="33"/>
      <c r="C33" s="27">
        <v>-97</v>
      </c>
      <c r="D33" s="31">
        <v>-5297</v>
      </c>
      <c r="F33" s="36"/>
    </row>
    <row r="34" spans="1:6">
      <c r="A34" s="38" t="s">
        <v>72</v>
      </c>
      <c r="B34" s="33"/>
      <c r="C34" s="27"/>
      <c r="D34" s="27"/>
      <c r="F34" s="36"/>
    </row>
    <row r="35" spans="1:6" s="32" customFormat="1" ht="24.75">
      <c r="A35" s="24" t="s">
        <v>73</v>
      </c>
      <c r="B35" s="39"/>
      <c r="C35" s="31">
        <f>C37</f>
        <v>0</v>
      </c>
      <c r="D35" s="31">
        <f>SUM(D36:D37)</f>
        <v>-10346</v>
      </c>
      <c r="F35" s="36"/>
    </row>
    <row r="36" spans="1:6">
      <c r="A36" s="73" t="s">
        <v>94</v>
      </c>
      <c r="B36" s="33"/>
      <c r="C36" s="27"/>
      <c r="D36" s="31">
        <v>-10346</v>
      </c>
      <c r="F36" s="36"/>
    </row>
    <row r="37" spans="1:6">
      <c r="A37" s="38" t="s">
        <v>74</v>
      </c>
      <c r="B37" s="33"/>
      <c r="C37" s="27"/>
      <c r="D37" s="27"/>
      <c r="F37" s="36"/>
    </row>
    <row r="38" spans="1:6" s="32" customFormat="1" ht="24.75">
      <c r="A38" s="24" t="s">
        <v>75</v>
      </c>
      <c r="B38" s="39"/>
      <c r="C38" s="31">
        <f>C7+C32+C35+C31</f>
        <v>71320</v>
      </c>
      <c r="D38" s="31">
        <f>D7+D32+D35+D31</f>
        <v>28843</v>
      </c>
      <c r="E38" s="54"/>
      <c r="F38" s="36"/>
    </row>
    <row r="39" spans="1:6" s="32" customFormat="1" ht="24.75">
      <c r="A39" s="24" t="s">
        <v>80</v>
      </c>
      <c r="B39" s="30"/>
      <c r="C39" s="31">
        <f>'Фин. полож'!D11</f>
        <v>46118</v>
      </c>
      <c r="D39" s="31">
        <v>17275</v>
      </c>
      <c r="F39" s="36"/>
    </row>
    <row r="40" spans="1:6" s="32" customFormat="1" ht="24.75">
      <c r="A40" s="24" t="s">
        <v>81</v>
      </c>
      <c r="B40" s="30"/>
      <c r="C40" s="31">
        <f>C38+C39</f>
        <v>117438</v>
      </c>
      <c r="D40" s="31">
        <f>D38+D39</f>
        <v>46118</v>
      </c>
      <c r="E40" s="54"/>
      <c r="F40" s="36"/>
    </row>
    <row r="41" spans="1:6">
      <c r="A41" s="34"/>
      <c r="C41" s="36"/>
      <c r="D41" s="36"/>
      <c r="F41" s="36"/>
    </row>
    <row r="42" spans="1:6">
      <c r="A42" s="35" t="s">
        <v>14</v>
      </c>
      <c r="C42" s="36"/>
      <c r="D42" s="36"/>
    </row>
    <row r="43" spans="1:6">
      <c r="A43" s="35" t="str">
        <f>'Фин. полож'!A47</f>
        <v>Бабенов Б.Б.</v>
      </c>
      <c r="C43" s="36"/>
      <c r="D43" s="36"/>
    </row>
    <row r="44" spans="1:6">
      <c r="A44" s="35" t="str">
        <f>'Фин. полож'!A48</f>
        <v>Председатель Правления</v>
      </c>
      <c r="D44" s="36"/>
    </row>
    <row r="45" spans="1:6">
      <c r="A45" s="35" t="s">
        <v>14</v>
      </c>
      <c r="D45" s="36"/>
    </row>
    <row r="46" spans="1:6">
      <c r="A46" s="35" t="s">
        <v>15</v>
      </c>
      <c r="D46" s="36"/>
    </row>
    <row r="47" spans="1:6">
      <c r="A47" s="35" t="s">
        <v>16</v>
      </c>
      <c r="D47" s="36"/>
    </row>
  </sheetData>
  <mergeCells count="6">
    <mergeCell ref="A4:C4"/>
    <mergeCell ref="A2:D2"/>
    <mergeCell ref="A1:D1"/>
    <mergeCell ref="A3:D3"/>
    <mergeCell ref="A5:A6"/>
    <mergeCell ref="B5:B6"/>
  </mergeCells>
  <pageMargins left="0.70866141732283472" right="0.39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zoomScale="83" zoomScaleNormal="83" workbookViewId="0">
      <selection activeCell="C17" sqref="C17"/>
    </sheetView>
  </sheetViews>
  <sheetFormatPr defaultRowHeight="15"/>
  <cols>
    <col min="1" max="1" width="57.140625" style="21" customWidth="1"/>
    <col min="2" max="2" width="12.5703125" style="21" customWidth="1"/>
    <col min="3" max="3" width="16.5703125" style="58" customWidth="1"/>
    <col min="4" max="4" width="16.42578125" style="58" customWidth="1"/>
    <col min="5" max="5" width="9.42578125" style="21" hidden="1" customWidth="1"/>
    <col min="6" max="17" width="9.140625" style="21" hidden="1" customWidth="1"/>
    <col min="18" max="18" width="0" style="21" hidden="1" customWidth="1"/>
    <col min="19" max="16384" width="9.140625" style="21"/>
  </cols>
  <sheetData>
    <row r="1" spans="1:17" ht="19.5" customHeight="1">
      <c r="A1" s="85" t="s">
        <v>17</v>
      </c>
      <c r="B1" s="85"/>
      <c r="C1" s="85"/>
      <c r="D1" s="85"/>
    </row>
    <row r="2" spans="1:17">
      <c r="A2" s="85" t="str">
        <f>'Фин. полож'!A2:D2</f>
        <v>АО "УК "РЕСПУБЛИКА"</v>
      </c>
      <c r="B2" s="85"/>
      <c r="C2" s="85"/>
      <c r="D2" s="85"/>
    </row>
    <row r="3" spans="1:17" s="40" customFormat="1" ht="19.5" customHeight="1">
      <c r="A3" s="86" t="str">
        <f>капитал!A4</f>
        <v>ПО СОСТОЯНИЮ НА 01 ЯНВАРЯ 2016 ГОДА</v>
      </c>
      <c r="B3" s="86"/>
      <c r="C3" s="86"/>
      <c r="D3" s="86"/>
    </row>
    <row r="4" spans="1:17" s="40" customFormat="1" ht="19.5" customHeight="1">
      <c r="A4" s="91" t="s">
        <v>20</v>
      </c>
      <c r="B4" s="91"/>
      <c r="C4" s="84"/>
      <c r="D4" s="84"/>
    </row>
    <row r="5" spans="1:17">
      <c r="A5" s="89"/>
      <c r="B5" s="90" t="s">
        <v>18</v>
      </c>
      <c r="C5" s="41" t="s">
        <v>19</v>
      </c>
      <c r="D5" s="42" t="s">
        <v>19</v>
      </c>
    </row>
    <row r="6" spans="1:17">
      <c r="A6" s="89"/>
      <c r="B6" s="90"/>
      <c r="C6" s="43" t="s">
        <v>1</v>
      </c>
      <c r="D6" s="23" t="s">
        <v>1</v>
      </c>
    </row>
    <row r="7" spans="1:17">
      <c r="A7" s="89"/>
      <c r="B7" s="88"/>
      <c r="C7" s="23" t="str">
        <f>ДД!C6</f>
        <v>31 декабря 2015 г</v>
      </c>
      <c r="D7" s="23" t="str">
        <f>ДД!D6</f>
        <v>31 декабря 2014 г</v>
      </c>
    </row>
    <row r="8" spans="1:17">
      <c r="A8" s="44"/>
      <c r="B8" s="45"/>
      <c r="C8" s="46"/>
      <c r="D8" s="46"/>
    </row>
    <row r="9" spans="1:17">
      <c r="A9" s="44" t="s">
        <v>2</v>
      </c>
      <c r="B9" s="47">
        <v>8</v>
      </c>
      <c r="C9" s="48"/>
      <c r="D9" s="48">
        <v>0</v>
      </c>
    </row>
    <row r="10" spans="1:17">
      <c r="A10" s="44" t="s">
        <v>3</v>
      </c>
      <c r="B10" s="47">
        <v>8</v>
      </c>
      <c r="C10" s="48"/>
      <c r="D10" s="48">
        <v>0</v>
      </c>
      <c r="E10" s="36"/>
    </row>
    <row r="11" spans="1:17">
      <c r="A11" s="44" t="s">
        <v>4</v>
      </c>
      <c r="B11" s="47">
        <v>9</v>
      </c>
      <c r="C11" s="48">
        <v>603125</v>
      </c>
      <c r="D11" s="48">
        <v>371548</v>
      </c>
      <c r="E11" s="75">
        <v>64</v>
      </c>
      <c r="F11" s="75">
        <v>34</v>
      </c>
      <c r="G11" s="75">
        <v>171034</v>
      </c>
      <c r="H11" s="76">
        <v>617966</v>
      </c>
      <c r="I11" s="76">
        <v>24000</v>
      </c>
      <c r="J11" s="76">
        <v>-282</v>
      </c>
      <c r="K11" s="76">
        <v>132</v>
      </c>
      <c r="L11" s="76">
        <v>1</v>
      </c>
      <c r="M11" s="76">
        <v>-197472</v>
      </c>
      <c r="N11" s="76">
        <v>-6</v>
      </c>
      <c r="O11" s="76">
        <v>-12346</v>
      </c>
      <c r="P11" s="21">
        <f>SUM(E11:O11)</f>
        <v>603125</v>
      </c>
      <c r="Q11" s="36">
        <f t="shared" ref="Q11:Q28" si="0">C11-P11</f>
        <v>0</v>
      </c>
    </row>
    <row r="12" spans="1:17" ht="39">
      <c r="A12" s="44" t="s">
        <v>5</v>
      </c>
      <c r="B12" s="47">
        <v>9</v>
      </c>
      <c r="C12" s="48">
        <v>-440080</v>
      </c>
      <c r="D12" s="48">
        <v>-176894</v>
      </c>
      <c r="E12" s="75">
        <v>393587</v>
      </c>
      <c r="F12" s="75">
        <v>38990</v>
      </c>
      <c r="G12" s="40">
        <v>-781331</v>
      </c>
      <c r="H12" s="40">
        <v>-91326</v>
      </c>
      <c r="I12" s="40"/>
      <c r="J12" s="40"/>
      <c r="K12" s="40"/>
      <c r="P12" s="21">
        <f t="shared" ref="P12:P28" si="1">SUM(E12:O12)</f>
        <v>-440080</v>
      </c>
      <c r="Q12" s="36">
        <f t="shared" si="0"/>
        <v>0</v>
      </c>
    </row>
    <row r="13" spans="1:17">
      <c r="A13" s="44" t="s">
        <v>6</v>
      </c>
      <c r="B13" s="47">
        <v>13</v>
      </c>
      <c r="C13" s="48">
        <f>897+17415</f>
        <v>18312</v>
      </c>
      <c r="D13" s="48">
        <v>1793</v>
      </c>
      <c r="E13" s="75">
        <v>897</v>
      </c>
      <c r="F13" s="75">
        <v>17415</v>
      </c>
      <c r="P13" s="21">
        <f t="shared" si="1"/>
        <v>18312</v>
      </c>
      <c r="Q13" s="36">
        <f t="shared" si="0"/>
        <v>0</v>
      </c>
    </row>
    <row r="14" spans="1:17">
      <c r="A14" s="44"/>
      <c r="B14" s="49"/>
      <c r="C14" s="48"/>
      <c r="D14" s="48"/>
      <c r="P14" s="21">
        <f t="shared" si="1"/>
        <v>0</v>
      </c>
      <c r="Q14" s="36">
        <f t="shared" si="0"/>
        <v>0</v>
      </c>
    </row>
    <row r="15" spans="1:17" s="32" customFormat="1">
      <c r="A15" s="59" t="s">
        <v>7</v>
      </c>
      <c r="B15" s="50"/>
      <c r="C15" s="51">
        <f>C9-C10+C11+C12+C13</f>
        <v>181357</v>
      </c>
      <c r="D15" s="51">
        <f>D9+D10+D11+D12+D13</f>
        <v>196447</v>
      </c>
      <c r="E15" s="21"/>
      <c r="P15" s="21">
        <f t="shared" si="1"/>
        <v>0</v>
      </c>
      <c r="Q15" s="36">
        <f t="shared" si="0"/>
        <v>181357</v>
      </c>
    </row>
    <row r="16" spans="1:17" s="32" customFormat="1">
      <c r="A16" s="59"/>
      <c r="B16" s="50"/>
      <c r="C16" s="52"/>
      <c r="D16" s="52"/>
      <c r="E16" s="21"/>
      <c r="P16" s="21">
        <f t="shared" si="1"/>
        <v>0</v>
      </c>
      <c r="Q16" s="36">
        <f t="shared" si="0"/>
        <v>0</v>
      </c>
    </row>
    <row r="17" spans="1:17" s="32" customFormat="1">
      <c r="A17" s="59" t="s">
        <v>8</v>
      </c>
      <c r="B17" s="53">
        <v>10</v>
      </c>
      <c r="C17" s="51">
        <v>202052</v>
      </c>
      <c r="D17" s="51">
        <v>206764</v>
      </c>
      <c r="E17" s="21">
        <v>202052</v>
      </c>
      <c r="P17" s="21">
        <f t="shared" si="1"/>
        <v>202052</v>
      </c>
      <c r="Q17" s="36">
        <f t="shared" si="0"/>
        <v>0</v>
      </c>
    </row>
    <row r="18" spans="1:17">
      <c r="A18" s="44" t="s">
        <v>22</v>
      </c>
      <c r="B18" s="49">
        <v>10</v>
      </c>
      <c r="C18" s="55">
        <f>2746+33</f>
        <v>2779</v>
      </c>
      <c r="D18" s="55">
        <v>7567</v>
      </c>
      <c r="E18" s="75">
        <v>2746</v>
      </c>
      <c r="F18" s="75">
        <v>33</v>
      </c>
      <c r="P18" s="21">
        <f t="shared" si="1"/>
        <v>2779</v>
      </c>
      <c r="Q18" s="36">
        <f t="shared" si="0"/>
        <v>0</v>
      </c>
    </row>
    <row r="19" spans="1:17" s="32" customFormat="1">
      <c r="A19" s="59" t="s">
        <v>9</v>
      </c>
      <c r="B19" s="50"/>
      <c r="C19" s="51">
        <f>C15-C17-C18</f>
        <v>-23474</v>
      </c>
      <c r="D19" s="51">
        <f>D15-D18-D17</f>
        <v>-17884</v>
      </c>
      <c r="P19" s="21">
        <f t="shared" si="1"/>
        <v>0</v>
      </c>
      <c r="Q19" s="36">
        <f t="shared" si="0"/>
        <v>-23474</v>
      </c>
    </row>
    <row r="20" spans="1:17">
      <c r="A20" s="44"/>
      <c r="B20" s="49"/>
      <c r="C20" s="48"/>
      <c r="D20" s="48"/>
      <c r="P20" s="21">
        <f t="shared" si="1"/>
        <v>0</v>
      </c>
      <c r="Q20" s="36">
        <f t="shared" si="0"/>
        <v>0</v>
      </c>
    </row>
    <row r="21" spans="1:17">
      <c r="A21" s="44" t="s">
        <v>10</v>
      </c>
      <c r="B21" s="47"/>
      <c r="C21" s="48"/>
      <c r="D21" s="48">
        <v>0</v>
      </c>
      <c r="P21" s="21">
        <f t="shared" si="1"/>
        <v>0</v>
      </c>
      <c r="Q21" s="36">
        <f t="shared" si="0"/>
        <v>0</v>
      </c>
    </row>
    <row r="22" spans="1:17">
      <c r="A22" s="44"/>
      <c r="B22" s="49"/>
      <c r="C22" s="55"/>
      <c r="D22" s="55"/>
      <c r="P22" s="21">
        <f t="shared" si="1"/>
        <v>0</v>
      </c>
      <c r="Q22" s="36">
        <f t="shared" si="0"/>
        <v>0</v>
      </c>
    </row>
    <row r="23" spans="1:17">
      <c r="A23" s="44" t="s">
        <v>11</v>
      </c>
      <c r="B23" s="49">
        <v>12</v>
      </c>
      <c r="C23" s="48">
        <f>C19-C21</f>
        <v>-23474</v>
      </c>
      <c r="D23" s="48">
        <f>D19</f>
        <v>-17884</v>
      </c>
      <c r="P23" s="21">
        <f t="shared" si="1"/>
        <v>0</v>
      </c>
      <c r="Q23" s="36">
        <f t="shared" si="0"/>
        <v>-23474</v>
      </c>
    </row>
    <row r="24" spans="1:17">
      <c r="A24" s="44"/>
      <c r="B24" s="49"/>
      <c r="C24" s="48"/>
      <c r="D24" s="48"/>
      <c r="P24" s="21">
        <f t="shared" si="1"/>
        <v>0</v>
      </c>
      <c r="Q24" s="36">
        <f t="shared" si="0"/>
        <v>0</v>
      </c>
    </row>
    <row r="25" spans="1:17">
      <c r="A25" s="44" t="s">
        <v>23</v>
      </c>
      <c r="B25" s="49">
        <v>11</v>
      </c>
      <c r="C25" s="48">
        <v>5</v>
      </c>
      <c r="D25" s="48">
        <v>913</v>
      </c>
      <c r="E25" s="75">
        <v>5</v>
      </c>
      <c r="P25" s="21">
        <f t="shared" si="1"/>
        <v>5</v>
      </c>
      <c r="Q25" s="36">
        <f t="shared" si="0"/>
        <v>0</v>
      </c>
    </row>
    <row r="26" spans="1:17">
      <c r="A26" s="44"/>
      <c r="B26" s="56"/>
      <c r="C26" s="55"/>
      <c r="D26" s="55"/>
      <c r="P26" s="21">
        <f t="shared" si="1"/>
        <v>0</v>
      </c>
      <c r="Q26" s="36">
        <f t="shared" si="0"/>
        <v>0</v>
      </c>
    </row>
    <row r="27" spans="1:17">
      <c r="A27" s="44" t="s">
        <v>12</v>
      </c>
      <c r="B27" s="45">
        <v>12</v>
      </c>
      <c r="C27" s="48">
        <f>C23-C25</f>
        <v>-23479</v>
      </c>
      <c r="D27" s="48">
        <f>D23-D25</f>
        <v>-18797</v>
      </c>
      <c r="P27" s="21">
        <f t="shared" si="1"/>
        <v>0</v>
      </c>
      <c r="Q27" s="36">
        <f t="shared" si="0"/>
        <v>-23479</v>
      </c>
    </row>
    <row r="28" spans="1:17">
      <c r="A28" s="44"/>
      <c r="B28" s="56"/>
      <c r="C28" s="48"/>
      <c r="D28" s="48"/>
      <c r="P28" s="21">
        <f t="shared" si="1"/>
        <v>0</v>
      </c>
      <c r="Q28" s="36">
        <f t="shared" si="0"/>
        <v>0</v>
      </c>
    </row>
    <row r="29" spans="1:17">
      <c r="A29" s="59" t="s">
        <v>13</v>
      </c>
      <c r="B29" s="53">
        <v>12</v>
      </c>
      <c r="C29" s="51">
        <f>C27</f>
        <v>-23479</v>
      </c>
      <c r="D29" s="51">
        <f>D27</f>
        <v>-18797</v>
      </c>
    </row>
    <row r="30" spans="1:17">
      <c r="A30" s="57"/>
      <c r="C30" s="36"/>
      <c r="D30" s="21"/>
    </row>
    <row r="31" spans="1:17" ht="18" customHeight="1">
      <c r="A31" s="35" t="s">
        <v>14</v>
      </c>
    </row>
    <row r="32" spans="1:17" ht="19.5" customHeight="1">
      <c r="A32" s="35" t="str">
        <f>'Фин. полож'!A47</f>
        <v>Бабенов Б.Б.</v>
      </c>
    </row>
    <row r="33" spans="1:1" ht="45.75" customHeight="1">
      <c r="A33" s="35" t="str">
        <f>'Фин. полож'!A48</f>
        <v>Председатель Правления</v>
      </c>
    </row>
    <row r="34" spans="1:1" ht="18" customHeight="1">
      <c r="A34" s="35" t="s">
        <v>14</v>
      </c>
    </row>
    <row r="35" spans="1:1">
      <c r="A35" s="35" t="s">
        <v>15</v>
      </c>
    </row>
    <row r="36" spans="1:1">
      <c r="A36" s="35" t="s">
        <v>16</v>
      </c>
    </row>
  </sheetData>
  <mergeCells count="6">
    <mergeCell ref="A2:D2"/>
    <mergeCell ref="A5:A7"/>
    <mergeCell ref="B5:B7"/>
    <mergeCell ref="A1:D1"/>
    <mergeCell ref="A3:D3"/>
    <mergeCell ref="A4:D4"/>
  </mergeCells>
  <pageMargins left="0.70866141732283472" right="0.48" top="0.74803149606299213" bottom="0.74803149606299213" header="0.31496062992125984" footer="0.31496062992125984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Фин. полож</vt:lpstr>
      <vt:lpstr>капитал</vt:lpstr>
      <vt:lpstr>ДД</vt:lpstr>
      <vt:lpstr>СГД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2016-01-29T09:19:18Z</dcterms:modified>
</cp:coreProperties>
</file>