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25" yWindow="495" windowWidth="12750" windowHeight="9825" activeTab="3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Denisenko-E</author>
  </authors>
  <commentList>
    <comment ref="F34" authorId="0">
      <text>
        <r>
          <rPr>
            <b/>
            <sz val="8"/>
            <rFont val="Tahoma"/>
            <family val="2"/>
          </rPr>
          <t>Denisenko-E:</t>
        </r>
        <r>
          <rPr>
            <sz val="8"/>
            <rFont val="Tahoma"/>
            <family val="2"/>
          </rPr>
          <t xml:space="preserve">
-1 564 185 ПЭ</t>
        </r>
      </text>
    </comment>
  </commentList>
</comments>
</file>

<file path=xl/sharedStrings.xml><?xml version="1.0" encoding="utf-8"?>
<sst xmlns="http://schemas.openxmlformats.org/spreadsheetml/2006/main" count="546" uniqueCount="298">
  <si>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</si>
  <si>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</si>
  <si>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</si>
  <si>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</si>
  <si>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</si>
  <si>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</si>
  <si>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</si>
  <si>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</si>
  <si>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</si>
  <si>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</si>
  <si>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</si>
  <si>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</si>
  <si>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</si>
  <si>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</si>
  <si>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</si>
  <si>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</si>
  <si>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</si>
  <si>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</si>
  <si>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</si>
  <si>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</si>
  <si>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</si>
  <si>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</si>
  <si>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</si>
  <si>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</si>
  <si>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</si>
  <si>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</si>
  <si>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</si>
  <si>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</si>
  <si>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</si>
  <si>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</si>
  <si>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</si>
  <si>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</si>
  <si>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</si>
  <si>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</si>
  <si>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</si>
  <si>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</si>
  <si>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</si>
  <si>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</si>
  <si>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</si>
  <si>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</si>
  <si>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</si>
  <si>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</si>
  <si>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</si>
  <si>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</si>
  <si>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</si>
  <si>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</si>
  <si>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</si>
  <si>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</si>
  <si>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</si>
  <si>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</si>
  <si>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</si>
  <si>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</si>
  <si>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</si>
  <si>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</si>
  <si>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</si>
  <si>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</si>
  <si>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</si>
  <si>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</si>
  <si>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</si>
  <si>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</si>
  <si>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</si>
  <si>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</si>
  <si>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</si>
  <si>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</si>
  <si>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</si>
  <si>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</si>
  <si>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</si>
  <si>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</si>
  <si>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</si>
  <si>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</si>
  <si>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</si>
  <si>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</si>
  <si>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</si>
  <si>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</si>
  <si>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</si>
  <si>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</si>
  <si>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</si>
  <si>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</si>
  <si>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</si>
  <si>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</si>
  <si>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</si>
  <si>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</si>
  <si>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</si>
  <si>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</si>
  <si>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</si>
  <si>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</si>
  <si>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</si>
  <si>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</si>
  <si>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</si>
  <si>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</si>
  <si>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</si>
  <si>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</si>
  <si>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</si>
  <si>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</si>
  <si>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</si>
  <si>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</si>
  <si>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</si>
  <si>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</si>
  <si>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</si>
  <si>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</si>
  <si>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</si>
  <si>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</si>
  <si>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</si>
  <si>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</si>
  <si>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</si>
  <si>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</si>
  <si>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</si>
  <si>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</si>
  <si>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</si>
  <si>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</si>
  <si>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</si>
  <si>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</si>
  <si>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</si>
  <si>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</si>
  <si>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</si>
  <si>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</si>
  <si>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</si>
  <si>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</si>
  <si>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</si>
  <si>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</si>
  <si>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</si>
  <si>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</si>
  <si>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</si>
  <si>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</si>
  <si>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</si>
  <si>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</si>
  <si>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</si>
  <si>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</si>
  <si>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</si>
  <si>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</si>
  <si>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</si>
  <si>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</si>
  <si>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</si>
  <si>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</si>
  <si>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</si>
  <si>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</si>
  <si>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</si>
  <si>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</si>
  <si>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</si>
  <si>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</si>
  <si>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</si>
  <si>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</si>
  <si>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</si>
  <si>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</si>
  <si>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</si>
  <si>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</si>
  <si>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</si>
  <si>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</si>
  <si>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</si>
  <si>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</si>
  <si>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</si>
  <si>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</si>
  <si>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</si>
  <si>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</si>
  <si>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</si>
  <si>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</si>
  <si>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</si>
  <si>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</si>
  <si>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</si>
  <si>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</si>
  <si>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</si>
  <si>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</si>
  <si>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</si>
  <si>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</si>
  <si>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</si>
  <si>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</si>
  <si>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</si>
  <si>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</si>
  <si>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</si>
  <si>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</si>
  <si>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</si>
  <si>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</si>
  <si>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</si>
  <si>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</si>
  <si>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</si>
  <si>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</si>
  <si>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</si>
  <si>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Дополнительный оплаченный капитал</t>
  </si>
  <si>
    <t>Доп.оплач. капитал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</si>
  <si>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</si>
  <si>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</si>
  <si>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</si>
  <si>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</si>
  <si>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</si>
  <si>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</si>
  <si>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</si>
  <si>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</si>
  <si>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</si>
  <si>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</si>
  <si>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</si>
  <si>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</si>
  <si>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</si>
  <si>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</si>
  <si>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</si>
  <si>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</si>
  <si>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</si>
  <si>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</si>
  <si>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</si>
  <si>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</si>
  <si>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</si>
  <si>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</si>
  <si>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</si>
  <si>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</si>
  <si>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</si>
  <si>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</si>
  <si>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</si>
  <si>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</si>
  <si>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</si>
  <si>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</si>
  <si>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</si>
  <si>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</si>
  <si>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</si>
  <si>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</si>
  <si>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</si>
  <si>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</si>
  <si>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</si>
  <si>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</si>
  <si>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</si>
  <si>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</si>
  <si>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</si>
  <si>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</si>
  <si>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</si>
  <si>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</si>
  <si>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</si>
  <si>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</si>
  <si>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</si>
  <si>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</si>
  <si>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</si>
  <si>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</si>
  <si>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</si>
  <si>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</si>
  <si>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</si>
  <si>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</si>
  <si>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</si>
  <si>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</si>
  <si>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</si>
  <si>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</si>
  <si>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</si>
  <si>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</si>
  <si>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</si>
  <si>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</si>
  <si>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</si>
  <si>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</si>
  <si>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</si>
  <si>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</si>
  <si>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</si>
  <si>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</si>
  <si>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</si>
  <si>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</si>
  <si>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</si>
  <si>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</si>
  <si>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</si>
  <si>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</si>
  <si>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</si>
  <si>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</si>
  <si>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</si>
  <si>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</si>
  <si>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</si>
  <si>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</si>
  <si>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</si>
  <si>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</si>
  <si>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</si>
  <si>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</si>
  <si>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</si>
  <si>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</si>
  <si>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</si>
  <si>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</si>
  <si>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</si>
  <si>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</si>
  <si>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</si>
  <si>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</si>
  <si>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</si>
  <si>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</si>
  <si>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</si>
  <si>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консолидированный</t>
  </si>
  <si>
    <t>Отчет о движении денежных средств (консолидированный)</t>
  </si>
  <si>
    <t xml:space="preserve"> За 9 месяцев 2019г.</t>
  </si>
  <si>
    <t>по состоянию на 31 марта 2021 года</t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</si>
  <si>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 27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</si>
  <si>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</si>
  <si>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</si>
  <si>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 27                                 </t>
    </r>
  </si>
  <si>
    <t xml:space="preserve"> За январь-март 2021г.</t>
  </si>
  <si>
    <t>в т.ч. Март 2021г</t>
  </si>
  <si>
    <t xml:space="preserve"> За январь-март 2020г.</t>
  </si>
  <si>
    <t>в т.ч. март 2020г</t>
  </si>
  <si>
    <t>Прочие доходы</t>
  </si>
  <si>
    <t xml:space="preserve">Генеральный директор                     </t>
  </si>
  <si>
    <t xml:space="preserve">консолидированный </t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</si>
  <si>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 27                                      </t>
    </r>
  </si>
  <si>
    <t>Дополнительно оплаченный капитал</t>
  </si>
  <si>
    <t xml:space="preserve">Корр-ка до справедл.стоимости </t>
  </si>
  <si>
    <t>Прочий совокупный доход</t>
  </si>
  <si>
    <t>Сальдо на 31 марта отчетного года (стр.060-стр.070+стр.080-стр.090)</t>
  </si>
  <si>
    <t xml:space="preserve">Корректировка до справедливой стоимости </t>
  </si>
  <si>
    <t>132</t>
  </si>
  <si>
    <t>Сальдо на 31 марта предыдущего года (стр.160-стр.170+стр.180-стр.190)</t>
  </si>
  <si>
    <t xml:space="preserve">Генеральный директор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</si>
</sst>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_ ;\-0\ 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_(* #,##0_);_(* \(#,##0\);_(* &quot;-&quot;_);_(@_)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000_р_._-;\-* #,##0.0000_р_._-;_-* &quot;-&quot;_р_._-;_-@_-"/>
    <numFmt numFmtId="182" formatCode="_-* #,##0.00000_р_._-;\-* #,##0.00000_р_._-;_-* &quot;-&quot;_р_._-;_-@_-"/>
    <numFmt numFmtId="183" formatCode="_-* #,##0.0000_р_._-;\-* #,##0.0000_р_._-;_-* &quot;-&quot;??_р_._-;_-@_-"/>
    <numFmt numFmtId="184" formatCode="_(* #,##0_);_(* \(#,##0\);_(* \-_);_(@_)"/>
    <numFmt numFmtId="185" formatCode="_-* #,##0.00_р_._-;\-* #,##0.00_р_._-;_-* \-??_р_._-;_-@_-"/>
    <numFmt numFmtId="186" formatCode="_-* #,##0_р_._-;\-* #,##0_р_._-;_-* \-_р_._-;_-@_-"/>
    <numFmt numFmtId="187" formatCode="_(* #,##0.0_);_(* \(#,##0.0\);_(* \-_);_(@_)"/>
    <numFmt numFmtId="188" formatCode="_(* #,##0.00_);_(* \(#,##0.00\);_(* \-_);_(@_)"/>
    <numFmt numFmtId="189" formatCode="0.0%"/>
    <numFmt numFmtId="190" formatCode="_-* #,##0.0\ _₽_-;\-* #,##0.0\ _₽_-;_-* &quot;-&quot;?\ _₽_-;_-@_-"/>
    <numFmt numFmtId="191" formatCode="#,##0.00_ ;\-#,##0.00\ "/>
  </numFmts>
  <fonts count="61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69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9" fontId="14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7" fillId="0" borderId="11" xfId="0" applyNumberFormat="1" applyFont="1" applyBorder="1" applyAlignment="1">
      <alignment horizontal="right" vertical="center" shrinkToFit="1"/>
    </xf>
    <xf numFmtId="169" fontId="7" fillId="0" borderId="1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49" fontId="15" fillId="0" borderId="14" xfId="61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169" fontId="15" fillId="0" borderId="14" xfId="61" applyNumberFormat="1" applyFont="1" applyFill="1" applyBorder="1" applyAlignment="1">
      <alignment horizontal="right" vertical="center" shrinkToFit="1"/>
    </xf>
    <xf numFmtId="0" fontId="15" fillId="0" borderId="14" xfId="0" applyFont="1" applyBorder="1" applyAlignment="1">
      <alignment vertical="center" wrapText="1"/>
    </xf>
    <xf numFmtId="169" fontId="15" fillId="0" borderId="14" xfId="0" applyNumberFormat="1" applyFont="1" applyBorder="1" applyAlignment="1">
      <alignment horizontal="right" vertical="center" shrinkToFit="1"/>
    </xf>
    <xf numFmtId="169" fontId="15" fillId="0" borderId="14" xfId="61" applyNumberFormat="1" applyFont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9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169" fontId="17" fillId="0" borderId="0" xfId="0" applyNumberFormat="1" applyFont="1" applyAlignment="1">
      <alignment vertical="center"/>
    </xf>
    <xf numFmtId="169" fontId="7" fillId="0" borderId="11" xfId="0" applyNumberFormat="1" applyFont="1" applyFill="1" applyBorder="1" applyAlignment="1">
      <alignment horizontal="right" vertical="center" shrinkToFit="1"/>
    </xf>
    <xf numFmtId="169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169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79" fontId="14" fillId="0" borderId="0" xfId="0" applyNumberFormat="1" applyFont="1" applyAlignment="1">
      <alignment/>
    </xf>
    <xf numFmtId="169" fontId="7" fillId="0" borderId="0" xfId="0" applyNumberFormat="1" applyFont="1" applyBorder="1" applyAlignment="1">
      <alignment horizontal="right" vertical="center" shrinkToFit="1"/>
    </xf>
    <xf numFmtId="179" fontId="7" fillId="0" borderId="13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7" fontId="15" fillId="0" borderId="14" xfId="61" applyNumberFormat="1" applyFont="1" applyFill="1" applyBorder="1" applyAlignment="1">
      <alignment horizontal="right" vertical="center" shrinkToFit="1"/>
    </xf>
    <xf numFmtId="177" fontId="15" fillId="0" borderId="14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horizontal="right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184" fontId="7" fillId="0" borderId="13" xfId="0" applyNumberFormat="1" applyFont="1" applyBorder="1" applyAlignment="1">
      <alignment horizontal="right" vertical="center" shrinkToFit="1"/>
    </xf>
    <xf numFmtId="184" fontId="7" fillId="0" borderId="11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right" vertical="center" shrinkToFit="1"/>
    </xf>
    <xf numFmtId="169" fontId="7" fillId="33" borderId="11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Alignment="1">
      <alignment/>
    </xf>
    <xf numFmtId="184" fontId="7" fillId="0" borderId="11" xfId="0" applyNumberFormat="1" applyFont="1" applyBorder="1" applyAlignment="1" applyProtection="1">
      <alignment horizontal="right" vertical="center" shrinkToFit="1"/>
      <protection locked="0"/>
    </xf>
    <xf numFmtId="184" fontId="7" fillId="0" borderId="11" xfId="0" applyNumberFormat="1" applyFont="1" applyBorder="1" applyAlignment="1" applyProtection="1">
      <alignment vertical="center"/>
      <protection locked="0"/>
    </xf>
    <xf numFmtId="184" fontId="7" fillId="0" borderId="11" xfId="0" applyNumberFormat="1" applyFont="1" applyBorder="1" applyAlignment="1" applyProtection="1">
      <alignment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 shrinkToFit="1"/>
      <protection locked="0"/>
    </xf>
    <xf numFmtId="184" fontId="7" fillId="0" borderId="11" xfId="0" applyNumberFormat="1" applyFont="1" applyBorder="1" applyAlignment="1" applyProtection="1">
      <alignment horizontal="left" vertical="center"/>
      <protection locked="0"/>
    </xf>
    <xf numFmtId="184" fontId="7" fillId="0" borderId="11" xfId="0" applyNumberFormat="1" applyFont="1" applyBorder="1" applyAlignment="1">
      <alignment vertical="center" shrinkToFit="1"/>
    </xf>
    <xf numFmtId="188" fontId="7" fillId="0" borderId="13" xfId="0" applyNumberFormat="1" applyFont="1" applyBorder="1" applyAlignment="1">
      <alignment vertical="center" shrinkToFit="1"/>
    </xf>
    <xf numFmtId="176" fontId="7" fillId="0" borderId="11" xfId="61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 shrinkToFit="1"/>
    </xf>
    <xf numFmtId="3" fontId="7" fillId="0" borderId="11" xfId="61" applyNumberFormat="1" applyFont="1" applyBorder="1" applyAlignment="1">
      <alignment horizontal="right" vertical="center" shrinkToFit="1"/>
    </xf>
    <xf numFmtId="0" fontId="7" fillId="33" borderId="0" xfId="0" applyFont="1" applyFill="1" applyAlignment="1">
      <alignment vertical="center"/>
    </xf>
    <xf numFmtId="169" fontId="17" fillId="0" borderId="11" xfId="0" applyNumberFormat="1" applyFont="1" applyBorder="1" applyAlignment="1">
      <alignment vertical="center"/>
    </xf>
    <xf numFmtId="169" fontId="59" fillId="33" borderId="0" xfId="0" applyNumberFormat="1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right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9" fontId="7" fillId="0" borderId="0" xfId="58" applyNumberFormat="1" applyFont="1" applyAlignment="1">
      <alignment/>
    </xf>
    <xf numFmtId="9" fontId="7" fillId="0" borderId="0" xfId="58" applyFont="1" applyAlignment="1">
      <alignment/>
    </xf>
    <xf numFmtId="189" fontId="7" fillId="0" borderId="0" xfId="58" applyNumberFormat="1" applyFont="1" applyAlignment="1">
      <alignment vertical="center"/>
    </xf>
    <xf numFmtId="9" fontId="7" fillId="0" borderId="0" xfId="58" applyFont="1" applyAlignment="1">
      <alignment vertical="center"/>
    </xf>
    <xf numFmtId="189" fontId="7" fillId="0" borderId="0" xfId="58" applyNumberFormat="1" applyFont="1" applyAlignment="1">
      <alignment horizontal="center" vertical="center" wrapText="1"/>
    </xf>
    <xf numFmtId="9" fontId="7" fillId="0" borderId="0" xfId="58" applyFont="1" applyAlignment="1">
      <alignment horizontal="center" vertical="center" wrapText="1"/>
    </xf>
    <xf numFmtId="169" fontId="7" fillId="0" borderId="0" xfId="0" applyNumberFormat="1" applyFont="1" applyAlignment="1">
      <alignment vertical="center"/>
    </xf>
    <xf numFmtId="189" fontId="7" fillId="0" borderId="0" xfId="0" applyNumberFormat="1" applyFont="1" applyAlignment="1">
      <alignment vertical="center"/>
    </xf>
    <xf numFmtId="10" fontId="7" fillId="0" borderId="0" xfId="58" applyNumberFormat="1" applyFont="1" applyAlignment="1">
      <alignment vertical="center"/>
    </xf>
    <xf numFmtId="169" fontId="7" fillId="0" borderId="0" xfId="58" applyNumberFormat="1" applyFont="1" applyAlignment="1">
      <alignment vertical="center"/>
    </xf>
    <xf numFmtId="191" fontId="7" fillId="0" borderId="0" xfId="61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189" fontId="7" fillId="34" borderId="0" xfId="58" applyNumberFormat="1" applyFont="1" applyFill="1" applyAlignment="1">
      <alignment vertical="center"/>
    </xf>
    <xf numFmtId="176" fontId="7" fillId="33" borderId="0" xfId="61" applyNumberFormat="1" applyFont="1" applyFill="1" applyAlignment="1">
      <alignment vertical="center"/>
    </xf>
    <xf numFmtId="189" fontId="7" fillId="35" borderId="0" xfId="58" applyNumberFormat="1" applyFont="1" applyFill="1" applyAlignment="1">
      <alignment vertical="center"/>
    </xf>
    <xf numFmtId="169" fontId="7" fillId="35" borderId="0" xfId="0" applyNumberFormat="1" applyFont="1" applyFill="1" applyAlignment="1">
      <alignment vertical="center"/>
    </xf>
    <xf numFmtId="189" fontId="22" fillId="0" borderId="0" xfId="58" applyNumberFormat="1" applyFont="1" applyAlignment="1">
      <alignment vertical="center"/>
    </xf>
    <xf numFmtId="169" fontId="22" fillId="0" borderId="0" xfId="0" applyNumberFormat="1" applyFont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189" fontId="59" fillId="33" borderId="0" xfId="58" applyNumberFormat="1" applyFont="1" applyFill="1" applyAlignment="1">
      <alignment vertical="center"/>
    </xf>
    <xf numFmtId="169" fontId="60" fillId="33" borderId="0" xfId="0" applyNumberFormat="1" applyFont="1" applyFill="1" applyAlignment="1">
      <alignment vertical="center"/>
    </xf>
    <xf numFmtId="169" fontId="7" fillId="0" borderId="0" xfId="0" applyNumberFormat="1" applyFont="1" applyAlignment="1">
      <alignment horizontal="center" vertical="center"/>
    </xf>
    <xf numFmtId="189" fontId="7" fillId="0" borderId="0" xfId="0" applyNumberFormat="1" applyFont="1" applyAlignment="1">
      <alignment horizontal="center" vertical="center"/>
    </xf>
    <xf numFmtId="184" fontId="2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justify"/>
    </xf>
    <xf numFmtId="184" fontId="7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>
      <alignment horizontal="justify" wrapText="1"/>
    </xf>
    <xf numFmtId="14" fontId="7" fillId="0" borderId="0" xfId="0" applyNumberFormat="1" applyFont="1" applyAlignment="1">
      <alignment/>
    </xf>
    <xf numFmtId="169" fontId="7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horizontal="justify"/>
    </xf>
    <xf numFmtId="188" fontId="7" fillId="0" borderId="13" xfId="61" applyNumberFormat="1" applyFont="1" applyBorder="1" applyAlignment="1">
      <alignment vertical="center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7" fontId="15" fillId="33" borderId="14" xfId="61" applyNumberFormat="1" applyFont="1" applyFill="1" applyBorder="1" applyAlignment="1">
      <alignment horizontal="right" vertical="center" shrinkToFit="1"/>
    </xf>
    <xf numFmtId="169" fontId="15" fillId="33" borderId="14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shrinkToFit="1"/>
    </xf>
    <xf numFmtId="3" fontId="7" fillId="0" borderId="11" xfId="61" applyNumberFormat="1" applyFont="1" applyFill="1" applyBorder="1" applyAlignment="1">
      <alignment horizontal="right" vertical="center" shrinkToFit="1"/>
    </xf>
    <xf numFmtId="3" fontId="7" fillId="0" borderId="13" xfId="0" applyNumberFormat="1" applyFont="1" applyFill="1" applyBorder="1" applyAlignment="1">
      <alignment horizontal="right" vertical="center" shrinkToFit="1"/>
    </xf>
    <xf numFmtId="3" fontId="7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right" vertical="center" shrinkToFit="1"/>
    </xf>
    <xf numFmtId="184" fontId="7" fillId="0" borderId="13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 shrinkToFit="1"/>
    </xf>
    <xf numFmtId="184" fontId="7" fillId="0" borderId="12" xfId="0" applyNumberFormat="1" applyFont="1" applyFill="1" applyBorder="1" applyAlignment="1">
      <alignment horizontal="right" vertical="center" shrinkToFit="1"/>
    </xf>
    <xf numFmtId="169" fontId="7" fillId="0" borderId="13" xfId="0" applyNumberFormat="1" applyFont="1" applyFill="1" applyBorder="1" applyAlignment="1">
      <alignment horizontal="right" vertical="center" shrinkToFit="1"/>
    </xf>
    <xf numFmtId="169" fontId="7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0</xdr:row>
      <xdr:rowOff>28575</xdr:rowOff>
    </xdr:from>
    <xdr:to>
      <xdr:col>1</xdr:col>
      <xdr:colOff>504825</xdr:colOff>
      <xdr:row>6</xdr:row>
      <xdr:rowOff>104775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8575"/>
          <a:ext cx="251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7</xdr:row>
      <xdr:rowOff>9525</xdr:rowOff>
    </xdr:to>
    <xdr:pic>
      <xdr:nvPicPr>
        <xdr:cNvPr id="3" name="Picture 24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8</xdr:col>
      <xdr:colOff>838200</xdr:colOff>
      <xdr:row>6</xdr:row>
      <xdr:rowOff>171450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7639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2914650</xdr:colOff>
      <xdr:row>0</xdr:row>
      <xdr:rowOff>171450</xdr:rowOff>
    </xdr:from>
    <xdr:to>
      <xdr:col>3</xdr:col>
      <xdr:colOff>666750</xdr:colOff>
      <xdr:row>7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71450"/>
          <a:ext cx="3124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9</xdr:col>
      <xdr:colOff>695325</xdr:colOff>
      <xdr:row>7</xdr:row>
      <xdr:rowOff>38100</xdr:rowOff>
    </xdr:to>
    <xdr:pic>
      <xdr:nvPicPr>
        <xdr:cNvPr id="3" name="Picture 8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01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1323975</xdr:colOff>
      <xdr:row>4</xdr:row>
      <xdr:rowOff>152400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36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8</xdr:col>
      <xdr:colOff>685800</xdr:colOff>
      <xdr:row>7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791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57150</xdr:rowOff>
    </xdr:from>
    <xdr:to>
      <xdr:col>5</xdr:col>
      <xdr:colOff>533400</xdr:colOff>
      <xdr:row>6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7150"/>
          <a:ext cx="2838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47625</xdr:rowOff>
    </xdr:from>
    <xdr:to>
      <xdr:col>8</xdr:col>
      <xdr:colOff>790575</xdr:colOff>
      <xdr:row>6</xdr:row>
      <xdr:rowOff>219075</xdr:rowOff>
    </xdr:to>
    <xdr:pic>
      <xdr:nvPicPr>
        <xdr:cNvPr id="3" name="Picture 10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19\3%20&#1082;&#1074;&#1072;&#1088;&#1090;&#1072;&#1083;%20-%20&#1085;&#1086;&#1074;&#1099;&#1081;%20&#1092;&#1086;&#1088;&#1084;&#1072;&#1090;\&#1041;&#1059;&#1061;%20&#1041;&#1040;&#1051;&#1040;&#1053;&#1057;%20&#1079;&#1072;%203%20&#1082;&#1074;&#1072;&#1088;&#1090;&#1072;&#1083;%202019%20&#1075;%20%20(&#1050;&#1054;&#1053;&#1057;&#1054;&#1051;)%20&#1055;&#1069;-&#1062;&#1040;&#1058;&#1069;&#1050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buh_10\Desktop\&#1056;&#1072;&#1073;&#1086;&#1095;&#1080;&#1081;%20&#1089;&#1090;&#1086;&#1083;\&#1041;&#1080;&#1088;&#1078;&#1072;\&#1041;&#1080;&#1088;&#1078;&#1072;\2019\3%20&#1082;&#1074;,19&#1075;\3%20&#1092;%20&#1079;&#1072;%209%20&#1084;&#1077;&#1089;%202019%20%20&#1055;&#1072;&#1074;&#1083;&#1086;&#1076;&#1072;&#1088;&#1101;&#1085;&#1077;&#1088;&#1075;&#1086;%20(&#1082;&#1086;&#1085;&#1089;&#1086;&#108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enich\Documents\&#1050;&#1086;&#1085;&#1089;&#1086;&#1083;&#1080;&#1076;&#1072;&#1094;&#1080;&#1103;%20&#1076;&#1086;%2030%20&#1095;&#1080;&#1089;&#1083;&#1072;%20&#1089;&#1083;&#1077;&#1076;.&#1079;&#1072;%20&#1086;&#1090;&#1095;&#1077;&#1090;&#1085;&#1099;&#1084;\2021\&#1084;&#1072;&#1088;&#1090;%202021\2021%20CAEPCO%20%20&#1050;&#1086;&#1085;&#1089;&#1086;&#1083;&#1080;&#1076;&#1072;&#1094;&#1080;&#1080;%20&#1060;&#1054;%20&#1055;&#1069;%203103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buh_10\Desktop\&#1056;&#1072;&#1073;&#1086;&#1095;&#1080;&#1081;%20&#1089;&#1090;&#1086;&#1083;\&#1045;&#1041;&#1056;&#1056;\2021\&#1103;&#1085;&#1074;&#1072;&#1088;&#1100;-&#1084;&#1072;&#1088;&#1090;%202021&#1075;\&#1060;&#1048;&#1053;.&#1054;&#1058;&#1063;&#1045;&#1058;&#1053;&#1054;&#1057;&#1058;&#1068;%20%20&#1079;&#1072;%20&#1084;&#1072;&#1088;&#1090;%202021%20&#1075;.&#1045;&#1041;&#1056;&#10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buh_10\Desktop\&#1056;&#1072;&#1073;&#1086;&#1095;&#1080;&#1081;%20&#1089;&#1090;&#1086;&#1083;\&#1050;&#1086;&#1085;&#1089;&#1086;&#1083;&#1080;&#1076;&#1072;&#1094;&#1080;&#1103;%20&#1076;&#1086;%2030%20&#1095;&#1080;&#1089;&#1083;&#1072;%20&#1089;&#1083;&#1077;&#1076;.&#1079;&#1072;%20&#1086;&#1090;&#1095;&#1077;&#1090;&#1085;&#1099;&#1084;(1)\2021\1%20&#1082;&#1074;.2021\2021%20CAEPCO%20%20&#1050;&#1086;&#1085;&#1089;&#1086;&#1083;&#1080;&#1076;&#1072;&#1094;&#1080;&#1080;%20&#1060;&#1054;%20&#1055;&#1069;%201&#1082;&#1074;2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buh_10\Desktop\&#1056;&#1072;&#1073;&#1086;&#1095;&#1080;&#1081;%20&#1089;&#1090;&#1086;&#1083;\&#1050;&#1086;&#1085;&#1089;&#1086;&#1083;&#1080;&#1076;&#1072;&#1094;&#1080;&#1103;%20&#1076;&#1086;%2030%20&#1095;&#1080;&#1089;&#1083;&#1072;%20&#1089;&#1083;&#1077;&#1076;.&#1079;&#1072;%20&#1086;&#1090;&#1095;&#1077;&#1090;&#1085;&#1099;&#1084;(1)\2020\4%20&#1082;&#1074;%202020&#1075;\2020%20CAEPCO%20%20&#1050;&#1086;&#1085;&#1089;&#1086;&#1083;&#1080;&#1076;&#1072;&#1094;&#1080;&#1080;%20&#1060;&#1054;%20&#1055;&#1069;%203112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(новый)"/>
      <sheetName val="ОИСК(новый)"/>
      <sheetName val="Пр.долг.активы"/>
      <sheetName val="Деньги "/>
      <sheetName val="Авансы выд."/>
      <sheetName val="ТМЗ"/>
      <sheetName val="ОС"/>
      <sheetName val="НМА"/>
      <sheetName val="ТДЗ"/>
      <sheetName val="ПрочДЗ"/>
      <sheetName val="Займы"/>
      <sheetName val="ТКЗ,ДКЗ"/>
      <sheetName val="Авансы получ."/>
      <sheetName val="Облигации."/>
      <sheetName val="Проч.об-ва"/>
      <sheetName val="Доходы"/>
      <sheetName val="Себ-ть"/>
      <sheetName val="33"/>
      <sheetName val="37"/>
      <sheetName val="32"/>
      <sheetName val="бб"/>
      <sheetName val="ф2"/>
      <sheetName val="Ф3"/>
      <sheetName val="Ф4"/>
      <sheetName val="Облигации"/>
      <sheetName val="кредиты "/>
      <sheetName val="налоги"/>
      <sheetName val="прочие обяз-ва"/>
      <sheetName val="Дт"/>
      <sheetName val="Кт"/>
      <sheetName val="Лист1"/>
      <sheetName val="Лист2"/>
      <sheetName val="Лист3"/>
      <sheetName val="БУХ БАЛАНС за 3 квартал 2019 г "/>
    </sheetNames>
    <sheetDataSet>
      <sheetData sheetId="24">
        <row r="23">
          <cell r="D23">
            <v>0</v>
          </cell>
        </row>
        <row r="61">
          <cell r="D61">
            <v>0</v>
          </cell>
        </row>
        <row r="72">
          <cell r="D72">
            <v>0</v>
          </cell>
        </row>
        <row r="92">
          <cell r="D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3 "/>
    </sheetNames>
    <sheetDataSet>
      <sheetData sheetId="0">
        <row r="18">
          <cell r="E18">
            <v>39561477.94732</v>
          </cell>
        </row>
        <row r="33">
          <cell r="E33">
            <v>745995.62386</v>
          </cell>
        </row>
        <row r="46">
          <cell r="E46">
            <v>21327250.39567999</v>
          </cell>
        </row>
        <row r="48">
          <cell r="E48">
            <v>5166956.72396</v>
          </cell>
        </row>
        <row r="49">
          <cell r="E49">
            <v>611528</v>
          </cell>
        </row>
        <row r="50">
          <cell r="E50">
            <v>2768326.0996600003</v>
          </cell>
        </row>
        <row r="51">
          <cell r="E51">
            <v>471875.58</v>
          </cell>
        </row>
        <row r="52">
          <cell r="E52">
            <v>4830557.996250001</v>
          </cell>
        </row>
        <row r="53">
          <cell r="E53">
            <v>826981.64558</v>
          </cell>
        </row>
        <row r="60">
          <cell r="E60">
            <v>1160.2557100001723</v>
          </cell>
        </row>
        <row r="64">
          <cell r="E64">
            <v>1050000.2859999998</v>
          </cell>
        </row>
        <row r="66">
          <cell r="E66">
            <v>2617203.74966</v>
          </cell>
        </row>
        <row r="70">
          <cell r="E70">
            <v>47699</v>
          </cell>
        </row>
        <row r="71">
          <cell r="E71">
            <v>21167</v>
          </cell>
        </row>
        <row r="72">
          <cell r="E72">
            <v>4649891.85403</v>
          </cell>
        </row>
        <row r="74">
          <cell r="E74">
            <v>3840000.286</v>
          </cell>
        </row>
        <row r="76">
          <cell r="E76">
            <v>2420112.4432</v>
          </cell>
        </row>
        <row r="84">
          <cell r="E84">
            <v>31751296</v>
          </cell>
        </row>
        <row r="86">
          <cell r="E86">
            <v>10168.526070000138</v>
          </cell>
        </row>
        <row r="90">
          <cell r="E90">
            <v>27718524.484429996</v>
          </cell>
        </row>
        <row r="92">
          <cell r="E92">
            <v>671000.418</v>
          </cell>
        </row>
        <row r="94">
          <cell r="E94">
            <v>262848.4115499994</v>
          </cell>
        </row>
        <row r="100">
          <cell r="E100">
            <v>395815.43393</v>
          </cell>
        </row>
        <row r="101">
          <cell r="E101">
            <v>485522.6791000047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</sheetNames>
    <sheetDataSet>
      <sheetData sheetId="3">
        <row r="11">
          <cell r="Y11">
            <v>40601</v>
          </cell>
        </row>
        <row r="72">
          <cell r="Y72">
            <v>3586971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ф2"/>
      <sheetName val="ф3 КОСВЕННЫЙ"/>
      <sheetName val="ф4"/>
    </sheetNames>
    <sheetDataSet>
      <sheetData sheetId="0">
        <row r="10">
          <cell r="A10" t="str">
            <v>по состоянию на 31 марта 2021 года</v>
          </cell>
        </row>
      </sheetData>
      <sheetData sheetId="1">
        <row r="10">
          <cell r="A10" t="str">
            <v>по состоянию на 31 марта 2021 года</v>
          </cell>
        </row>
        <row r="52">
          <cell r="F52">
            <v>3791942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2">
        <row r="6">
          <cell r="Y6">
            <v>25316851</v>
          </cell>
        </row>
        <row r="8">
          <cell r="Y8">
            <v>-12654561</v>
          </cell>
        </row>
        <row r="12">
          <cell r="Y12">
            <v>-1103929</v>
          </cell>
        </row>
        <row r="13">
          <cell r="Y13">
            <v>-220628</v>
          </cell>
        </row>
        <row r="14">
          <cell r="Y14">
            <v>-4388696</v>
          </cell>
        </row>
        <row r="15">
          <cell r="Y15">
            <v>1948321</v>
          </cell>
        </row>
        <row r="16">
          <cell r="Y16">
            <v>570576</v>
          </cell>
        </row>
        <row r="20">
          <cell r="Y20">
            <v>-222151</v>
          </cell>
        </row>
        <row r="21">
          <cell r="Y21">
            <v>-535040</v>
          </cell>
        </row>
        <row r="29">
          <cell r="Y29">
            <v>-208681</v>
          </cell>
        </row>
        <row r="35">
          <cell r="Y35">
            <v>1860175.24</v>
          </cell>
        </row>
      </sheetData>
      <sheetData sheetId="3">
        <row r="7">
          <cell r="Y7">
            <v>199181313</v>
          </cell>
        </row>
        <row r="8">
          <cell r="Y8">
            <v>60450441.18</v>
          </cell>
        </row>
        <row r="9">
          <cell r="Y9">
            <v>683615</v>
          </cell>
        </row>
        <row r="10">
          <cell r="Y10">
            <v>20547</v>
          </cell>
        </row>
        <row r="12">
          <cell r="Y12">
            <v>296768</v>
          </cell>
        </row>
        <row r="13">
          <cell r="Y13">
            <v>2019324</v>
          </cell>
        </row>
        <row r="16">
          <cell r="Y16">
            <v>0</v>
          </cell>
        </row>
        <row r="21">
          <cell r="Y21">
            <v>2108110</v>
          </cell>
        </row>
        <row r="22">
          <cell r="Y22">
            <v>14014250</v>
          </cell>
        </row>
        <row r="23">
          <cell r="Y23">
            <v>602009</v>
          </cell>
        </row>
        <row r="24">
          <cell r="Y24">
            <v>245029</v>
          </cell>
        </row>
        <row r="25">
          <cell r="Y25">
            <v>4060542</v>
          </cell>
        </row>
        <row r="26">
          <cell r="Y26">
            <v>43293</v>
          </cell>
        </row>
        <row r="28">
          <cell r="Y28">
            <v>223200</v>
          </cell>
        </row>
        <row r="29">
          <cell r="Y29">
            <v>12634340</v>
          </cell>
        </row>
        <row r="36">
          <cell r="Y36">
            <v>20000000</v>
          </cell>
        </row>
        <row r="37">
          <cell r="Y37">
            <v>1188176</v>
          </cell>
        </row>
        <row r="38">
          <cell r="Y38">
            <v>19416252</v>
          </cell>
        </row>
        <row r="45">
          <cell r="Y45">
            <v>-3336004</v>
          </cell>
        </row>
        <row r="49">
          <cell r="Y49">
            <v>12565159.18</v>
          </cell>
        </row>
        <row r="54">
          <cell r="Y54">
            <v>1614207</v>
          </cell>
        </row>
        <row r="55">
          <cell r="Y55">
            <v>100503130</v>
          </cell>
        </row>
        <row r="56">
          <cell r="Y56">
            <v>4812150</v>
          </cell>
        </row>
        <row r="57">
          <cell r="Y57">
            <v>13583517</v>
          </cell>
        </row>
        <row r="58">
          <cell r="Y58">
            <v>19424995</v>
          </cell>
        </row>
        <row r="59">
          <cell r="Y59">
            <v>959500</v>
          </cell>
        </row>
        <row r="60">
          <cell r="Y60">
            <v>64716</v>
          </cell>
        </row>
        <row r="63">
          <cell r="Y63">
            <v>4652490</v>
          </cell>
        </row>
        <row r="64">
          <cell r="Y64">
            <v>0</v>
          </cell>
        </row>
        <row r="68">
          <cell r="Y68">
            <v>11422</v>
          </cell>
        </row>
        <row r="69">
          <cell r="Y69">
            <v>44209167</v>
          </cell>
        </row>
        <row r="70">
          <cell r="Y70">
            <v>828830</v>
          </cell>
        </row>
        <row r="73">
          <cell r="Y73">
            <v>13987478</v>
          </cell>
        </row>
        <row r="74">
          <cell r="Y74">
            <v>1145600</v>
          </cell>
        </row>
        <row r="75">
          <cell r="Y75">
            <v>927879</v>
          </cell>
        </row>
        <row r="76">
          <cell r="Y76">
            <v>8793</v>
          </cell>
        </row>
        <row r="79">
          <cell r="Y79">
            <v>2832856</v>
          </cell>
        </row>
        <row r="80">
          <cell r="Y80">
            <v>7295</v>
          </cell>
        </row>
      </sheetData>
      <sheetData sheetId="5">
        <row r="322">
          <cell r="M322">
            <v>0</v>
          </cell>
        </row>
      </sheetData>
      <sheetData sheetId="16">
        <row r="19">
          <cell r="X19">
            <v>505416</v>
          </cell>
        </row>
      </sheetData>
      <sheetData sheetId="28">
        <row r="28">
          <cell r="X28">
            <v>1521066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  <sheetName val="2020 CAEPCO  Консолидации ФО ПЭ"/>
    </sheetNames>
    <sheetDataSet>
      <sheetData sheetId="2">
        <row r="7">
          <cell r="Y7">
            <v>129621543</v>
          </cell>
        </row>
        <row r="9">
          <cell r="Y9">
            <v>404300</v>
          </cell>
        </row>
        <row r="10">
          <cell r="Y10">
            <v>20547</v>
          </cell>
        </row>
        <row r="11">
          <cell r="Y11">
            <v>40601</v>
          </cell>
        </row>
        <row r="12">
          <cell r="Y12">
            <v>773648</v>
          </cell>
        </row>
        <row r="13">
          <cell r="Y13">
            <v>2082563</v>
          </cell>
        </row>
        <row r="16">
          <cell r="Y16">
            <v>55756562.55500193</v>
          </cell>
        </row>
        <row r="21">
          <cell r="Y21">
            <v>2747905</v>
          </cell>
        </row>
        <row r="22">
          <cell r="Y22">
            <v>8243713</v>
          </cell>
        </row>
        <row r="23">
          <cell r="Y23">
            <v>109629</v>
          </cell>
        </row>
        <row r="24">
          <cell r="Y24">
            <v>262137</v>
          </cell>
        </row>
        <row r="25">
          <cell r="Y25">
            <v>3148504</v>
          </cell>
        </row>
        <row r="26">
          <cell r="Y26">
            <v>6463387</v>
          </cell>
        </row>
        <row r="28">
          <cell r="Y28">
            <v>10011</v>
          </cell>
        </row>
        <row r="29">
          <cell r="Y29">
            <v>366903</v>
          </cell>
        </row>
        <row r="36">
          <cell r="Y36">
            <v>20000000</v>
          </cell>
        </row>
        <row r="37">
          <cell r="Y37">
            <v>1188176</v>
          </cell>
        </row>
        <row r="38">
          <cell r="Y38">
            <v>19732586</v>
          </cell>
        </row>
        <row r="42">
          <cell r="Y42">
            <v>2123589</v>
          </cell>
        </row>
        <row r="43">
          <cell r="Y43">
            <v>-1974508.444998068</v>
          </cell>
        </row>
        <row r="44">
          <cell r="Y44">
            <v>28381678</v>
          </cell>
        </row>
        <row r="45">
          <cell r="Y45">
            <v>-3336004</v>
          </cell>
        </row>
        <row r="54">
          <cell r="Y54">
            <v>1598798</v>
          </cell>
        </row>
        <row r="55">
          <cell r="Y55">
            <v>0</v>
          </cell>
        </row>
        <row r="56">
          <cell r="Y56">
            <v>4846686</v>
          </cell>
        </row>
        <row r="57">
          <cell r="Y57">
            <v>938978</v>
          </cell>
        </row>
        <row r="58">
          <cell r="Y58">
            <v>18655415</v>
          </cell>
        </row>
        <row r="59">
          <cell r="Y59">
            <v>959500</v>
          </cell>
        </row>
        <row r="60">
          <cell r="Y60">
            <v>64716</v>
          </cell>
        </row>
        <row r="63">
          <cell r="Y63">
            <v>26240</v>
          </cell>
        </row>
        <row r="68">
          <cell r="Y68">
            <v>49450</v>
          </cell>
        </row>
        <row r="69">
          <cell r="Y69">
            <v>96514484</v>
          </cell>
        </row>
        <row r="70">
          <cell r="Y70">
            <v>828830</v>
          </cell>
        </row>
        <row r="72">
          <cell r="Y72">
            <v>232687</v>
          </cell>
        </row>
        <row r="73">
          <cell r="Y73">
            <v>16519562</v>
          </cell>
        </row>
        <row r="74">
          <cell r="Y74">
            <v>1288281</v>
          </cell>
        </row>
        <row r="75">
          <cell r="Y75">
            <v>927879</v>
          </cell>
        </row>
        <row r="76">
          <cell r="Y76">
            <v>8793</v>
          </cell>
        </row>
        <row r="79">
          <cell r="Y79">
            <v>1874046</v>
          </cell>
        </row>
        <row r="80">
          <cell r="Y80">
            <v>7294</v>
          </cell>
        </row>
      </sheetData>
      <sheetData sheetId="16">
        <row r="19">
          <cell r="X19">
            <v>672203</v>
          </cell>
        </row>
      </sheetData>
      <sheetData sheetId="28">
        <row r="28">
          <cell r="X28">
            <v>948959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112"/>
  <sheetViews>
    <sheetView zoomScalePageLayoutView="0" workbookViewId="0" topLeftCell="A79">
      <selection activeCell="J102" sqref="J102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4.75390625" style="24" customWidth="1"/>
    <col min="5" max="5" width="14.75390625" style="118" hidden="1" customWidth="1"/>
    <col min="6" max="7" width="15.75390625" style="4" hidden="1" customWidth="1"/>
    <col min="8" max="8" width="11.75390625" style="4" hidden="1" customWidth="1"/>
    <col min="9" max="9" width="2.625" style="4" customWidth="1"/>
    <col min="10" max="14" width="14.75390625" style="4" customWidth="1"/>
    <col min="15" max="15" width="14.75390625" style="119" customWidth="1"/>
    <col min="16" max="18" width="14.75390625" style="4" customWidth="1"/>
    <col min="19" max="19" width="11.00390625" style="118" customWidth="1"/>
    <col min="20" max="21" width="14.625" style="4" bestFit="1" customWidth="1"/>
    <col min="22" max="22" width="13.375" style="4" bestFit="1" customWidth="1"/>
    <col min="23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19" s="6" customFormat="1" ht="18.75">
      <c r="A8" s="170" t="s">
        <v>213</v>
      </c>
      <c r="B8" s="170"/>
      <c r="C8" s="170"/>
      <c r="D8" s="170"/>
      <c r="E8" s="120"/>
      <c r="O8" s="121"/>
      <c r="S8" s="120"/>
    </row>
    <row r="9" spans="1:19" s="6" customFormat="1" ht="12" customHeight="1">
      <c r="A9" s="171" t="s">
        <v>274</v>
      </c>
      <c r="B9" s="171"/>
      <c r="C9" s="171"/>
      <c r="D9" s="171"/>
      <c r="E9" s="120"/>
      <c r="O9" s="121"/>
      <c r="S9" s="120"/>
    </row>
    <row r="10" spans="1:19" s="6" customFormat="1" ht="12" customHeight="1">
      <c r="A10" s="171" t="s">
        <v>277</v>
      </c>
      <c r="B10" s="171"/>
      <c r="C10" s="171"/>
      <c r="D10" s="171"/>
      <c r="E10" s="120"/>
      <c r="O10" s="121"/>
      <c r="S10" s="120"/>
    </row>
    <row r="11" spans="1:19" s="6" customFormat="1" ht="12" customHeight="1">
      <c r="A11" s="171" t="s">
        <v>78</v>
      </c>
      <c r="B11" s="171"/>
      <c r="C11" s="171"/>
      <c r="D11" s="171"/>
      <c r="E11" s="120"/>
      <c r="O11" s="121"/>
      <c r="S11" s="120"/>
    </row>
    <row r="12" spans="1:19" s="6" customFormat="1" ht="12" customHeight="1">
      <c r="A12" s="3"/>
      <c r="B12" s="3"/>
      <c r="C12" s="3"/>
      <c r="D12" s="7"/>
      <c r="E12" s="120"/>
      <c r="O12" s="121"/>
      <c r="S12" s="120"/>
    </row>
    <row r="13" spans="1:19" s="6" customFormat="1" ht="12.75" customHeight="1">
      <c r="A13" s="173" t="s">
        <v>225</v>
      </c>
      <c r="B13" s="173"/>
      <c r="C13" s="173"/>
      <c r="D13" s="173"/>
      <c r="E13" s="120"/>
      <c r="O13" s="121"/>
      <c r="S13" s="120"/>
    </row>
    <row r="14" spans="1:19" s="6" customFormat="1" ht="6" customHeight="1">
      <c r="A14" s="68"/>
      <c r="B14" s="68"/>
      <c r="C14" s="68"/>
      <c r="D14" s="69"/>
      <c r="E14" s="120"/>
      <c r="O14" s="121"/>
      <c r="S14" s="120"/>
    </row>
    <row r="15" spans="1:19" s="6" customFormat="1" ht="18.75" customHeight="1">
      <c r="A15" s="173" t="s">
        <v>260</v>
      </c>
      <c r="B15" s="173"/>
      <c r="C15" s="173"/>
      <c r="D15" s="173"/>
      <c r="E15" s="120"/>
      <c r="O15" s="121"/>
      <c r="S15" s="120"/>
    </row>
    <row r="16" spans="1:19" s="6" customFormat="1" ht="12.75" customHeight="1">
      <c r="A16" s="174" t="s">
        <v>161</v>
      </c>
      <c r="B16" s="174"/>
      <c r="C16" s="174"/>
      <c r="D16" s="174"/>
      <c r="E16" s="120"/>
      <c r="O16" s="121"/>
      <c r="S16" s="120"/>
    </row>
    <row r="17" spans="1:19" s="6" customFormat="1" ht="12.75" customHeight="1">
      <c r="A17" s="68"/>
      <c r="B17" s="68"/>
      <c r="C17" s="68"/>
      <c r="D17" s="69"/>
      <c r="E17" s="120"/>
      <c r="O17" s="121"/>
      <c r="S17" s="120"/>
    </row>
    <row r="18" spans="1:19" s="6" customFormat="1" ht="18" customHeight="1">
      <c r="A18" s="173" t="s">
        <v>226</v>
      </c>
      <c r="B18" s="173"/>
      <c r="C18" s="173"/>
      <c r="D18" s="173"/>
      <c r="E18" s="120"/>
      <c r="O18" s="121"/>
      <c r="S18" s="120"/>
    </row>
    <row r="19" spans="1:19" s="6" customFormat="1" ht="7.5" customHeight="1">
      <c r="A19" s="68"/>
      <c r="B19" s="68"/>
      <c r="C19" s="68"/>
      <c r="D19" s="69"/>
      <c r="E19" s="120"/>
      <c r="O19" s="121"/>
      <c r="S19" s="120"/>
    </row>
    <row r="20" spans="1:19" s="6" customFormat="1" ht="19.5" customHeight="1">
      <c r="A20" s="173" t="s">
        <v>278</v>
      </c>
      <c r="B20" s="173"/>
      <c r="C20" s="173"/>
      <c r="D20" s="173"/>
      <c r="E20" s="120"/>
      <c r="O20" s="121"/>
      <c r="S20" s="120"/>
    </row>
    <row r="21" spans="4:19" s="6" customFormat="1" ht="12" customHeight="1">
      <c r="D21" s="8"/>
      <c r="E21" s="120"/>
      <c r="O21" s="121"/>
      <c r="S21" s="120"/>
    </row>
    <row r="22" spans="1:19" s="6" customFormat="1" ht="11.25" customHeight="1">
      <c r="A22" s="172" t="s">
        <v>2</v>
      </c>
      <c r="B22" s="172"/>
      <c r="C22" s="172"/>
      <c r="D22" s="172"/>
      <c r="E22" s="120"/>
      <c r="O22" s="121"/>
      <c r="S22" s="120"/>
    </row>
    <row r="23" spans="1:19" s="11" customFormat="1" ht="43.5" customHeight="1">
      <c r="A23" s="9" t="s">
        <v>84</v>
      </c>
      <c r="B23" s="9" t="s">
        <v>83</v>
      </c>
      <c r="C23" s="10" t="s">
        <v>82</v>
      </c>
      <c r="D23" s="10" t="s">
        <v>176</v>
      </c>
      <c r="E23" s="122"/>
      <c r="O23" s="123"/>
      <c r="S23" s="122"/>
    </row>
    <row r="24" spans="1:19" s="6" customFormat="1" ht="13.5" customHeight="1">
      <c r="A24" s="79">
        <v>1</v>
      </c>
      <c r="B24" s="79">
        <v>2</v>
      </c>
      <c r="C24" s="79">
        <v>3</v>
      </c>
      <c r="D24" s="79">
        <v>3</v>
      </c>
      <c r="E24" s="120"/>
      <c r="J24" s="11"/>
      <c r="O24" s="121"/>
      <c r="S24" s="120"/>
    </row>
    <row r="25" spans="1:19" s="6" customFormat="1" ht="13.5" customHeight="1">
      <c r="A25" s="12" t="s">
        <v>79</v>
      </c>
      <c r="B25" s="12" t="s">
        <v>0</v>
      </c>
      <c r="C25" s="12"/>
      <c r="D25" s="13"/>
      <c r="E25" s="120"/>
      <c r="J25" s="11"/>
      <c r="O25" s="121"/>
      <c r="S25" s="120"/>
    </row>
    <row r="26" spans="1:19" s="6" customFormat="1" ht="13.5" customHeight="1">
      <c r="A26" s="12"/>
      <c r="B26" s="12"/>
      <c r="C26" s="77"/>
      <c r="D26" s="13"/>
      <c r="E26" s="120"/>
      <c r="J26" s="11"/>
      <c r="O26" s="121"/>
      <c r="S26" s="120"/>
    </row>
    <row r="27" spans="1:19" s="6" customFormat="1" ht="13.5" customHeight="1">
      <c r="A27" s="12" t="s">
        <v>245</v>
      </c>
      <c r="B27" s="14" t="s">
        <v>3</v>
      </c>
      <c r="C27" s="94">
        <f>'[5]BS'!$Y$29</f>
        <v>12634340</v>
      </c>
      <c r="D27" s="94">
        <f>'[6]BS'!$Y$29</f>
        <v>366903</v>
      </c>
      <c r="E27" s="120">
        <f>C29/F27</f>
        <v>0.7693932333033832</v>
      </c>
      <c r="F27" s="124">
        <f>C30+C29+C35</f>
        <v>18214678</v>
      </c>
      <c r="J27" s="11"/>
      <c r="O27" s="121"/>
      <c r="S27" s="120"/>
    </row>
    <row r="28" spans="1:19" s="6" customFormat="1" ht="13.5" customHeight="1">
      <c r="A28" s="12" t="s">
        <v>80</v>
      </c>
      <c r="B28" s="14" t="s">
        <v>4</v>
      </c>
      <c r="C28" s="94">
        <v>0</v>
      </c>
      <c r="D28" s="94">
        <v>0</v>
      </c>
      <c r="E28" s="120">
        <f>C35/F27</f>
        <v>0.033050762687103226</v>
      </c>
      <c r="J28" s="11"/>
      <c r="O28" s="120"/>
      <c r="S28" s="120"/>
    </row>
    <row r="29" spans="1:19" s="6" customFormat="1" ht="13.5" customHeight="1">
      <c r="A29" s="12" t="s">
        <v>232</v>
      </c>
      <c r="B29" s="14" t="s">
        <v>33</v>
      </c>
      <c r="C29" s="94">
        <f>'[5]BS'!$Y$22</f>
        <v>14014250</v>
      </c>
      <c r="D29" s="94">
        <f>'[6]BS'!$Y$22</f>
        <v>8243713</v>
      </c>
      <c r="E29" s="120">
        <f>C30/F27</f>
        <v>0.19755600400951365</v>
      </c>
      <c r="G29" s="125"/>
      <c r="I29" s="124"/>
      <c r="J29" s="11"/>
      <c r="O29" s="120"/>
      <c r="S29" s="120"/>
    </row>
    <row r="30" spans="1:20" s="6" customFormat="1" ht="13.5" customHeight="1">
      <c r="A30" s="12" t="s">
        <v>234</v>
      </c>
      <c r="B30" s="14" t="s">
        <v>34</v>
      </c>
      <c r="C30" s="94">
        <f>'[5]BS'!$Y$25+'[5]BS'!$Y$26-C32</f>
        <v>3598419</v>
      </c>
      <c r="D30" s="94">
        <f>'[6]BS'!$Y$25+'[6]BS'!$Y$26-D32</f>
        <v>8939688</v>
      </c>
      <c r="E30" s="120">
        <f>C29/C39</f>
        <v>0.41302477842164104</v>
      </c>
      <c r="F30" s="126"/>
      <c r="J30" s="11"/>
      <c r="N30" s="124"/>
      <c r="O30" s="120"/>
      <c r="S30" s="120"/>
      <c r="T30" s="124"/>
    </row>
    <row r="31" spans="1:19" s="6" customFormat="1" ht="21" customHeight="1">
      <c r="A31" s="12" t="s">
        <v>244</v>
      </c>
      <c r="B31" s="14" t="s">
        <v>35</v>
      </c>
      <c r="C31" s="94">
        <f>'[5]BS'!$Y$21</f>
        <v>2108110</v>
      </c>
      <c r="D31" s="94">
        <f>'[6]BS'!$Y$21</f>
        <v>2747905</v>
      </c>
      <c r="E31" s="120">
        <f>(D29-C29)/D29</f>
        <v>-0.6999924669866601</v>
      </c>
      <c r="F31" s="126"/>
      <c r="I31" s="126"/>
      <c r="J31" s="11"/>
      <c r="O31" s="127"/>
      <c r="S31" s="120"/>
    </row>
    <row r="32" spans="1:19" s="6" customFormat="1" ht="25.5" customHeight="1">
      <c r="A32" s="25" t="s">
        <v>235</v>
      </c>
      <c r="B32" s="14" t="s">
        <v>36</v>
      </c>
      <c r="C32" s="94">
        <f>'[5]12'!$X$19</f>
        <v>505416</v>
      </c>
      <c r="D32" s="94">
        <f>'[6]12'!$X$19</f>
        <v>672203</v>
      </c>
      <c r="E32" s="120">
        <f>C32/C58</f>
        <v>0.0017038980416361727</v>
      </c>
      <c r="I32" s="126"/>
      <c r="J32" s="11"/>
      <c r="N32" s="120"/>
      <c r="O32" s="120"/>
      <c r="S32" s="120"/>
    </row>
    <row r="33" spans="1:19" s="6" customFormat="1" ht="13.5" customHeight="1">
      <c r="A33" s="12" t="s">
        <v>236</v>
      </c>
      <c r="B33" s="14" t="s">
        <v>37</v>
      </c>
      <c r="C33" s="94">
        <f>'[5]BS'!$Y$24</f>
        <v>245029</v>
      </c>
      <c r="D33" s="94">
        <f>'[6]BS'!$Y$24</f>
        <v>262137</v>
      </c>
      <c r="E33" s="120"/>
      <c r="F33" s="21"/>
      <c r="I33" s="126"/>
      <c r="J33" s="11"/>
      <c r="O33" s="120"/>
      <c r="S33" s="120"/>
    </row>
    <row r="34" spans="1:19" s="6" customFormat="1" ht="13.5" customHeight="1">
      <c r="A34" s="12" t="s">
        <v>81</v>
      </c>
      <c r="B34" s="14" t="s">
        <v>183</v>
      </c>
      <c r="C34" s="95" t="s">
        <v>248</v>
      </c>
      <c r="D34" s="95" t="s">
        <v>248</v>
      </c>
      <c r="E34" s="120"/>
      <c r="F34" s="21"/>
      <c r="I34" s="120"/>
      <c r="J34" s="11"/>
      <c r="O34" s="120"/>
      <c r="S34" s="120"/>
    </row>
    <row r="35" spans="1:20" s="6" customFormat="1" ht="13.5" customHeight="1">
      <c r="A35" s="12" t="s">
        <v>233</v>
      </c>
      <c r="B35" s="14" t="s">
        <v>239</v>
      </c>
      <c r="C35" s="94">
        <f>'[5]BS'!$Y$23</f>
        <v>602009</v>
      </c>
      <c r="D35" s="94">
        <f>'[6]BS'!$Y$23</f>
        <v>109629</v>
      </c>
      <c r="E35" s="120">
        <f>(C35-D35)/D35</f>
        <v>4.491329848853861</v>
      </c>
      <c r="F35" s="124">
        <f>C35-D35</f>
        <v>492380</v>
      </c>
      <c r="I35" s="120"/>
      <c r="J35" s="11"/>
      <c r="N35" s="124"/>
      <c r="O35" s="120"/>
      <c r="S35" s="120"/>
      <c r="T35" s="124"/>
    </row>
    <row r="36" spans="1:19" s="6" customFormat="1" ht="13.5" customHeight="1">
      <c r="A36" s="12" t="s">
        <v>184</v>
      </c>
      <c r="B36" s="14" t="s">
        <v>246</v>
      </c>
      <c r="C36" s="94">
        <f>'[5]BS'!$Y$28</f>
        <v>223200</v>
      </c>
      <c r="D36" s="94">
        <f>'[6]BS'!$Y$28</f>
        <v>10011</v>
      </c>
      <c r="E36" s="126">
        <f>C36/C39</f>
        <v>0.006578099473301124</v>
      </c>
      <c r="F36" s="21"/>
      <c r="H36" s="6">
        <f>C36/C39</f>
        <v>0.006578099473301124</v>
      </c>
      <c r="I36" s="120"/>
      <c r="J36" s="11"/>
      <c r="N36" s="124"/>
      <c r="O36" s="121"/>
      <c r="S36" s="120"/>
    </row>
    <row r="37" spans="1:19" s="6" customFormat="1" ht="13.5" customHeight="1">
      <c r="A37" s="12" t="s">
        <v>268</v>
      </c>
      <c r="B37" s="14" t="s">
        <v>246</v>
      </c>
      <c r="C37" s="94"/>
      <c r="D37" s="94"/>
      <c r="E37" s="120"/>
      <c r="J37" s="11"/>
      <c r="N37" s="121"/>
      <c r="O37" s="121"/>
      <c r="S37" s="120"/>
    </row>
    <row r="38" spans="1:19" s="6" customFormat="1" ht="13.5" customHeight="1">
      <c r="A38" s="12" t="s">
        <v>247</v>
      </c>
      <c r="B38" s="14" t="s">
        <v>5</v>
      </c>
      <c r="C38" s="95" t="s">
        <v>248</v>
      </c>
      <c r="D38" s="78" t="s">
        <v>248</v>
      </c>
      <c r="E38" s="120"/>
      <c r="F38" s="128"/>
      <c r="I38" s="126"/>
      <c r="J38" s="11"/>
      <c r="O38" s="121"/>
      <c r="S38" s="120"/>
    </row>
    <row r="39" spans="1:19" s="6" customFormat="1" ht="13.5" customHeight="1">
      <c r="A39" s="12" t="s">
        <v>85</v>
      </c>
      <c r="B39" s="14" t="s">
        <v>86</v>
      </c>
      <c r="C39" s="94">
        <f>SUM(C27:C38)</f>
        <v>33930773</v>
      </c>
      <c r="D39" s="50">
        <f>SUM(D27:D38)</f>
        <v>21352189</v>
      </c>
      <c r="E39" s="120"/>
      <c r="J39" s="11"/>
      <c r="O39" s="121"/>
      <c r="S39" s="120"/>
    </row>
    <row r="40" spans="1:19" s="6" customFormat="1" ht="13.5" customHeight="1">
      <c r="A40" s="12"/>
      <c r="B40" s="14"/>
      <c r="C40" s="94"/>
      <c r="D40" s="50"/>
      <c r="E40" s="120"/>
      <c r="J40" s="11"/>
      <c r="O40" s="121"/>
      <c r="S40" s="120"/>
    </row>
    <row r="41" spans="1:19" s="6" customFormat="1" ht="13.5" customHeight="1">
      <c r="A41" s="12" t="s">
        <v>179</v>
      </c>
      <c r="B41" s="12" t="s">
        <v>0</v>
      </c>
      <c r="C41" s="94"/>
      <c r="D41" s="50"/>
      <c r="E41" s="120"/>
      <c r="J41" s="11"/>
      <c r="O41" s="121"/>
      <c r="S41" s="120"/>
    </row>
    <row r="42" spans="1:19" s="6" customFormat="1" ht="13.5" customHeight="1">
      <c r="A42" s="12"/>
      <c r="B42" s="12"/>
      <c r="C42" s="94"/>
      <c r="D42" s="50"/>
      <c r="E42" s="120"/>
      <c r="J42" s="11"/>
      <c r="O42" s="121"/>
      <c r="S42" s="120"/>
    </row>
    <row r="43" spans="1:19" s="6" customFormat="1" ht="13.5" customHeight="1">
      <c r="A43" s="12" t="s">
        <v>87</v>
      </c>
      <c r="B43" s="14" t="s">
        <v>5</v>
      </c>
      <c r="C43" s="94">
        <f>'[5]BS'!$Y$16</f>
        <v>0</v>
      </c>
      <c r="D43" s="50">
        <f>'[6]BS'!$Y$16</f>
        <v>55756562.55500193</v>
      </c>
      <c r="E43" s="120"/>
      <c r="J43" s="11"/>
      <c r="O43" s="121"/>
      <c r="S43" s="120"/>
    </row>
    <row r="44" spans="1:19" s="6" customFormat="1" ht="13.5" customHeight="1">
      <c r="A44" s="12" t="s">
        <v>94</v>
      </c>
      <c r="B44" s="14" t="s">
        <v>38</v>
      </c>
      <c r="C44" s="94">
        <f>'[5]BS'!$Y$12</f>
        <v>296768</v>
      </c>
      <c r="D44" s="50">
        <f>'[6]BS'!$Y$12</f>
        <v>773648</v>
      </c>
      <c r="E44" s="120"/>
      <c r="F44" s="120">
        <f>C44/C58</f>
        <v>0.0010004875469321979</v>
      </c>
      <c r="I44" s="120"/>
      <c r="J44" s="11"/>
      <c r="N44" s="120"/>
      <c r="O44" s="120"/>
      <c r="P44" s="124"/>
      <c r="S44" s="120"/>
    </row>
    <row r="45" spans="1:20" s="6" customFormat="1" ht="13.5" customHeight="1">
      <c r="A45" s="12" t="s">
        <v>266</v>
      </c>
      <c r="B45" s="14" t="s">
        <v>38</v>
      </c>
      <c r="C45" s="94">
        <f>'[3]BS'!$Y$11</f>
        <v>40601</v>
      </c>
      <c r="D45" s="50">
        <f>'[6]BS'!$Y$11</f>
        <v>40601</v>
      </c>
      <c r="E45" s="120"/>
      <c r="F45" s="124">
        <f>D44-C44</f>
        <v>476880</v>
      </c>
      <c r="J45" s="11"/>
      <c r="O45" s="121"/>
      <c r="S45" s="120"/>
      <c r="T45" s="124"/>
    </row>
    <row r="46" spans="1:19" s="6" customFormat="1" ht="13.5" customHeight="1">
      <c r="A46" s="12" t="s">
        <v>88</v>
      </c>
      <c r="B46" s="14" t="s">
        <v>39</v>
      </c>
      <c r="C46" s="94">
        <v>0</v>
      </c>
      <c r="D46" s="50">
        <v>0</v>
      </c>
      <c r="E46" s="120"/>
      <c r="J46" s="11"/>
      <c r="N46" s="124"/>
      <c r="O46" s="121"/>
      <c r="S46" s="120"/>
    </row>
    <row r="47" spans="1:19" s="6" customFormat="1" ht="13.5" customHeight="1">
      <c r="A47" s="12" t="s">
        <v>89</v>
      </c>
      <c r="B47" s="14" t="s">
        <v>40</v>
      </c>
      <c r="C47" s="94">
        <v>0</v>
      </c>
      <c r="D47" s="50">
        <v>0</v>
      </c>
      <c r="E47" s="120"/>
      <c r="J47" s="11"/>
      <c r="O47" s="121"/>
      <c r="S47" s="120"/>
    </row>
    <row r="48" spans="1:19" s="6" customFormat="1" ht="13.5" customHeight="1">
      <c r="A48" s="12" t="s">
        <v>90</v>
      </c>
      <c r="B48" s="14" t="s">
        <v>41</v>
      </c>
      <c r="C48" s="94">
        <f>'[5]BS'!$Y$7</f>
        <v>199181313</v>
      </c>
      <c r="D48" s="50">
        <f>'[6]BS'!$Y$7</f>
        <v>129621543</v>
      </c>
      <c r="E48" s="120">
        <f>C48/C58</f>
        <v>0.6714956573421133</v>
      </c>
      <c r="H48" s="6">
        <f>C48/C58</f>
        <v>0.6714956573421133</v>
      </c>
      <c r="J48" s="11"/>
      <c r="O48" s="121"/>
      <c r="S48" s="120"/>
    </row>
    <row r="49" spans="1:19" s="6" customFormat="1" ht="13.5" customHeight="1">
      <c r="A49" s="12" t="s">
        <v>120</v>
      </c>
      <c r="B49" s="14" t="s">
        <v>42</v>
      </c>
      <c r="C49" s="94">
        <v>0</v>
      </c>
      <c r="D49" s="50">
        <v>0</v>
      </c>
      <c r="E49" s="120"/>
      <c r="J49" s="11"/>
      <c r="O49" s="121"/>
      <c r="S49" s="120"/>
    </row>
    <row r="50" spans="1:19" s="6" customFormat="1" ht="13.5" customHeight="1">
      <c r="A50" s="12" t="s">
        <v>91</v>
      </c>
      <c r="B50" s="14" t="s">
        <v>187</v>
      </c>
      <c r="C50" s="94">
        <v>0</v>
      </c>
      <c r="D50" s="50">
        <v>0</v>
      </c>
      <c r="E50" s="120"/>
      <c r="F50" s="124"/>
      <c r="J50" s="11"/>
      <c r="O50" s="121"/>
      <c r="S50" s="120"/>
    </row>
    <row r="51" spans="1:19" s="6" customFormat="1" ht="13.5" customHeight="1">
      <c r="A51" s="12" t="s">
        <v>92</v>
      </c>
      <c r="B51" s="14" t="s">
        <v>217</v>
      </c>
      <c r="C51" s="94">
        <f>'[5]BS'!$Y$9</f>
        <v>683615</v>
      </c>
      <c r="D51" s="50">
        <f>'[6]BS'!$Y$9</f>
        <v>404300</v>
      </c>
      <c r="E51" s="120"/>
      <c r="J51" s="11"/>
      <c r="O51" s="121"/>
      <c r="S51" s="120"/>
    </row>
    <row r="52" spans="1:19" s="6" customFormat="1" ht="13.5" customHeight="1">
      <c r="A52" s="12" t="s">
        <v>93</v>
      </c>
      <c r="B52" s="14" t="s">
        <v>218</v>
      </c>
      <c r="C52" s="94">
        <f>'[5]BS'!$Y$10</f>
        <v>20547</v>
      </c>
      <c r="D52" s="50">
        <f>'[6]BS'!$Y$10</f>
        <v>20547</v>
      </c>
      <c r="E52" s="120"/>
      <c r="J52" s="11"/>
      <c r="O52" s="121"/>
      <c r="S52" s="120"/>
    </row>
    <row r="53" spans="1:19" s="6" customFormat="1" ht="13.5" customHeight="1">
      <c r="A53" s="12" t="s">
        <v>94</v>
      </c>
      <c r="B53" s="14" t="s">
        <v>219</v>
      </c>
      <c r="C53" s="94">
        <f>'[5]BS'!$Y$13</f>
        <v>2019324</v>
      </c>
      <c r="D53" s="72">
        <f>'[6]BS'!$Y$13</f>
        <v>2082563</v>
      </c>
      <c r="E53" s="120"/>
      <c r="J53" s="11"/>
      <c r="O53" s="121"/>
      <c r="S53" s="120"/>
    </row>
    <row r="54" spans="1:19" s="6" customFormat="1" ht="13.5" customHeight="1">
      <c r="A54" s="12" t="s">
        <v>243</v>
      </c>
      <c r="B54" s="14" t="s">
        <v>6</v>
      </c>
      <c r="C54" s="94">
        <f>'[5]BS'!$Y$8</f>
        <v>60450441.18</v>
      </c>
      <c r="D54" s="50">
        <v>1405202</v>
      </c>
      <c r="E54" s="120"/>
      <c r="J54" s="11"/>
      <c r="O54" s="121"/>
      <c r="S54" s="120"/>
    </row>
    <row r="55" spans="1:19" s="6" customFormat="1" ht="13.5" customHeight="1">
      <c r="A55" s="12" t="s">
        <v>0</v>
      </c>
      <c r="B55" s="15" t="s">
        <v>0</v>
      </c>
      <c r="C55" s="94"/>
      <c r="D55" s="50"/>
      <c r="E55" s="120"/>
      <c r="J55" s="11"/>
      <c r="O55" s="121"/>
      <c r="S55" s="120"/>
    </row>
    <row r="56" spans="1:19" s="6" customFormat="1" ht="13.5" customHeight="1">
      <c r="A56" s="12" t="s">
        <v>95</v>
      </c>
      <c r="B56" s="15">
        <v>200</v>
      </c>
      <c r="C56" s="94">
        <f>SUM(C43:C54)</f>
        <v>262692609.18</v>
      </c>
      <c r="D56" s="50">
        <f>SUM(D43:D54)</f>
        <v>190104966.5550019</v>
      </c>
      <c r="E56" s="120"/>
      <c r="F56" s="124"/>
      <c r="J56" s="11"/>
      <c r="O56" s="121"/>
      <c r="S56" s="120"/>
    </row>
    <row r="57" spans="1:19" s="6" customFormat="1" ht="13.5" customHeight="1">
      <c r="A57" s="12" t="s">
        <v>0</v>
      </c>
      <c r="B57" s="15" t="s">
        <v>0</v>
      </c>
      <c r="C57" s="94"/>
      <c r="D57" s="50"/>
      <c r="E57" s="120"/>
      <c r="J57" s="11"/>
      <c r="O57" s="121"/>
      <c r="S57" s="120"/>
    </row>
    <row r="58" spans="1:19" s="6" customFormat="1" ht="20.25" customHeight="1">
      <c r="A58" s="16" t="s">
        <v>96</v>
      </c>
      <c r="B58" s="17" t="s">
        <v>0</v>
      </c>
      <c r="C58" s="73">
        <f>C56+C39</f>
        <v>296623382.18</v>
      </c>
      <c r="D58" s="73">
        <f>D56+D39</f>
        <v>211457155.5550019</v>
      </c>
      <c r="E58" s="120"/>
      <c r="J58" s="11"/>
      <c r="O58" s="121"/>
      <c r="S58" s="120"/>
    </row>
    <row r="59" spans="1:19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0" t="str">
        <f>D23</f>
        <v>На начало отчетного периода</v>
      </c>
      <c r="E59" s="120"/>
      <c r="J59" s="11"/>
      <c r="O59" s="121"/>
      <c r="S59" s="120"/>
    </row>
    <row r="60" spans="1:19" s="6" customFormat="1" ht="13.5" customHeight="1">
      <c r="A60" s="79">
        <v>1</v>
      </c>
      <c r="B60" s="79">
        <v>2</v>
      </c>
      <c r="C60" s="79">
        <v>3</v>
      </c>
      <c r="D60" s="79">
        <v>3</v>
      </c>
      <c r="E60" s="120"/>
      <c r="J60" s="11"/>
      <c r="O60" s="121"/>
      <c r="S60" s="120"/>
    </row>
    <row r="61" spans="1:19" s="6" customFormat="1" ht="11.25" customHeight="1">
      <c r="A61" s="12"/>
      <c r="B61" s="15"/>
      <c r="C61" s="15"/>
      <c r="D61" s="15"/>
      <c r="E61" s="120"/>
      <c r="J61" s="11"/>
      <c r="O61" s="121"/>
      <c r="S61" s="120"/>
    </row>
    <row r="62" spans="1:19" s="6" customFormat="1" ht="13.5" customHeight="1">
      <c r="A62" s="12" t="s">
        <v>98</v>
      </c>
      <c r="B62" s="14"/>
      <c r="C62" s="14"/>
      <c r="D62" s="14"/>
      <c r="E62" s="120"/>
      <c r="J62" s="11"/>
      <c r="O62" s="121"/>
      <c r="S62" s="120"/>
    </row>
    <row r="63" spans="1:19" s="6" customFormat="1" ht="13.5" customHeight="1">
      <c r="A63" s="12"/>
      <c r="B63" s="15"/>
      <c r="C63" s="15"/>
      <c r="D63" s="15"/>
      <c r="E63" s="120"/>
      <c r="J63" s="11"/>
      <c r="O63" s="121"/>
      <c r="S63" s="120"/>
    </row>
    <row r="64" spans="1:20" s="6" customFormat="1" ht="13.5" customHeight="1">
      <c r="A64" s="12" t="s">
        <v>255</v>
      </c>
      <c r="B64" s="14" t="s">
        <v>7</v>
      </c>
      <c r="C64" s="50">
        <f>'[5]BS'!$Y$68</f>
        <v>11422</v>
      </c>
      <c r="D64" s="50">
        <f>'[6]BS'!$Y$68</f>
        <v>49450</v>
      </c>
      <c r="E64" s="120">
        <f>(C64+C77)/F73</f>
        <v>0.007626296698294654</v>
      </c>
      <c r="F64" s="124"/>
      <c r="G64" s="124"/>
      <c r="J64" s="11"/>
      <c r="O64" s="120"/>
      <c r="P64" s="124"/>
      <c r="S64" s="120"/>
      <c r="T64" s="120"/>
    </row>
    <row r="65" spans="1:19" s="6" customFormat="1" ht="13.5" customHeight="1">
      <c r="A65" s="12" t="s">
        <v>256</v>
      </c>
      <c r="B65" s="14" t="s">
        <v>102</v>
      </c>
      <c r="C65" s="94">
        <f>'[5]BS'!$Y$69</f>
        <v>44209167</v>
      </c>
      <c r="D65" s="50">
        <f>'[6]BS'!$Y$69-52145766</f>
        <v>44368718</v>
      </c>
      <c r="E65" s="120"/>
      <c r="F65" s="126"/>
      <c r="G65" s="124"/>
      <c r="I65" s="120"/>
      <c r="J65" s="11"/>
      <c r="N65" s="124"/>
      <c r="O65" s="121"/>
      <c r="S65" s="120"/>
    </row>
    <row r="66" spans="1:19" s="6" customFormat="1" ht="13.5" customHeight="1">
      <c r="A66" s="12" t="s">
        <v>241</v>
      </c>
      <c r="B66" s="14" t="s">
        <v>103</v>
      </c>
      <c r="C66" s="94">
        <f>'[5]23(1)'!$X$28</f>
        <v>1521066</v>
      </c>
      <c r="D66" s="50">
        <f>'[6]23(1)'!$X$28</f>
        <v>948959</v>
      </c>
      <c r="E66" s="120"/>
      <c r="F66" s="126"/>
      <c r="G66" s="129"/>
      <c r="J66" s="11"/>
      <c r="N66" s="120"/>
      <c r="O66" s="121"/>
      <c r="S66" s="120"/>
    </row>
    <row r="67" spans="1:19" s="6" customFormat="1" ht="13.5" customHeight="1">
      <c r="A67" s="12" t="s">
        <v>242</v>
      </c>
      <c r="B67" s="14" t="s">
        <v>104</v>
      </c>
      <c r="C67" s="50">
        <v>0</v>
      </c>
      <c r="D67" s="50">
        <v>0</v>
      </c>
      <c r="E67" s="120"/>
      <c r="F67" s="126"/>
      <c r="J67" s="11"/>
      <c r="O67" s="121"/>
      <c r="S67" s="120"/>
    </row>
    <row r="68" spans="1:20" s="6" customFormat="1" ht="13.5" customHeight="1">
      <c r="A68" s="12" t="s">
        <v>237</v>
      </c>
      <c r="B68" s="14" t="s">
        <v>105</v>
      </c>
      <c r="C68" s="94">
        <f>'[5]BS'!$Y$73</f>
        <v>13987478</v>
      </c>
      <c r="D68" s="50">
        <f>'[6]BS'!$Y$73</f>
        <v>16519562</v>
      </c>
      <c r="E68" s="130">
        <f>(D68-C68)/D68</f>
        <v>0.15327791378488123</v>
      </c>
      <c r="F68" s="127">
        <f>C64+C65+C72+C77+C78+C84</f>
        <v>163508414</v>
      </c>
      <c r="G68" s="129"/>
      <c r="I68" s="120"/>
      <c r="J68" s="11"/>
      <c r="N68" s="120"/>
      <c r="O68" s="121"/>
      <c r="P68" s="120"/>
      <c r="S68" s="120"/>
      <c r="T68" s="120"/>
    </row>
    <row r="69" spans="1:19" s="6" customFormat="1" ht="13.5" customHeight="1">
      <c r="A69" s="12" t="s">
        <v>99</v>
      </c>
      <c r="B69" s="14" t="s">
        <v>106</v>
      </c>
      <c r="C69" s="94">
        <f>'[5]BS'!$Y$76</f>
        <v>8793</v>
      </c>
      <c r="D69" s="50">
        <f>'[6]BS'!$Y$76</f>
        <v>8793</v>
      </c>
      <c r="E69" s="126">
        <f>C69/C73</f>
        <v>0.00013017739197552684</v>
      </c>
      <c r="F69" s="126">
        <f>F68/F73</f>
        <v>0.7670653499855105</v>
      </c>
      <c r="J69" s="11"/>
      <c r="K69" s="12"/>
      <c r="N69" s="126"/>
      <c r="O69" s="121"/>
      <c r="S69" s="120"/>
    </row>
    <row r="70" spans="1:20" s="6" customFormat="1" ht="13.5" customHeight="1">
      <c r="A70" s="12" t="s">
        <v>238</v>
      </c>
      <c r="B70" s="14" t="s">
        <v>240</v>
      </c>
      <c r="C70" s="94">
        <f>'[5]BS'!$Y$74</f>
        <v>1145600</v>
      </c>
      <c r="D70" s="50">
        <f>'[6]BS'!$Y$74</f>
        <v>1288281</v>
      </c>
      <c r="E70" s="120"/>
      <c r="F70" s="127">
        <f>D70-C70</f>
        <v>142681</v>
      </c>
      <c r="G70" s="124"/>
      <c r="I70" s="124"/>
      <c r="J70" s="11"/>
      <c r="N70" s="124"/>
      <c r="O70" s="121"/>
      <c r="P70" s="124"/>
      <c r="S70" s="120"/>
      <c r="T70" s="124"/>
    </row>
    <row r="71" spans="1:20" s="6" customFormat="1" ht="13.5" customHeight="1">
      <c r="A71" s="12" t="s">
        <v>100</v>
      </c>
      <c r="B71" s="14" t="s">
        <v>257</v>
      </c>
      <c r="C71" s="131">
        <f>'[5]BS'!$Y$75+'[5]BS'!$Y$79+'[5]BS'!$Y$80+'[5]BS'!$Y$70-C66</f>
        <v>3075794</v>
      </c>
      <c r="D71" s="50">
        <f>'[6]BS'!$Y$75+'[6]BS'!$Y$79+'[6]BS'!$Y$80+'[6]BS'!$Y$70-D66</f>
        <v>2689090</v>
      </c>
      <c r="E71" s="132"/>
      <c r="F71" s="133">
        <f>D71-C71</f>
        <v>-386704</v>
      </c>
      <c r="G71" s="107"/>
      <c r="I71" s="120"/>
      <c r="J71" s="11"/>
      <c r="N71" s="124"/>
      <c r="O71" s="121"/>
      <c r="P71" s="124"/>
      <c r="S71" s="120"/>
      <c r="T71" s="124"/>
    </row>
    <row r="72" spans="1:19" s="6" customFormat="1" ht="13.5" customHeight="1">
      <c r="A72" s="12" t="s">
        <v>279</v>
      </c>
      <c r="B72" s="14" t="s">
        <v>257</v>
      </c>
      <c r="C72" s="50">
        <f>'[3]BS'!$Y$72</f>
        <v>3586971</v>
      </c>
      <c r="D72" s="50">
        <f>'[6]BS'!$Y$72</f>
        <v>232687</v>
      </c>
      <c r="E72" s="120">
        <f>(F73-G73)/G73</f>
        <v>0.4666202849136716</v>
      </c>
      <c r="G72" s="107"/>
      <c r="I72" s="120"/>
      <c r="J72" s="11"/>
      <c r="N72" s="124"/>
      <c r="O72" s="121"/>
      <c r="S72" s="120"/>
    </row>
    <row r="73" spans="1:19" s="6" customFormat="1" ht="13.5" customHeight="1">
      <c r="A73" s="12" t="s">
        <v>101</v>
      </c>
      <c r="B73" s="14" t="s">
        <v>107</v>
      </c>
      <c r="C73" s="50">
        <f>SUM(C64:C72)</f>
        <v>67546291</v>
      </c>
      <c r="D73" s="50">
        <f>SUM(D64:D72)</f>
        <v>66105540</v>
      </c>
      <c r="E73" s="120">
        <f>F73/C58</f>
        <v>0.7186250606186113</v>
      </c>
      <c r="F73" s="124">
        <f>C73+C85</f>
        <v>213160996</v>
      </c>
      <c r="G73" s="124">
        <f>D73+D85</f>
        <v>145341639</v>
      </c>
      <c r="I73" s="124"/>
      <c r="J73" s="11"/>
      <c r="N73" s="124"/>
      <c r="O73" s="120"/>
      <c r="S73" s="120"/>
    </row>
    <row r="74" spans="1:19" s="6" customFormat="1" ht="13.5" customHeight="1">
      <c r="A74" s="12"/>
      <c r="B74" s="14"/>
      <c r="C74" s="40"/>
      <c r="D74" s="50"/>
      <c r="E74" s="120"/>
      <c r="F74" s="120">
        <f>C85/F73</f>
        <v>0.6831207759978754</v>
      </c>
      <c r="G74" s="124">
        <f>F73-G73</f>
        <v>67819357</v>
      </c>
      <c r="I74" s="124"/>
      <c r="J74" s="11"/>
      <c r="N74" s="120"/>
      <c r="O74" s="121"/>
      <c r="S74" s="120"/>
    </row>
    <row r="75" spans="1:19" s="6" customFormat="1" ht="13.5" customHeight="1">
      <c r="A75" s="12" t="s">
        <v>27</v>
      </c>
      <c r="B75" s="14" t="s">
        <v>0</v>
      </c>
      <c r="C75" s="29"/>
      <c r="D75" s="50"/>
      <c r="E75" s="120"/>
      <c r="J75" s="11"/>
      <c r="N75" s="124"/>
      <c r="O75" s="121"/>
      <c r="S75" s="120"/>
    </row>
    <row r="76" spans="1:19" s="6" customFormat="1" ht="13.5" customHeight="1">
      <c r="A76" s="12"/>
      <c r="B76" s="14"/>
      <c r="C76" s="29"/>
      <c r="D76" s="50"/>
      <c r="E76" s="120"/>
      <c r="J76" s="11"/>
      <c r="N76" s="120"/>
      <c r="O76" s="121"/>
      <c r="P76" s="124"/>
      <c r="S76" s="120"/>
    </row>
    <row r="77" spans="1:19" s="6" customFormat="1" ht="13.5" customHeight="1">
      <c r="A77" s="12" t="s">
        <v>251</v>
      </c>
      <c r="B77" s="14" t="s">
        <v>8</v>
      </c>
      <c r="C77" s="50">
        <f>'[5]BS'!$Y$54</f>
        <v>1614207</v>
      </c>
      <c r="D77" s="50">
        <f>'[6]BS'!$Y$54</f>
        <v>1598798</v>
      </c>
      <c r="E77" s="120">
        <f>(C77+C64+C65+C72+C84+C78)/F73</f>
        <v>0.7670653499855105</v>
      </c>
      <c r="F77" s="124">
        <f>C71-322957</f>
        <v>2752837</v>
      </c>
      <c r="I77" s="120"/>
      <c r="J77" s="11"/>
      <c r="N77" s="126"/>
      <c r="O77" s="121"/>
      <c r="P77" s="124"/>
      <c r="Q77" s="124"/>
      <c r="S77" s="120"/>
    </row>
    <row r="78" spans="1:19" s="6" customFormat="1" ht="13.5" customHeight="1">
      <c r="A78" s="12" t="s">
        <v>252</v>
      </c>
      <c r="B78" s="14" t="s">
        <v>9</v>
      </c>
      <c r="C78" s="50">
        <f>'[5]BS'!$Y$55</f>
        <v>100503130</v>
      </c>
      <c r="D78" s="50">
        <f>+'[6]BS'!$Y$55+52145766</f>
        <v>52145766</v>
      </c>
      <c r="E78" s="120">
        <f>C73/F73</f>
        <v>0.31687922400212465</v>
      </c>
      <c r="J78" s="11"/>
      <c r="O78" s="121"/>
      <c r="P78" s="120"/>
      <c r="S78" s="120"/>
    </row>
    <row r="79" spans="1:19" s="6" customFormat="1" ht="13.5" customHeight="1">
      <c r="A79" s="12" t="s">
        <v>108</v>
      </c>
      <c r="B79" s="14" t="s">
        <v>10</v>
      </c>
      <c r="C79" s="50">
        <f>'[5]BS'!$Y$63+'[5]BS'!$Y$64</f>
        <v>4652490</v>
      </c>
      <c r="D79" s="50">
        <f>'[6]BS'!$Y$63</f>
        <v>26240</v>
      </c>
      <c r="E79" s="120"/>
      <c r="F79" s="124"/>
      <c r="J79" s="11"/>
      <c r="N79" s="120"/>
      <c r="O79" s="120"/>
      <c r="S79" s="120"/>
    </row>
    <row r="80" spans="1:19" s="6" customFormat="1" ht="13.5" customHeight="1">
      <c r="A80" s="12" t="s">
        <v>253</v>
      </c>
      <c r="B80" s="14" t="s">
        <v>11</v>
      </c>
      <c r="C80" s="50">
        <f>'[5]BS'!$Y$60</f>
        <v>64716</v>
      </c>
      <c r="D80" s="50">
        <f>'[6]BS'!$Y$60</f>
        <v>64716</v>
      </c>
      <c r="E80" s="120"/>
      <c r="F80" s="124">
        <f>C72+C65+C64+C77+C84</f>
        <v>63005284</v>
      </c>
      <c r="J80" s="11"/>
      <c r="O80" s="121"/>
      <c r="S80" s="120"/>
    </row>
    <row r="81" spans="1:19" s="6" customFormat="1" ht="13.5" customHeight="1">
      <c r="A81" s="12" t="s">
        <v>109</v>
      </c>
      <c r="B81" s="14" t="s">
        <v>12</v>
      </c>
      <c r="C81" s="50">
        <f>'[5]BS'!$Y$58</f>
        <v>19424995</v>
      </c>
      <c r="D81" s="50">
        <f>'[6]BS'!$Y$58</f>
        <v>18655415</v>
      </c>
      <c r="E81" s="120"/>
      <c r="F81" s="120">
        <f>F80/F73</f>
        <v>0.29557604431534934</v>
      </c>
      <c r="J81" s="11"/>
      <c r="O81" s="121"/>
      <c r="S81" s="120"/>
    </row>
    <row r="82" spans="1:19" s="6" customFormat="1" ht="13.5" customHeight="1">
      <c r="A82" s="12" t="s">
        <v>254</v>
      </c>
      <c r="B82" s="14" t="s">
        <v>13</v>
      </c>
      <c r="C82" s="50">
        <f>'[5]BS'!$Y$59</f>
        <v>959500</v>
      </c>
      <c r="D82" s="50">
        <f>'[6]BS'!$Y$59</f>
        <v>959500</v>
      </c>
      <c r="E82" s="120"/>
      <c r="F82" s="120">
        <f>C73/F73</f>
        <v>0.31687922400212465</v>
      </c>
      <c r="J82" s="11"/>
      <c r="O82" s="121"/>
      <c r="S82" s="120"/>
    </row>
    <row r="83" spans="1:19" s="6" customFormat="1" ht="13.5" customHeight="1">
      <c r="A83" s="12" t="s">
        <v>267</v>
      </c>
      <c r="B83" s="14" t="s">
        <v>14</v>
      </c>
      <c r="C83" s="50">
        <f>'[5]BS'!$Y$56</f>
        <v>4812150</v>
      </c>
      <c r="D83" s="50">
        <f>'[6]BS'!$Y$56</f>
        <v>4846686</v>
      </c>
      <c r="E83" s="120"/>
      <c r="F83" s="120">
        <f>-C85/F73</f>
        <v>-0.6831207759978754</v>
      </c>
      <c r="J83" s="11"/>
      <c r="O83" s="121"/>
      <c r="S83" s="120"/>
    </row>
    <row r="84" spans="1:20" s="6" customFormat="1" ht="13.5" customHeight="1">
      <c r="A84" s="12" t="s">
        <v>280</v>
      </c>
      <c r="B84" s="14"/>
      <c r="C84" s="50">
        <f>'[5]BS'!$Y$57</f>
        <v>13583517</v>
      </c>
      <c r="D84" s="50">
        <f>'[6]BS'!$Y$57</f>
        <v>938978</v>
      </c>
      <c r="E84" s="120"/>
      <c r="J84" s="11"/>
      <c r="O84" s="121"/>
      <c r="S84" s="120"/>
      <c r="T84" s="124"/>
    </row>
    <row r="85" spans="1:20" s="6" customFormat="1" ht="13.5" customHeight="1">
      <c r="A85" s="12" t="s">
        <v>110</v>
      </c>
      <c r="B85" s="15">
        <v>400</v>
      </c>
      <c r="C85" s="50">
        <f>SUM(C77:C84)</f>
        <v>145614705</v>
      </c>
      <c r="D85" s="50">
        <f>SUM(D77:D84)</f>
        <v>79236099</v>
      </c>
      <c r="E85" s="120"/>
      <c r="J85" s="11"/>
      <c r="O85" s="121"/>
      <c r="S85" s="120"/>
      <c r="T85" s="124"/>
    </row>
    <row r="86" spans="1:19" s="6" customFormat="1" ht="13.5" customHeight="1">
      <c r="A86" s="12"/>
      <c r="B86" s="15"/>
      <c r="C86" s="29"/>
      <c r="D86" s="29"/>
      <c r="E86" s="120"/>
      <c r="F86" s="124"/>
      <c r="J86" s="11"/>
      <c r="O86" s="121"/>
      <c r="S86" s="120"/>
    </row>
    <row r="87" spans="1:19" s="6" customFormat="1" ht="13.5" customHeight="1">
      <c r="A87" s="12" t="s">
        <v>111</v>
      </c>
      <c r="B87" s="15" t="s">
        <v>0</v>
      </c>
      <c r="C87" s="29"/>
      <c r="D87" s="29"/>
      <c r="E87" s="120"/>
      <c r="J87" s="11"/>
      <c r="O87" s="121"/>
      <c r="S87" s="120"/>
    </row>
    <row r="88" spans="1:19" s="6" customFormat="1" ht="13.5" customHeight="1">
      <c r="A88" s="12" t="s">
        <v>0</v>
      </c>
      <c r="B88" s="15" t="s">
        <v>0</v>
      </c>
      <c r="C88" s="29"/>
      <c r="D88" s="29"/>
      <c r="E88" s="120"/>
      <c r="J88" s="11"/>
      <c r="O88" s="121"/>
      <c r="S88" s="120"/>
    </row>
    <row r="89" spans="1:19" s="6" customFormat="1" ht="13.5" customHeight="1">
      <c r="A89" s="12" t="s">
        <v>249</v>
      </c>
      <c r="B89" s="14" t="s">
        <v>15</v>
      </c>
      <c r="C89" s="50">
        <f>'[5]BS'!$Y$36+'[5]BS'!$Y$45</f>
        <v>16663996</v>
      </c>
      <c r="D89" s="50">
        <f>'[6]BS'!$Y$36+'[6]BS'!$Y$45</f>
        <v>16663996</v>
      </c>
      <c r="E89" s="120">
        <f>C89/C96</f>
        <v>0.19965875288023194</v>
      </c>
      <c r="J89" s="11"/>
      <c r="O89" s="120"/>
      <c r="S89" s="120"/>
    </row>
    <row r="90" spans="1:19" s="6" customFormat="1" ht="13.5" customHeight="1">
      <c r="A90" s="12" t="s">
        <v>177</v>
      </c>
      <c r="B90" s="14" t="s">
        <v>44</v>
      </c>
      <c r="C90" s="50">
        <f>'[5]BS'!$Y$37</f>
        <v>1188176</v>
      </c>
      <c r="D90" s="50">
        <f>'[6]BS'!$Y$37</f>
        <v>1188176</v>
      </c>
      <c r="E90" s="120">
        <f>C89/C98</f>
        <v>0.056178969641008616</v>
      </c>
      <c r="F90" s="120">
        <f>C90/C98</f>
        <v>0.004005672074823773</v>
      </c>
      <c r="J90" s="11"/>
      <c r="O90" s="121"/>
      <c r="S90" s="120"/>
    </row>
    <row r="91" spans="1:19" s="6" customFormat="1" ht="13.5" customHeight="1">
      <c r="A91" s="12" t="s">
        <v>113</v>
      </c>
      <c r="B91" s="14" t="s">
        <v>45</v>
      </c>
      <c r="C91" s="29">
        <v>0</v>
      </c>
      <c r="D91" s="29">
        <v>0</v>
      </c>
      <c r="E91" s="120"/>
      <c r="J91" s="11"/>
      <c r="O91" s="121"/>
      <c r="S91" s="120"/>
    </row>
    <row r="92" spans="1:19" s="6" customFormat="1" ht="13.5" customHeight="1">
      <c r="A92" s="12" t="s">
        <v>114</v>
      </c>
      <c r="B92" s="14" t="s">
        <v>46</v>
      </c>
      <c r="C92" s="29">
        <v>0</v>
      </c>
      <c r="D92" s="29">
        <v>0</v>
      </c>
      <c r="E92" s="120"/>
      <c r="J92" s="11"/>
      <c r="N92" s="120"/>
      <c r="O92" s="121"/>
      <c r="S92" s="120"/>
    </row>
    <row r="93" spans="1:19" s="6" customFormat="1" ht="13.5" customHeight="1">
      <c r="A93" s="12" t="s">
        <v>250</v>
      </c>
      <c r="B93" s="14" t="s">
        <v>47</v>
      </c>
      <c r="C93" s="50">
        <f>'[5]BS'!$Y$38</f>
        <v>19416252</v>
      </c>
      <c r="D93" s="50">
        <f>'[6]BS'!$Y$38</f>
        <v>19732586</v>
      </c>
      <c r="E93" s="120">
        <f>C93/C98</f>
        <v>0.06545759082336391</v>
      </c>
      <c r="J93" s="11"/>
      <c r="O93" s="120"/>
      <c r="S93" s="120"/>
    </row>
    <row r="94" spans="1:19" s="6" customFormat="1" ht="13.5" customHeight="1">
      <c r="A94" s="12" t="s">
        <v>123</v>
      </c>
      <c r="B94" s="14" t="s">
        <v>48</v>
      </c>
      <c r="C94" s="50">
        <f>D94+D93-C93+'ф2'!C39-1860175</f>
        <v>33628803.31500193</v>
      </c>
      <c r="D94" s="50">
        <f>'[6]BS'!$Y$44+'[6]BS'!$Y$43+'[6]BS'!$Y$42</f>
        <v>28530758.555001933</v>
      </c>
      <c r="E94" s="120"/>
      <c r="F94" s="125"/>
      <c r="J94" s="11"/>
      <c r="N94" s="120"/>
      <c r="O94" s="121"/>
      <c r="S94" s="120"/>
    </row>
    <row r="95" spans="1:19" s="6" customFormat="1" ht="13.5" customHeight="1">
      <c r="A95" s="12" t="s">
        <v>77</v>
      </c>
      <c r="B95" s="14" t="s">
        <v>49</v>
      </c>
      <c r="C95" s="50">
        <f>'[5]BS'!$Y$49</f>
        <v>12565159.18</v>
      </c>
      <c r="D95" s="50">
        <v>0</v>
      </c>
      <c r="E95" s="120"/>
      <c r="F95" s="125"/>
      <c r="J95" s="11"/>
      <c r="O95" s="121"/>
      <c r="S95" s="120"/>
    </row>
    <row r="96" spans="1:19" s="6" customFormat="1" ht="13.5" customHeight="1">
      <c r="A96" s="12" t="s">
        <v>116</v>
      </c>
      <c r="B96" s="14" t="s">
        <v>118</v>
      </c>
      <c r="C96" s="50">
        <f>SUM(C89:C95)</f>
        <v>83462386.49500194</v>
      </c>
      <c r="D96" s="50">
        <f>SUM(D89:D95)</f>
        <v>66115516.55500193</v>
      </c>
      <c r="E96" s="120"/>
      <c r="F96" s="125"/>
      <c r="J96" s="11"/>
      <c r="O96" s="121"/>
      <c r="S96" s="120"/>
    </row>
    <row r="97" spans="1:19" s="6" customFormat="1" ht="13.5" customHeight="1">
      <c r="A97" s="12"/>
      <c r="B97" s="15"/>
      <c r="C97" s="50"/>
      <c r="D97" s="50"/>
      <c r="E97" s="120"/>
      <c r="J97" s="11"/>
      <c r="O97" s="121"/>
      <c r="S97" s="120"/>
    </row>
    <row r="98" spans="1:19" s="6" customFormat="1" ht="37.5" customHeight="1">
      <c r="A98" s="16" t="s">
        <v>117</v>
      </c>
      <c r="B98" s="17" t="s">
        <v>0</v>
      </c>
      <c r="C98" s="73">
        <f>C73+C85+C96</f>
        <v>296623382.4950019</v>
      </c>
      <c r="D98" s="73">
        <f>D73+D85+D96</f>
        <v>211457155.5550019</v>
      </c>
      <c r="E98" s="134"/>
      <c r="F98" s="135"/>
      <c r="J98" s="11"/>
      <c r="O98" s="121"/>
      <c r="S98" s="120"/>
    </row>
    <row r="99" spans="1:19" s="6" customFormat="1" ht="14.25">
      <c r="A99" s="136"/>
      <c r="B99" s="137"/>
      <c r="C99" s="109">
        <f>C98-C58</f>
        <v>0.315001904964447</v>
      </c>
      <c r="D99" s="109">
        <f>D98-D58</f>
        <v>0</v>
      </c>
      <c r="E99" s="138"/>
      <c r="F99" s="136"/>
      <c r="G99" s="136"/>
      <c r="H99" s="136"/>
      <c r="I99" s="136"/>
      <c r="J99" s="11"/>
      <c r="O99" s="121"/>
      <c r="S99" s="120"/>
    </row>
    <row r="100" spans="1:19" s="6" customFormat="1" ht="14.25">
      <c r="A100" s="136"/>
      <c r="B100" s="136"/>
      <c r="C100" s="139"/>
      <c r="D100" s="139"/>
      <c r="E100" s="138"/>
      <c r="F100" s="136"/>
      <c r="G100" s="136"/>
      <c r="H100" s="136"/>
      <c r="I100" s="136"/>
      <c r="J100" s="11"/>
      <c r="O100" s="121"/>
      <c r="S100" s="120"/>
    </row>
    <row r="101" spans="1:19" s="6" customFormat="1" ht="28.5">
      <c r="A101" s="19" t="s">
        <v>224</v>
      </c>
      <c r="B101" s="20"/>
      <c r="C101" s="74">
        <f>(C98-C51-C73-C85)/166639960*1000</f>
        <v>496.7522285471139</v>
      </c>
      <c r="D101" s="74">
        <f>(D98-D51-D73-D85)/166639960*1000</f>
        <v>394.3304868472239</v>
      </c>
      <c r="E101" s="120"/>
      <c r="O101" s="121"/>
      <c r="S101" s="120"/>
    </row>
    <row r="102" spans="1:19" s="6" customFormat="1" ht="14.25">
      <c r="A102" s="19"/>
      <c r="B102" s="20"/>
      <c r="E102" s="120"/>
      <c r="J102" s="18">
        <f>C58-C98</f>
        <v>-0.315001904964447</v>
      </c>
      <c r="K102" s="18">
        <f>D58-D98</f>
        <v>0</v>
      </c>
      <c r="O102" s="121"/>
      <c r="S102" s="120"/>
    </row>
    <row r="103" spans="1:19" s="6" customFormat="1" ht="12" customHeight="1">
      <c r="A103" s="21" t="s">
        <v>0</v>
      </c>
      <c r="B103" s="20"/>
      <c r="C103" s="22"/>
      <c r="D103" s="22"/>
      <c r="E103" s="120"/>
      <c r="J103" s="11"/>
      <c r="O103" s="121"/>
      <c r="S103" s="120"/>
    </row>
    <row r="104" spans="1:19" s="6" customFormat="1" ht="12" customHeight="1">
      <c r="A104" s="21" t="s">
        <v>273</v>
      </c>
      <c r="B104" s="20"/>
      <c r="C104" s="20"/>
      <c r="D104" s="22" t="s">
        <v>270</v>
      </c>
      <c r="E104" s="120"/>
      <c r="J104" s="11"/>
      <c r="O104" s="121"/>
      <c r="S104" s="120"/>
    </row>
    <row r="105" spans="1:19" s="6" customFormat="1" ht="12" customHeight="1">
      <c r="A105" s="21"/>
      <c r="B105" s="20"/>
      <c r="C105" s="20"/>
      <c r="D105" s="22"/>
      <c r="E105" s="120"/>
      <c r="J105" s="11"/>
      <c r="O105" s="121"/>
      <c r="S105" s="120"/>
    </row>
    <row r="106" spans="1:19" s="6" customFormat="1" ht="12" customHeight="1">
      <c r="A106" s="21"/>
      <c r="B106" s="20"/>
      <c r="C106" s="20"/>
      <c r="D106" s="22"/>
      <c r="E106" s="120"/>
      <c r="J106" s="11"/>
      <c r="O106" s="121"/>
      <c r="S106" s="120"/>
    </row>
    <row r="107" spans="1:19" s="6" customFormat="1" ht="12" customHeight="1">
      <c r="A107" s="21" t="s">
        <v>261</v>
      </c>
      <c r="B107" s="20"/>
      <c r="C107" s="20"/>
      <c r="D107" s="23" t="s">
        <v>269</v>
      </c>
      <c r="E107" s="120"/>
      <c r="J107" s="11"/>
      <c r="O107" s="121"/>
      <c r="S107" s="120"/>
    </row>
    <row r="108" spans="1:19" s="6" customFormat="1" ht="12" customHeight="1">
      <c r="A108" s="21" t="s">
        <v>0</v>
      </c>
      <c r="B108" s="20"/>
      <c r="C108" s="20"/>
      <c r="D108" s="22"/>
      <c r="E108" s="120"/>
      <c r="O108" s="121"/>
      <c r="S108" s="120"/>
    </row>
    <row r="109" spans="1:19" s="6" customFormat="1" ht="12" customHeight="1">
      <c r="A109" s="21"/>
      <c r="B109" s="20"/>
      <c r="C109" s="20"/>
      <c r="D109" s="22"/>
      <c r="E109" s="120"/>
      <c r="O109" s="121"/>
      <c r="S109" s="120"/>
    </row>
    <row r="110" spans="2:19" s="6" customFormat="1" ht="12" customHeight="1">
      <c r="B110" s="3"/>
      <c r="C110" s="140"/>
      <c r="D110" s="140"/>
      <c r="E110" s="141"/>
      <c r="F110" s="140"/>
      <c r="G110" s="140"/>
      <c r="O110" s="121"/>
      <c r="S110" s="120"/>
    </row>
    <row r="111" spans="1:19" s="6" customFormat="1" ht="12" customHeight="1">
      <c r="A111" s="6" t="s">
        <v>119</v>
      </c>
      <c r="B111" s="3"/>
      <c r="C111" s="140"/>
      <c r="D111" s="140"/>
      <c r="E111" s="120"/>
      <c r="O111" s="121"/>
      <c r="S111" s="120"/>
    </row>
    <row r="112" spans="2:19" s="6" customFormat="1" ht="12" customHeight="1">
      <c r="B112" s="3"/>
      <c r="C112" s="3"/>
      <c r="D112" s="8"/>
      <c r="E112" s="120"/>
      <c r="O112" s="121"/>
      <c r="S112" s="120"/>
    </row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8:T62"/>
  <sheetViews>
    <sheetView zoomScalePageLayoutView="0" workbookViewId="0" topLeftCell="A46">
      <selection activeCell="C57" sqref="C57"/>
    </sheetView>
  </sheetViews>
  <sheetFormatPr defaultColWidth="9.00390625" defaultRowHeight="12.75"/>
  <cols>
    <col min="1" max="1" width="58.625" style="4" customWidth="1"/>
    <col min="2" max="2" width="7.625" style="4" customWidth="1"/>
    <col min="3" max="3" width="13.00390625" style="4" customWidth="1"/>
    <col min="4" max="4" width="15.00390625" style="4" hidden="1" customWidth="1"/>
    <col min="5" max="5" width="13.00390625" style="4" hidden="1" customWidth="1"/>
    <col min="6" max="6" width="12.125" style="4" customWidth="1"/>
    <col min="7" max="7" width="11.875" style="4" hidden="1" customWidth="1"/>
    <col min="8" max="8" width="13.00390625" style="4" hidden="1" customWidth="1"/>
    <col min="9" max="10" width="13.00390625" style="4" customWidth="1"/>
    <col min="11" max="19" width="9.125" style="4" customWidth="1"/>
    <col min="20" max="20" width="11.25390625" style="4" bestFit="1" customWidth="1"/>
    <col min="21" max="16384" width="9.125" style="4" customWidth="1"/>
  </cols>
  <sheetData>
    <row r="1" ht="14.25"/>
    <row r="2" ht="14.25"/>
    <row r="3" ht="14.25"/>
    <row r="4" ht="14.25"/>
    <row r="5" ht="14.25"/>
    <row r="6" ht="14.25"/>
    <row r="7" ht="35.25" customHeight="1"/>
    <row r="8" spans="1:6" ht="18.75">
      <c r="A8" s="177" t="s">
        <v>259</v>
      </c>
      <c r="B8" s="177"/>
      <c r="C8" s="177"/>
      <c r="D8" s="177"/>
      <c r="E8" s="177"/>
      <c r="F8" s="111"/>
    </row>
    <row r="9" spans="1:6" ht="14.25">
      <c r="A9" s="178" t="s">
        <v>274</v>
      </c>
      <c r="B9" s="178"/>
      <c r="C9" s="178"/>
      <c r="D9" s="178"/>
      <c r="E9" s="178"/>
      <c r="F9" s="112"/>
    </row>
    <row r="10" spans="1:6" ht="14.25">
      <c r="A10" s="178" t="str">
        <f>'[4]бб'!A10</f>
        <v>по состоянию на 31 марта 2021 года</v>
      </c>
      <c r="B10" s="178"/>
      <c r="C10" s="178"/>
      <c r="D10" s="178"/>
      <c r="E10" s="178"/>
      <c r="F10" s="112"/>
    </row>
    <row r="11" spans="1:6" ht="14.25">
      <c r="A11" s="178" t="s">
        <v>153</v>
      </c>
      <c r="B11" s="178"/>
      <c r="C11" s="178"/>
      <c r="D11" s="178"/>
      <c r="E11" s="178"/>
      <c r="F11" s="112"/>
    </row>
    <row r="12" spans="1:6" ht="14.25">
      <c r="A12" s="171"/>
      <c r="B12" s="171"/>
      <c r="C12" s="171"/>
      <c r="D12" s="171"/>
      <c r="E12" s="171"/>
      <c r="F12" s="3"/>
    </row>
    <row r="13" spans="1:6" ht="15.75">
      <c r="A13" s="175" t="s">
        <v>227</v>
      </c>
      <c r="B13" s="175"/>
      <c r="C13" s="175"/>
      <c r="D13" s="175"/>
      <c r="E13" s="175"/>
      <c r="F13" s="110"/>
    </row>
    <row r="14" spans="1:7" ht="15.75">
      <c r="A14" s="68"/>
      <c r="B14" s="68"/>
      <c r="C14" s="68"/>
      <c r="D14" s="68"/>
      <c r="E14" s="71"/>
      <c r="F14" s="71"/>
      <c r="G14" s="68"/>
    </row>
    <row r="15" spans="1:6" ht="15.75">
      <c r="A15" s="175" t="s">
        <v>262</v>
      </c>
      <c r="B15" s="175"/>
      <c r="C15" s="175"/>
      <c r="D15" s="175"/>
      <c r="E15" s="175"/>
      <c r="F15" s="110"/>
    </row>
    <row r="16" spans="1:6" ht="15.75">
      <c r="A16" s="176" t="s">
        <v>1</v>
      </c>
      <c r="B16" s="176"/>
      <c r="C16" s="176"/>
      <c r="D16" s="176"/>
      <c r="E16" s="176"/>
      <c r="F16" s="113"/>
    </row>
    <row r="17" spans="1:7" ht="15.75">
      <c r="A17" s="68"/>
      <c r="B17" s="68"/>
      <c r="C17" s="142"/>
      <c r="D17" s="142"/>
      <c r="E17" s="142"/>
      <c r="F17" s="142"/>
      <c r="G17" s="142"/>
    </row>
    <row r="18" spans="1:6" ht="15.75">
      <c r="A18" s="175" t="s">
        <v>228</v>
      </c>
      <c r="B18" s="175"/>
      <c r="C18" s="175"/>
      <c r="D18" s="175"/>
      <c r="E18" s="175"/>
      <c r="F18" s="110"/>
    </row>
    <row r="19" spans="1:7" ht="15.75">
      <c r="A19" s="68"/>
      <c r="B19" s="68"/>
      <c r="C19" s="68"/>
      <c r="D19" s="68"/>
      <c r="E19" s="71"/>
      <c r="F19" s="71"/>
      <c r="G19" s="68"/>
    </row>
    <row r="20" spans="1:6" ht="15.75">
      <c r="A20" s="175" t="s">
        <v>281</v>
      </c>
      <c r="B20" s="175"/>
      <c r="C20" s="175"/>
      <c r="D20" s="175"/>
      <c r="E20" s="175"/>
      <c r="F20" s="110"/>
    </row>
    <row r="21" spans="1:7" ht="14.25">
      <c r="A21" s="172" t="s">
        <v>2</v>
      </c>
      <c r="B21" s="172"/>
      <c r="C21" s="172"/>
      <c r="D21" s="172"/>
      <c r="E21" s="172"/>
      <c r="F21" s="143"/>
      <c r="G21" s="37"/>
    </row>
    <row r="22" spans="1:8" ht="40.5" customHeight="1">
      <c r="A22" s="9" t="s">
        <v>29</v>
      </c>
      <c r="B22" s="9" t="s">
        <v>31</v>
      </c>
      <c r="C22" s="9" t="s">
        <v>282</v>
      </c>
      <c r="D22" s="9" t="s">
        <v>283</v>
      </c>
      <c r="E22" s="9"/>
      <c r="F22" s="9" t="s">
        <v>284</v>
      </c>
      <c r="G22" s="9" t="s">
        <v>285</v>
      </c>
      <c r="H22" s="9"/>
    </row>
    <row r="23" spans="1:8" ht="14.25">
      <c r="A23" s="144" t="s">
        <v>154</v>
      </c>
      <c r="B23" s="14" t="s">
        <v>3</v>
      </c>
      <c r="C23" s="97">
        <f>'[5]PL'!$Y$6</f>
        <v>25316851</v>
      </c>
      <c r="D23" s="97">
        <v>8046004</v>
      </c>
      <c r="E23" s="97"/>
      <c r="F23" s="97">
        <v>17278901</v>
      </c>
      <c r="G23" s="97">
        <v>5319997</v>
      </c>
      <c r="H23" s="97"/>
    </row>
    <row r="24" spans="1:8" ht="28.5">
      <c r="A24" s="144" t="s">
        <v>155</v>
      </c>
      <c r="B24" s="14" t="s">
        <v>5</v>
      </c>
      <c r="C24" s="97">
        <f>-'[5]PL'!$Y$8</f>
        <v>12654561</v>
      </c>
      <c r="D24" s="97">
        <v>4522449</v>
      </c>
      <c r="E24" s="97"/>
      <c r="F24" s="97">
        <v>11072656</v>
      </c>
      <c r="G24" s="97">
        <v>3617822</v>
      </c>
      <c r="H24" s="97"/>
    </row>
    <row r="25" spans="1:8" ht="14.25">
      <c r="A25" s="144" t="s">
        <v>196</v>
      </c>
      <c r="B25" s="14" t="s">
        <v>6</v>
      </c>
      <c r="C25" s="97">
        <f>C23-C24</f>
        <v>12662290</v>
      </c>
      <c r="D25" s="97">
        <f>D23-D24</f>
        <v>3523555</v>
      </c>
      <c r="E25" s="97">
        <f>E23-E24</f>
        <v>0</v>
      </c>
      <c r="F25" s="97">
        <f>F23-F24</f>
        <v>6206245</v>
      </c>
      <c r="G25" s="97">
        <f>G23-G24</f>
        <v>1702175</v>
      </c>
      <c r="H25" s="97"/>
    </row>
    <row r="26" spans="1:8" ht="14.25">
      <c r="A26" s="144" t="s">
        <v>156</v>
      </c>
      <c r="B26" s="14" t="s">
        <v>8</v>
      </c>
      <c r="C26" s="97">
        <f>'[5]PL'!$Y$15</f>
        <v>1948321</v>
      </c>
      <c r="D26" s="97">
        <f>247414+1642856</f>
        <v>1890270</v>
      </c>
      <c r="E26" s="97"/>
      <c r="F26" s="97">
        <v>29925</v>
      </c>
      <c r="G26" s="97">
        <v>26715</v>
      </c>
      <c r="H26" s="97"/>
    </row>
    <row r="27" spans="1:8" ht="14.25">
      <c r="A27" s="144" t="s">
        <v>286</v>
      </c>
      <c r="B27" s="14" t="s">
        <v>15</v>
      </c>
      <c r="C27" s="97">
        <f>'[5]PL'!$Y$20+'[5]PL'!$Y$21-1</f>
        <v>-757192</v>
      </c>
      <c r="D27" s="97">
        <v>-48028</v>
      </c>
      <c r="E27" s="145"/>
      <c r="F27" s="97">
        <v>-250446</v>
      </c>
      <c r="G27" s="97">
        <v>-239463</v>
      </c>
      <c r="H27" s="97"/>
    </row>
    <row r="28" spans="1:8" ht="14.25">
      <c r="A28" s="144" t="s">
        <v>157</v>
      </c>
      <c r="B28" s="14" t="s">
        <v>16</v>
      </c>
      <c r="C28" s="97">
        <f>-'[5]PL'!$Y$13</f>
        <v>220628</v>
      </c>
      <c r="D28" s="97">
        <v>87343</v>
      </c>
      <c r="E28" s="97"/>
      <c r="F28" s="97">
        <v>210126</v>
      </c>
      <c r="G28" s="97">
        <v>72919</v>
      </c>
      <c r="H28" s="97"/>
    </row>
    <row r="29" spans="1:8" ht="14.25">
      <c r="A29" s="144" t="s">
        <v>158</v>
      </c>
      <c r="B29" s="14" t="s">
        <v>17</v>
      </c>
      <c r="C29" s="97">
        <f>-'[5]PL'!$Y$12</f>
        <v>1103929</v>
      </c>
      <c r="D29" s="97">
        <v>331830</v>
      </c>
      <c r="E29" s="97"/>
      <c r="F29" s="97">
        <v>809662</v>
      </c>
      <c r="G29" s="97">
        <v>231364</v>
      </c>
      <c r="H29" s="97"/>
    </row>
    <row r="30" spans="1:8" ht="14.25">
      <c r="A30" s="144" t="s">
        <v>159</v>
      </c>
      <c r="B30" s="14" t="s">
        <v>22</v>
      </c>
      <c r="C30" s="97">
        <f>-'[5]PL'!$Y$14</f>
        <v>4388696</v>
      </c>
      <c r="D30" s="97">
        <v>1569117</v>
      </c>
      <c r="E30" s="97"/>
      <c r="F30" s="97">
        <v>1132614</v>
      </c>
      <c r="G30" s="97">
        <v>437516</v>
      </c>
      <c r="H30" s="97"/>
    </row>
    <row r="31" spans="1:8" ht="14.25">
      <c r="A31" s="144" t="s">
        <v>271</v>
      </c>
      <c r="B31" s="14" t="s">
        <v>28</v>
      </c>
      <c r="C31" s="97">
        <f>'[5]PL'!$Y$16</f>
        <v>570576</v>
      </c>
      <c r="D31" s="97">
        <v>95074</v>
      </c>
      <c r="E31" s="97"/>
      <c r="F31" s="97">
        <v>-184483</v>
      </c>
      <c r="G31" s="97">
        <v>1137874</v>
      </c>
      <c r="H31" s="97"/>
    </row>
    <row r="32" spans="1:8" ht="28.5">
      <c r="A32" s="146" t="s">
        <v>160</v>
      </c>
      <c r="B32" s="14" t="s">
        <v>86</v>
      </c>
      <c r="C32" s="97">
        <f>SUM(D32:E32)</f>
        <v>0</v>
      </c>
      <c r="D32" s="98"/>
      <c r="E32" s="98"/>
      <c r="F32" s="97"/>
      <c r="G32" s="98"/>
      <c r="H32" s="98"/>
    </row>
    <row r="33" spans="1:8" ht="45" customHeight="1">
      <c r="A33" s="146" t="s">
        <v>197</v>
      </c>
      <c r="B33" s="26" t="s">
        <v>134</v>
      </c>
      <c r="C33" s="99">
        <f>C25+C26+C27-C28-C29-C30+C31+C32</f>
        <v>8710742</v>
      </c>
      <c r="D33" s="99">
        <f>D25+D26+D27-D28-D29-D30-D31+D32</f>
        <v>3282433</v>
      </c>
      <c r="E33" s="99">
        <f>E25+E26+E27-E28-E29-E30-E31+E32</f>
        <v>0</v>
      </c>
      <c r="F33" s="99">
        <f>F25+F26+F27-F28-F29-F30-F31+F32</f>
        <v>4017805</v>
      </c>
      <c r="G33" s="99">
        <f>G25+G26+G27-G28-G29-G30-G31+G32</f>
        <v>-390246</v>
      </c>
      <c r="H33" s="99"/>
    </row>
    <row r="34" spans="1:8" ht="28.5">
      <c r="A34" s="144" t="s">
        <v>198</v>
      </c>
      <c r="B34" s="14" t="s">
        <v>135</v>
      </c>
      <c r="C34" s="97">
        <f>SUM(D34:E34)</f>
        <v>0</v>
      </c>
      <c r="D34" s="98"/>
      <c r="E34" s="98"/>
      <c r="F34" s="97">
        <v>0</v>
      </c>
      <c r="G34" s="98"/>
      <c r="H34" s="98"/>
    </row>
    <row r="35" spans="1:8" ht="14.25">
      <c r="A35" s="144" t="s">
        <v>199</v>
      </c>
      <c r="B35" s="14" t="s">
        <v>137</v>
      </c>
      <c r="C35" s="97">
        <f>C33</f>
        <v>8710742</v>
      </c>
      <c r="D35" s="97">
        <f>D33</f>
        <v>3282433</v>
      </c>
      <c r="E35" s="97">
        <f>E33</f>
        <v>0</v>
      </c>
      <c r="F35" s="97">
        <f>F33</f>
        <v>4017805</v>
      </c>
      <c r="G35" s="97">
        <f>G33</f>
        <v>-390246</v>
      </c>
      <c r="H35" s="99"/>
    </row>
    <row r="36" spans="1:8" ht="14.25">
      <c r="A36" s="144" t="s">
        <v>30</v>
      </c>
      <c r="B36" s="14" t="s">
        <v>141</v>
      </c>
      <c r="C36" s="97">
        <f>-'[5]PL'!$Y$29</f>
        <v>208681</v>
      </c>
      <c r="D36" s="99">
        <v>5472</v>
      </c>
      <c r="E36" s="99"/>
      <c r="F36" s="97">
        <v>225863</v>
      </c>
      <c r="G36" s="99">
        <v>75287</v>
      </c>
      <c r="H36" s="99"/>
    </row>
    <row r="37" spans="1:8" ht="14.25">
      <c r="A37" s="146" t="s">
        <v>200</v>
      </c>
      <c r="B37" s="26" t="s">
        <v>142</v>
      </c>
      <c r="C37" s="97">
        <f>C35-C36</f>
        <v>8502061</v>
      </c>
      <c r="D37" s="97">
        <f>D35-D36</f>
        <v>3276961</v>
      </c>
      <c r="E37" s="97">
        <f>E35-E36</f>
        <v>0</v>
      </c>
      <c r="F37" s="97">
        <f>F35-F36</f>
        <v>3791942</v>
      </c>
      <c r="G37" s="97">
        <f>G35-G36</f>
        <v>-465533</v>
      </c>
      <c r="H37" s="99"/>
    </row>
    <row r="38" spans="1:8" ht="14.25">
      <c r="A38" s="146" t="s">
        <v>203</v>
      </c>
      <c r="B38" s="26"/>
      <c r="C38" s="97">
        <f>SUM(D38:E38)</f>
        <v>0</v>
      </c>
      <c r="D38" s="98"/>
      <c r="E38" s="98"/>
      <c r="F38" s="97"/>
      <c r="G38" s="98"/>
      <c r="H38" s="98"/>
    </row>
    <row r="39" spans="1:8" ht="14.25">
      <c r="A39" s="146" t="s">
        <v>185</v>
      </c>
      <c r="B39" s="26" t="s">
        <v>144</v>
      </c>
      <c r="C39" s="97">
        <f>C37-C40</f>
        <v>6641885.76</v>
      </c>
      <c r="D39" s="97">
        <f>D37-D40</f>
        <v>2574071</v>
      </c>
      <c r="E39" s="97">
        <f>E37</f>
        <v>0</v>
      </c>
      <c r="F39" s="97">
        <f>F37</f>
        <v>3791942</v>
      </c>
      <c r="G39" s="97">
        <f>G37</f>
        <v>-465533</v>
      </c>
      <c r="H39" s="100"/>
    </row>
    <row r="40" spans="1:8" ht="14.25">
      <c r="A40" s="144" t="s">
        <v>186</v>
      </c>
      <c r="B40" s="14" t="s">
        <v>145</v>
      </c>
      <c r="C40" s="97">
        <f>'[5]PL'!$Y$35</f>
        <v>1860175.24</v>
      </c>
      <c r="D40" s="101">
        <v>702890</v>
      </c>
      <c r="E40" s="101"/>
      <c r="F40" s="97">
        <v>0</v>
      </c>
      <c r="G40" s="101"/>
      <c r="H40" s="101"/>
    </row>
    <row r="41" spans="1:8" ht="14.25">
      <c r="A41" s="144" t="s">
        <v>201</v>
      </c>
      <c r="B41" s="14" t="s">
        <v>146</v>
      </c>
      <c r="C41" s="97">
        <f>SUM(C39:C40)</f>
        <v>8502061</v>
      </c>
      <c r="D41" s="97">
        <f>SUM(D39:D40)</f>
        <v>3276961</v>
      </c>
      <c r="E41" s="97">
        <f>SUM(E39:E40)</f>
        <v>0</v>
      </c>
      <c r="F41" s="97">
        <f>F39-F40</f>
        <v>3791942</v>
      </c>
      <c r="G41" s="97">
        <f>G39-G40</f>
        <v>-465533</v>
      </c>
      <c r="H41" s="99"/>
    </row>
    <row r="42" spans="1:8" ht="15.75">
      <c r="A42" s="144" t="s">
        <v>202</v>
      </c>
      <c r="B42" s="14" t="s">
        <v>147</v>
      </c>
      <c r="C42" s="91"/>
      <c r="D42" s="108"/>
      <c r="E42" s="91"/>
      <c r="F42" s="91"/>
      <c r="G42" s="97"/>
      <c r="H42" s="91"/>
    </row>
    <row r="43" spans="1:8" ht="14.25">
      <c r="A43" s="144" t="s">
        <v>190</v>
      </c>
      <c r="B43" s="14"/>
      <c r="C43" s="91"/>
      <c r="D43" s="91"/>
      <c r="E43" s="91"/>
      <c r="F43" s="91"/>
      <c r="G43" s="91"/>
      <c r="H43" s="91"/>
    </row>
    <row r="44" spans="1:8" ht="28.5">
      <c r="A44" s="146" t="s">
        <v>191</v>
      </c>
      <c r="B44" s="14" t="s">
        <v>148</v>
      </c>
      <c r="C44" s="91">
        <v>0</v>
      </c>
      <c r="D44" s="91"/>
      <c r="E44" s="91">
        <v>0</v>
      </c>
      <c r="F44" s="91">
        <v>0</v>
      </c>
      <c r="G44" s="91"/>
      <c r="H44" s="91">
        <v>0</v>
      </c>
    </row>
    <row r="45" spans="1:8" ht="14.25">
      <c r="A45" s="146" t="s">
        <v>192</v>
      </c>
      <c r="B45" s="14" t="s">
        <v>204</v>
      </c>
      <c r="C45" s="91">
        <v>0</v>
      </c>
      <c r="D45" s="91"/>
      <c r="E45" s="91">
        <v>0</v>
      </c>
      <c r="F45" s="91">
        <v>0</v>
      </c>
      <c r="G45" s="91"/>
      <c r="H45" s="91">
        <v>0</v>
      </c>
    </row>
    <row r="46" spans="1:20" ht="28.5">
      <c r="A46" s="146" t="s">
        <v>193</v>
      </c>
      <c r="B46" s="14" t="s">
        <v>205</v>
      </c>
      <c r="C46" s="91">
        <v>0</v>
      </c>
      <c r="D46" s="91"/>
      <c r="E46" s="91">
        <v>0</v>
      </c>
      <c r="F46" s="91">
        <v>0</v>
      </c>
      <c r="G46" s="91"/>
      <c r="H46" s="91">
        <v>0</v>
      </c>
      <c r="T46" s="147"/>
    </row>
    <row r="47" spans="1:8" ht="14.25">
      <c r="A47" s="146" t="s">
        <v>194</v>
      </c>
      <c r="B47" s="14" t="s">
        <v>206</v>
      </c>
      <c r="C47" s="91">
        <v>0</v>
      </c>
      <c r="D47" s="91"/>
      <c r="E47" s="91">
        <v>0</v>
      </c>
      <c r="F47" s="91">
        <v>0</v>
      </c>
      <c r="G47" s="91"/>
      <c r="H47" s="91">
        <v>0</v>
      </c>
    </row>
    <row r="48" spans="1:20" ht="28.5">
      <c r="A48" s="146" t="s">
        <v>221</v>
      </c>
      <c r="B48" s="14" t="s">
        <v>207</v>
      </c>
      <c r="C48" s="91">
        <v>0</v>
      </c>
      <c r="D48" s="91"/>
      <c r="E48" s="91">
        <v>0</v>
      </c>
      <c r="F48" s="91">
        <f>SUM(F44:F47)</f>
        <v>0</v>
      </c>
      <c r="G48" s="91"/>
      <c r="H48" s="91">
        <f>SUM(H44:H47)</f>
        <v>0</v>
      </c>
      <c r="T48" s="147"/>
    </row>
    <row r="49" spans="1:8" ht="14.25">
      <c r="A49" s="144" t="s">
        <v>195</v>
      </c>
      <c r="B49" s="14"/>
      <c r="C49" s="91">
        <v>0</v>
      </c>
      <c r="D49" s="91"/>
      <c r="E49" s="91">
        <v>0</v>
      </c>
      <c r="F49" s="91"/>
      <c r="G49" s="91"/>
      <c r="H49" s="91"/>
    </row>
    <row r="50" spans="1:8" ht="14.25">
      <c r="A50" s="144" t="s">
        <v>214</v>
      </c>
      <c r="B50" s="14" t="s">
        <v>208</v>
      </c>
      <c r="C50" s="91">
        <v>0</v>
      </c>
      <c r="D50" s="91"/>
      <c r="E50" s="91">
        <v>0</v>
      </c>
      <c r="F50" s="91">
        <f>F48-F51</f>
        <v>0</v>
      </c>
      <c r="G50" s="91"/>
      <c r="H50" s="91">
        <f>H48-H51</f>
        <v>0</v>
      </c>
    </row>
    <row r="51" spans="1:8" ht="14.25">
      <c r="A51" s="144" t="s">
        <v>186</v>
      </c>
      <c r="B51" s="14" t="s">
        <v>209</v>
      </c>
      <c r="C51" s="91">
        <v>0</v>
      </c>
      <c r="D51" s="91"/>
      <c r="E51" s="91">
        <v>0</v>
      </c>
      <c r="F51" s="91">
        <v>0</v>
      </c>
      <c r="G51" s="91"/>
      <c r="H51" s="91">
        <v>0</v>
      </c>
    </row>
    <row r="52" spans="1:20" ht="29.25" customHeight="1">
      <c r="A52" s="146" t="s">
        <v>220</v>
      </c>
      <c r="B52" s="14" t="s">
        <v>210</v>
      </c>
      <c r="C52" s="102">
        <f aca="true" t="shared" si="0" ref="C52:H52">C41+C48</f>
        <v>8502061</v>
      </c>
      <c r="D52" s="102">
        <f t="shared" si="0"/>
        <v>3276961</v>
      </c>
      <c r="E52" s="102">
        <f t="shared" si="0"/>
        <v>0</v>
      </c>
      <c r="F52" s="102">
        <f t="shared" si="0"/>
        <v>3791942</v>
      </c>
      <c r="G52" s="102">
        <f t="shared" si="0"/>
        <v>-465533</v>
      </c>
      <c r="H52" s="102">
        <f t="shared" si="0"/>
        <v>0</v>
      </c>
      <c r="T52" s="147"/>
    </row>
    <row r="53" spans="1:8" ht="14.25">
      <c r="A53" s="144" t="s">
        <v>195</v>
      </c>
      <c r="B53" s="14"/>
      <c r="C53" s="91"/>
      <c r="D53" s="91"/>
      <c r="E53" s="91"/>
      <c r="F53" s="91"/>
      <c r="G53" s="91"/>
      <c r="H53" s="91"/>
    </row>
    <row r="54" spans="1:8" ht="14.25">
      <c r="A54" s="144" t="s">
        <v>215</v>
      </c>
      <c r="B54" s="14" t="s">
        <v>211</v>
      </c>
      <c r="C54" s="102">
        <f aca="true" t="shared" si="1" ref="C54:H55">C39+C50</f>
        <v>6641885.76</v>
      </c>
      <c r="D54" s="102">
        <f t="shared" si="1"/>
        <v>2574071</v>
      </c>
      <c r="E54" s="102">
        <f t="shared" si="1"/>
        <v>0</v>
      </c>
      <c r="F54" s="102">
        <f t="shared" si="1"/>
        <v>3791942</v>
      </c>
      <c r="G54" s="102">
        <f t="shared" si="1"/>
        <v>-465533</v>
      </c>
      <c r="H54" s="102">
        <f t="shared" si="1"/>
        <v>0</v>
      </c>
    </row>
    <row r="55" spans="1:8" ht="14.25">
      <c r="A55" s="144" t="s">
        <v>216</v>
      </c>
      <c r="B55" s="14" t="s">
        <v>212</v>
      </c>
      <c r="C55" s="102">
        <f t="shared" si="1"/>
        <v>1860175.24</v>
      </c>
      <c r="D55" s="104">
        <f>D40</f>
        <v>702890</v>
      </c>
      <c r="E55" s="104">
        <f>E40</f>
        <v>0</v>
      </c>
      <c r="F55" s="104"/>
      <c r="G55" s="148"/>
      <c r="H55" s="104"/>
    </row>
    <row r="56" spans="1:8" ht="14.25">
      <c r="A56" s="144"/>
      <c r="B56" s="14"/>
      <c r="C56" s="104"/>
      <c r="D56" s="148"/>
      <c r="E56" s="104"/>
      <c r="F56" s="104"/>
      <c r="G56" s="148"/>
      <c r="H56" s="104"/>
    </row>
    <row r="57" spans="1:8" ht="28.5">
      <c r="A57" s="149" t="s">
        <v>223</v>
      </c>
      <c r="B57" s="32" t="s">
        <v>107</v>
      </c>
      <c r="C57" s="103">
        <f>(C54)/166639960*1000</f>
        <v>39.85770135806561</v>
      </c>
      <c r="D57" s="103">
        <f>(D54)/166639960*1000</f>
        <v>15.446901211450122</v>
      </c>
      <c r="E57" s="103">
        <f>(E54+E55)/166639960*1000</f>
        <v>0</v>
      </c>
      <c r="F57" s="150">
        <f>(F54+F55)/166639960*1000</f>
        <v>22.755298309001034</v>
      </c>
      <c r="G57" s="150">
        <f>(G54+G55)/166639960*1000</f>
        <v>-2.7936456537795618</v>
      </c>
      <c r="H57" s="150">
        <f>(H54+H55)/166639960*1000</f>
        <v>0</v>
      </c>
    </row>
    <row r="58" spans="1:3" s="33" customFormat="1" ht="37.5" customHeight="1">
      <c r="A58" s="151" t="s">
        <v>287</v>
      </c>
      <c r="B58" s="152"/>
      <c r="C58" s="153" t="s">
        <v>270</v>
      </c>
    </row>
    <row r="59" spans="1:7" ht="14.25">
      <c r="A59" s="21"/>
      <c r="B59" s="20"/>
      <c r="C59" s="22"/>
      <c r="D59" s="20"/>
      <c r="G59" s="20"/>
    </row>
    <row r="60" spans="1:3" ht="14.25">
      <c r="A60" s="21" t="s">
        <v>261</v>
      </c>
      <c r="B60" s="20"/>
      <c r="C60" s="23" t="s">
        <v>269</v>
      </c>
    </row>
    <row r="61" ht="37.5" customHeight="1">
      <c r="A61" s="6" t="s">
        <v>119</v>
      </c>
    </row>
    <row r="62" ht="14.25">
      <c r="C62" s="22"/>
    </row>
  </sheetData>
  <sheetProtection/>
  <mergeCells count="11">
    <mergeCell ref="A13:E13"/>
    <mergeCell ref="A15:E15"/>
    <mergeCell ref="A16:E16"/>
    <mergeCell ref="A18:E18"/>
    <mergeCell ref="A20:E20"/>
    <mergeCell ref="A21:E21"/>
    <mergeCell ref="A8:E8"/>
    <mergeCell ref="A9:E9"/>
    <mergeCell ref="A10:E10"/>
    <mergeCell ref="A11:E11"/>
    <mergeCell ref="A12:E12"/>
  </mergeCells>
  <printOptions/>
  <pageMargins left="0.8661417322834646" right="0.15748031496062992" top="0" bottom="0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5:J80"/>
  <sheetViews>
    <sheetView zoomScale="84" zoomScaleNormal="84" zoomScalePageLayoutView="0" workbookViewId="0" topLeftCell="A31">
      <selection activeCell="A1" sqref="A1:D16384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18.75390625" style="30" customWidth="1"/>
    <col min="5" max="5" width="14.25390625" style="4" customWidth="1"/>
    <col min="6" max="6" width="9.125" style="4" customWidth="1"/>
    <col min="7" max="7" width="26.25390625" style="4" hidden="1" customWidth="1"/>
    <col min="8" max="8" width="0" style="4" hidden="1" customWidth="1"/>
    <col min="9" max="9" width="58.75390625" style="4" hidden="1" customWidth="1"/>
    <col min="10" max="10" width="38.00390625" style="4" hidden="1" customWidth="1"/>
    <col min="11" max="16384" width="9.125" style="4" customWidth="1"/>
  </cols>
  <sheetData>
    <row r="1" ht="14.25"/>
    <row r="2" ht="14.25"/>
    <row r="3" ht="14.25"/>
    <row r="4" ht="14.25"/>
    <row r="5" spans="1:5" ht="28.5" customHeight="1">
      <c r="A5" s="177" t="s">
        <v>275</v>
      </c>
      <c r="B5" s="177"/>
      <c r="C5" s="177"/>
      <c r="D5" s="177"/>
      <c r="E5" s="33"/>
    </row>
    <row r="6" spans="1:5" ht="14.25">
      <c r="A6" s="178" t="str">
        <f>'ф2'!A10:F10</f>
        <v>по состоянию на 31 марта 2021 года</v>
      </c>
      <c r="B6" s="178"/>
      <c r="C6" s="178"/>
      <c r="D6" s="178"/>
      <c r="E6" s="33"/>
    </row>
    <row r="7" spans="1:5" ht="14.25">
      <c r="A7" s="178" t="s">
        <v>151</v>
      </c>
      <c r="B7" s="178"/>
      <c r="C7" s="178"/>
      <c r="D7" s="178"/>
      <c r="E7" s="33"/>
    </row>
    <row r="8" spans="1:5" ht="14.25">
      <c r="A8" s="178" t="s">
        <v>152</v>
      </c>
      <c r="B8" s="178"/>
      <c r="C8" s="178"/>
      <c r="D8" s="178"/>
      <c r="E8" s="33"/>
    </row>
    <row r="9" spans="1:4" ht="16.5" customHeight="1">
      <c r="A9" s="173" t="s">
        <v>227</v>
      </c>
      <c r="B9" s="173"/>
      <c r="C9" s="173"/>
      <c r="D9" s="173"/>
    </row>
    <row r="10" spans="1:4" ht="20.25" customHeight="1">
      <c r="A10" s="173" t="s">
        <v>262</v>
      </c>
      <c r="B10" s="173"/>
      <c r="C10" s="173"/>
      <c r="D10" s="173"/>
    </row>
    <row r="11" spans="1:4" ht="12" customHeight="1">
      <c r="A11" s="179" t="s">
        <v>174</v>
      </c>
      <c r="B11" s="180"/>
      <c r="C11" s="180"/>
      <c r="D11" s="180"/>
    </row>
    <row r="12" spans="1:4" ht="20.25" customHeight="1">
      <c r="A12" s="68" t="s">
        <v>228</v>
      </c>
      <c r="B12" s="68"/>
      <c r="C12" s="68"/>
      <c r="D12" s="71"/>
    </row>
    <row r="13" spans="1:4" ht="18.75" customHeight="1">
      <c r="A13" s="68" t="s">
        <v>229</v>
      </c>
      <c r="B13" s="68"/>
      <c r="C13" s="68"/>
      <c r="D13" s="71"/>
    </row>
    <row r="14" spans="1:4" ht="12" customHeight="1">
      <c r="A14" s="181" t="s">
        <v>175</v>
      </c>
      <c r="B14" s="181"/>
      <c r="C14" s="181"/>
      <c r="D14" s="181"/>
    </row>
    <row r="15" spans="1:9" ht="29.25" customHeight="1">
      <c r="A15" s="9" t="s">
        <v>29</v>
      </c>
      <c r="B15" s="9" t="s">
        <v>31</v>
      </c>
      <c r="C15" s="39" t="str">
        <f>'ф2'!C22</f>
        <v> За январь-март 2021г.</v>
      </c>
      <c r="D15" s="39" t="str">
        <f>'ф2'!F22</f>
        <v> За январь-март 2020г.</v>
      </c>
      <c r="G15" s="9" t="s">
        <v>29</v>
      </c>
      <c r="H15" s="9" t="s">
        <v>31</v>
      </c>
      <c r="I15" s="39" t="s">
        <v>276</v>
      </c>
    </row>
    <row r="16" spans="1:9" s="6" customFormat="1" ht="21" customHeight="1">
      <c r="A16" s="83" t="s">
        <v>32</v>
      </c>
      <c r="B16" s="84"/>
      <c r="C16" s="84"/>
      <c r="D16" s="84"/>
      <c r="G16" s="83" t="s">
        <v>32</v>
      </c>
      <c r="H16" s="84"/>
      <c r="I16" s="84"/>
    </row>
    <row r="17" spans="1:10" ht="12" customHeight="1">
      <c r="A17" s="27" t="s">
        <v>72</v>
      </c>
      <c r="B17" s="34" t="s">
        <v>3</v>
      </c>
      <c r="C17" s="159">
        <f>SUM(C19:C23)</f>
        <v>32198680</v>
      </c>
      <c r="D17" s="88">
        <f>SUM(D19:D23)</f>
        <v>17043899</v>
      </c>
      <c r="G17" s="27" t="s">
        <v>72</v>
      </c>
      <c r="H17" s="34" t="s">
        <v>3</v>
      </c>
      <c r="I17" s="88">
        <f>SUM(I19:I23)</f>
        <v>40307473.57118</v>
      </c>
      <c r="J17" s="96">
        <f>D17-I17</f>
        <v>-23263574.57118</v>
      </c>
    </row>
    <row r="18" spans="1:10" ht="12" customHeight="1">
      <c r="A18" s="27" t="s">
        <v>51</v>
      </c>
      <c r="B18" s="34"/>
      <c r="C18" s="159"/>
      <c r="D18" s="88"/>
      <c r="G18" s="27" t="s">
        <v>51</v>
      </c>
      <c r="H18" s="34"/>
      <c r="I18" s="88"/>
      <c r="J18" s="96">
        <f aca="true" t="shared" si="0" ref="J18:J69">D18-I18</f>
        <v>0</v>
      </c>
    </row>
    <row r="19" spans="1:10" ht="12" customHeight="1">
      <c r="A19" s="27" t="s">
        <v>162</v>
      </c>
      <c r="B19" s="34" t="s">
        <v>4</v>
      </c>
      <c r="C19" s="160">
        <f>24630453</f>
        <v>24630453</v>
      </c>
      <c r="D19" s="106">
        <f>16613430+225154</f>
        <v>16838584</v>
      </c>
      <c r="G19" s="27" t="s">
        <v>162</v>
      </c>
      <c r="H19" s="34" t="s">
        <v>4</v>
      </c>
      <c r="I19" s="89">
        <f>'[2]Ф3 '!$E$18</f>
        <v>39561477.94732</v>
      </c>
      <c r="J19" s="96">
        <f t="shared" si="0"/>
        <v>-22722893.94732</v>
      </c>
    </row>
    <row r="20" spans="1:10" ht="12" customHeight="1">
      <c r="A20" s="27" t="s">
        <v>163</v>
      </c>
      <c r="B20" s="34" t="s">
        <v>33</v>
      </c>
      <c r="C20" s="159" t="s">
        <v>272</v>
      </c>
      <c r="D20" s="105" t="s">
        <v>272</v>
      </c>
      <c r="G20" s="27" t="s">
        <v>163</v>
      </c>
      <c r="H20" s="34" t="s">
        <v>33</v>
      </c>
      <c r="I20" s="88">
        <f>'[1]Ф3'!$D$23</f>
        <v>0</v>
      </c>
      <c r="J20" s="96" t="e">
        <f t="shared" si="0"/>
        <v>#VALUE!</v>
      </c>
    </row>
    <row r="21" spans="1:10" ht="12" customHeight="1">
      <c r="A21" s="27" t="s">
        <v>164</v>
      </c>
      <c r="B21" s="34" t="s">
        <v>34</v>
      </c>
      <c r="C21" s="159" t="s">
        <v>272</v>
      </c>
      <c r="D21" s="105" t="s">
        <v>272</v>
      </c>
      <c r="G21" s="27" t="s">
        <v>164</v>
      </c>
      <c r="H21" s="34" t="s">
        <v>34</v>
      </c>
      <c r="I21" s="88" t="s">
        <v>272</v>
      </c>
      <c r="J21" s="96">
        <v>0</v>
      </c>
    </row>
    <row r="22" spans="1:10" ht="12" customHeight="1">
      <c r="A22" s="27" t="s">
        <v>52</v>
      </c>
      <c r="B22" s="34" t="s">
        <v>35</v>
      </c>
      <c r="C22" s="159" t="s">
        <v>272</v>
      </c>
      <c r="D22" s="105" t="s">
        <v>272</v>
      </c>
      <c r="G22" s="27" t="s">
        <v>52</v>
      </c>
      <c r="H22" s="34" t="s">
        <v>35</v>
      </c>
      <c r="I22" s="88" t="s">
        <v>272</v>
      </c>
      <c r="J22" s="96">
        <v>0</v>
      </c>
    </row>
    <row r="23" spans="1:10" ht="12" customHeight="1">
      <c r="A23" s="27" t="s">
        <v>53</v>
      </c>
      <c r="B23" s="34" t="s">
        <v>36</v>
      </c>
      <c r="C23" s="159">
        <f>139542+7428685</f>
        <v>7568227</v>
      </c>
      <c r="D23" s="105">
        <v>205315</v>
      </c>
      <c r="G23" s="27" t="s">
        <v>53</v>
      </c>
      <c r="H23" s="34" t="s">
        <v>36</v>
      </c>
      <c r="I23" s="88">
        <f>'[2]Ф3 '!$E$33</f>
        <v>745995.62386</v>
      </c>
      <c r="J23" s="96">
        <f t="shared" si="0"/>
        <v>-540680.62386</v>
      </c>
    </row>
    <row r="24" spans="1:10" ht="12" customHeight="1">
      <c r="A24" s="27" t="s">
        <v>73</v>
      </c>
      <c r="B24" s="34" t="s">
        <v>5</v>
      </c>
      <c r="C24" s="159">
        <f>SUM(C26:C31)</f>
        <v>18466795</v>
      </c>
      <c r="D24" s="105">
        <f>SUM(D26:D31)</f>
        <v>13427097</v>
      </c>
      <c r="G24" s="27" t="s">
        <v>73</v>
      </c>
      <c r="H24" s="34" t="s">
        <v>5</v>
      </c>
      <c r="I24" s="88">
        <f>SUM(I26:I31)</f>
        <v>36003476.44113</v>
      </c>
      <c r="J24" s="96">
        <f t="shared" si="0"/>
        <v>-22576379.441129997</v>
      </c>
    </row>
    <row r="25" spans="1:10" ht="12" customHeight="1">
      <c r="A25" s="27" t="s">
        <v>51</v>
      </c>
      <c r="B25" s="34"/>
      <c r="C25" s="159"/>
      <c r="D25" s="105"/>
      <c r="G25" s="27" t="s">
        <v>51</v>
      </c>
      <c r="H25" s="34"/>
      <c r="I25" s="88"/>
      <c r="J25" s="96">
        <f t="shared" si="0"/>
        <v>0</v>
      </c>
    </row>
    <row r="26" spans="1:10" ht="12" customHeight="1">
      <c r="A26" s="27" t="s">
        <v>165</v>
      </c>
      <c r="B26" s="34" t="s">
        <v>38</v>
      </c>
      <c r="C26" s="159">
        <v>11715352</v>
      </c>
      <c r="D26" s="105">
        <f>8785041</f>
        <v>8785041</v>
      </c>
      <c r="G26" s="27" t="s">
        <v>165</v>
      </c>
      <c r="H26" s="34" t="s">
        <v>38</v>
      </c>
      <c r="I26" s="88">
        <f>'[2]Ф3 '!$E$46</f>
        <v>21327250.39567999</v>
      </c>
      <c r="J26" s="96">
        <f t="shared" si="0"/>
        <v>-12542209.395679992</v>
      </c>
    </row>
    <row r="27" spans="1:10" ht="12" customHeight="1">
      <c r="A27" s="27" t="s">
        <v>54</v>
      </c>
      <c r="B27" s="34" t="s">
        <v>39</v>
      </c>
      <c r="C27" s="159" t="s">
        <v>248</v>
      </c>
      <c r="D27" s="105"/>
      <c r="G27" s="27" t="s">
        <v>54</v>
      </c>
      <c r="H27" s="34" t="s">
        <v>39</v>
      </c>
      <c r="I27" s="88"/>
      <c r="J27" s="96">
        <f t="shared" si="0"/>
        <v>0</v>
      </c>
    </row>
    <row r="28" spans="1:10" ht="12" customHeight="1">
      <c r="A28" s="27" t="s">
        <v>55</v>
      </c>
      <c r="B28" s="34" t="s">
        <v>40</v>
      </c>
      <c r="C28" s="159">
        <f>1820307</f>
        <v>1820307</v>
      </c>
      <c r="D28" s="105">
        <v>1744611</v>
      </c>
      <c r="G28" s="27" t="s">
        <v>55</v>
      </c>
      <c r="H28" s="34" t="s">
        <v>40</v>
      </c>
      <c r="I28" s="88">
        <f>'[2]Ф3 '!$E$48</f>
        <v>5166956.72396</v>
      </c>
      <c r="J28" s="96">
        <f t="shared" si="0"/>
        <v>-3422345.72396</v>
      </c>
    </row>
    <row r="29" spans="1:10" ht="12" customHeight="1">
      <c r="A29" s="27" t="s">
        <v>188</v>
      </c>
      <c r="B29" s="34" t="s">
        <v>41</v>
      </c>
      <c r="C29" s="159">
        <v>2734225</v>
      </c>
      <c r="D29" s="105">
        <v>1092673</v>
      </c>
      <c r="G29" s="27" t="s">
        <v>188</v>
      </c>
      <c r="H29" s="34" t="s">
        <v>41</v>
      </c>
      <c r="I29" s="88">
        <f>'[2]Ф3 '!$E$50</f>
        <v>2768326.0996600003</v>
      </c>
      <c r="J29" s="96">
        <f t="shared" si="0"/>
        <v>-1675653.0996600003</v>
      </c>
    </row>
    <row r="30" spans="1:10" ht="12" customHeight="1">
      <c r="A30" s="27" t="s">
        <v>166</v>
      </c>
      <c r="B30" s="34" t="s">
        <v>42</v>
      </c>
      <c r="C30" s="159">
        <f>176753+1644927</f>
        <v>1821680</v>
      </c>
      <c r="D30" s="105">
        <v>1424585</v>
      </c>
      <c r="G30" s="27" t="s">
        <v>166</v>
      </c>
      <c r="H30" s="34" t="s">
        <v>42</v>
      </c>
      <c r="I30" s="88">
        <f>'[2]Ф3 '!$E$52</f>
        <v>4830557.996250001</v>
      </c>
      <c r="J30" s="96">
        <f t="shared" si="0"/>
        <v>-3405972.996250001</v>
      </c>
    </row>
    <row r="31" spans="1:10" ht="12" customHeight="1">
      <c r="A31" s="27" t="s">
        <v>56</v>
      </c>
      <c r="B31" s="34" t="s">
        <v>187</v>
      </c>
      <c r="C31" s="159">
        <f>182450+226127-33346</f>
        <v>375231</v>
      </c>
      <c r="D31" s="105">
        <f>402014-21827</f>
        <v>380187</v>
      </c>
      <c r="G31" s="27" t="s">
        <v>56</v>
      </c>
      <c r="H31" s="34" t="s">
        <v>187</v>
      </c>
      <c r="I31" s="88">
        <f>'[2]Ф3 '!$E$49+'[2]Ф3 '!$E$51+'[2]Ф3 '!$E$53</f>
        <v>1910385.22558</v>
      </c>
      <c r="J31" s="96">
        <f t="shared" si="0"/>
        <v>-1530198.22558</v>
      </c>
    </row>
    <row r="32" spans="1:10" ht="12" customHeight="1">
      <c r="A32" s="31" t="s">
        <v>167</v>
      </c>
      <c r="B32" s="35" t="s">
        <v>6</v>
      </c>
      <c r="C32" s="161">
        <f>C17-C24</f>
        <v>13731885</v>
      </c>
      <c r="D32" s="90">
        <f>D17-D24</f>
        <v>3616802</v>
      </c>
      <c r="G32" s="31" t="s">
        <v>167</v>
      </c>
      <c r="H32" s="35" t="s">
        <v>6</v>
      </c>
      <c r="I32" s="90">
        <f>I17-I24</f>
        <v>4303997.1300500035</v>
      </c>
      <c r="J32" s="96">
        <f t="shared" si="0"/>
        <v>-687195.1300500035</v>
      </c>
    </row>
    <row r="33" spans="1:10" s="33" customFormat="1" ht="21" customHeight="1">
      <c r="A33" s="12" t="s">
        <v>43</v>
      </c>
      <c r="B33" s="12"/>
      <c r="C33" s="162"/>
      <c r="D33" s="91"/>
      <c r="G33" s="12" t="s">
        <v>43</v>
      </c>
      <c r="H33" s="12"/>
      <c r="I33" s="91"/>
      <c r="J33" s="96">
        <f t="shared" si="0"/>
        <v>0</v>
      </c>
    </row>
    <row r="34" spans="1:10" ht="12" customHeight="1">
      <c r="A34" s="27" t="s">
        <v>74</v>
      </c>
      <c r="B34" s="34" t="s">
        <v>8</v>
      </c>
      <c r="C34" s="159">
        <f>SUM(C35:C41)</f>
        <v>7270112</v>
      </c>
      <c r="D34" s="88">
        <f>SUM(D35:D41)</f>
        <v>85275</v>
      </c>
      <c r="G34" s="27" t="s">
        <v>74</v>
      </c>
      <c r="H34" s="34" t="s">
        <v>8</v>
      </c>
      <c r="I34" s="88">
        <f>SUM(I35:I41)</f>
        <v>3668364.29137</v>
      </c>
      <c r="J34" s="96">
        <f t="shared" si="0"/>
        <v>-3583089.29137</v>
      </c>
    </row>
    <row r="35" spans="1:10" ht="12" customHeight="1">
      <c r="A35" s="27" t="s">
        <v>51</v>
      </c>
      <c r="B35" s="34"/>
      <c r="C35" s="159"/>
      <c r="D35" s="88"/>
      <c r="G35" s="27" t="s">
        <v>51</v>
      </c>
      <c r="H35" s="34"/>
      <c r="I35" s="88"/>
      <c r="J35" s="96">
        <f t="shared" si="0"/>
        <v>0</v>
      </c>
    </row>
    <row r="36" spans="1:10" ht="12" customHeight="1">
      <c r="A36" s="27" t="s">
        <v>57</v>
      </c>
      <c r="B36" s="34" t="s">
        <v>9</v>
      </c>
      <c r="C36" s="159" t="s">
        <v>272</v>
      </c>
      <c r="D36" s="105" t="s">
        <v>272</v>
      </c>
      <c r="G36" s="27" t="s">
        <v>57</v>
      </c>
      <c r="H36" s="34" t="s">
        <v>9</v>
      </c>
      <c r="I36" s="88" t="s">
        <v>272</v>
      </c>
      <c r="J36" s="96"/>
    </row>
    <row r="37" spans="1:10" ht="12" customHeight="1">
      <c r="A37" s="27" t="s">
        <v>58</v>
      </c>
      <c r="B37" s="34" t="s">
        <v>10</v>
      </c>
      <c r="C37" s="159" t="s">
        <v>272</v>
      </c>
      <c r="D37" s="105" t="s">
        <v>272</v>
      </c>
      <c r="G37" s="27" t="s">
        <v>58</v>
      </c>
      <c r="H37" s="34" t="s">
        <v>10</v>
      </c>
      <c r="I37" s="88">
        <f>'[2]Ф3 '!$E$60</f>
        <v>1160.2557100001723</v>
      </c>
      <c r="J37" s="96" t="e">
        <f t="shared" si="0"/>
        <v>#VALUE!</v>
      </c>
    </row>
    <row r="38" spans="1:10" ht="12" customHeight="1">
      <c r="A38" s="27" t="s">
        <v>59</v>
      </c>
      <c r="B38" s="34" t="s">
        <v>11</v>
      </c>
      <c r="C38" s="159" t="s">
        <v>272</v>
      </c>
      <c r="D38" s="105" t="s">
        <v>272</v>
      </c>
      <c r="G38" s="27" t="s">
        <v>59</v>
      </c>
      <c r="H38" s="34" t="s">
        <v>11</v>
      </c>
      <c r="I38" s="88">
        <f>'[1]Ф3'!$D$61</f>
        <v>0</v>
      </c>
      <c r="J38" s="96" t="e">
        <f t="shared" si="0"/>
        <v>#VALUE!</v>
      </c>
    </row>
    <row r="39" spans="1:10" ht="12" customHeight="1">
      <c r="A39" s="27" t="s">
        <v>60</v>
      </c>
      <c r="B39" s="34" t="s">
        <v>12</v>
      </c>
      <c r="C39" s="159" t="s">
        <v>272</v>
      </c>
      <c r="D39" s="105" t="s">
        <v>272</v>
      </c>
      <c r="G39" s="27" t="s">
        <v>60</v>
      </c>
      <c r="H39" s="34" t="s">
        <v>12</v>
      </c>
      <c r="I39" s="88" t="s">
        <v>272</v>
      </c>
      <c r="J39" s="96"/>
    </row>
    <row r="40" spans="1:10" ht="12" customHeight="1">
      <c r="A40" s="27" t="s">
        <v>168</v>
      </c>
      <c r="B40" s="34" t="s">
        <v>13</v>
      </c>
      <c r="C40" s="159"/>
      <c r="D40" s="105"/>
      <c r="G40" s="27" t="s">
        <v>168</v>
      </c>
      <c r="H40" s="34" t="s">
        <v>13</v>
      </c>
      <c r="I40" s="88">
        <f>'[2]Ф3 '!$E$64</f>
        <v>1050000.2859999998</v>
      </c>
      <c r="J40" s="96">
        <f t="shared" si="0"/>
        <v>-1050000.2859999998</v>
      </c>
    </row>
    <row r="41" spans="1:10" ht="12" customHeight="1">
      <c r="A41" s="27" t="s">
        <v>53</v>
      </c>
      <c r="B41" s="34" t="s">
        <v>14</v>
      </c>
      <c r="C41" s="159">
        <v>7270112</v>
      </c>
      <c r="D41" s="105">
        <f>80131+5144</f>
        <v>85275</v>
      </c>
      <c r="G41" s="27" t="s">
        <v>53</v>
      </c>
      <c r="H41" s="34" t="s">
        <v>14</v>
      </c>
      <c r="I41" s="88">
        <f>'[2]Ф3 '!$E$66</f>
        <v>2617203.74966</v>
      </c>
      <c r="J41" s="96">
        <f t="shared" si="0"/>
        <v>-2531928.74966</v>
      </c>
    </row>
    <row r="42" spans="1:10" ht="12" customHeight="1">
      <c r="A42" s="27" t="s">
        <v>75</v>
      </c>
      <c r="B42" s="34" t="s">
        <v>15</v>
      </c>
      <c r="C42" s="159">
        <f>SUM(C44:C49)</f>
        <v>11633951</v>
      </c>
      <c r="D42" s="105">
        <f>SUM(D44:D49)</f>
        <v>2527653</v>
      </c>
      <c r="G42" s="27" t="s">
        <v>75</v>
      </c>
      <c r="H42" s="34" t="s">
        <v>15</v>
      </c>
      <c r="I42" s="88">
        <f>SUM(I44:I49)</f>
        <v>10978870.58323</v>
      </c>
      <c r="J42" s="96">
        <f t="shared" si="0"/>
        <v>-8451217.58323</v>
      </c>
    </row>
    <row r="43" spans="1:10" ht="12" customHeight="1">
      <c r="A43" s="27" t="s">
        <v>51</v>
      </c>
      <c r="B43" s="34"/>
      <c r="C43" s="159"/>
      <c r="D43" s="105"/>
      <c r="G43" s="27" t="s">
        <v>51</v>
      </c>
      <c r="H43" s="34"/>
      <c r="I43" s="88"/>
      <c r="J43" s="96">
        <f t="shared" si="0"/>
        <v>0</v>
      </c>
    </row>
    <row r="44" spans="1:10" ht="12" customHeight="1">
      <c r="A44" s="27" t="s">
        <v>62</v>
      </c>
      <c r="B44" s="34" t="s">
        <v>44</v>
      </c>
      <c r="C44" s="159">
        <v>321491</v>
      </c>
      <c r="D44" s="105"/>
      <c r="G44" s="27" t="s">
        <v>62</v>
      </c>
      <c r="H44" s="34" t="s">
        <v>44</v>
      </c>
      <c r="I44" s="88">
        <f>'[2]Ф3 '!$E$70</f>
        <v>47699</v>
      </c>
      <c r="J44" s="96">
        <f t="shared" si="0"/>
        <v>-47699</v>
      </c>
    </row>
    <row r="45" spans="1:10" ht="12" customHeight="1">
      <c r="A45" s="27" t="s">
        <v>61</v>
      </c>
      <c r="B45" s="34" t="s">
        <v>45</v>
      </c>
      <c r="C45" s="159">
        <v>4414</v>
      </c>
      <c r="D45" s="105">
        <v>6131</v>
      </c>
      <c r="G45" s="27" t="s">
        <v>61</v>
      </c>
      <c r="H45" s="34" t="s">
        <v>45</v>
      </c>
      <c r="I45" s="88">
        <f>'[2]Ф3 '!$E$71</f>
        <v>21167</v>
      </c>
      <c r="J45" s="96">
        <f t="shared" si="0"/>
        <v>-15036</v>
      </c>
    </row>
    <row r="46" spans="1:10" ht="12" customHeight="1">
      <c r="A46" s="27" t="s">
        <v>63</v>
      </c>
      <c r="B46" s="34" t="s">
        <v>46</v>
      </c>
      <c r="C46" s="159">
        <v>745982</v>
      </c>
      <c r="D46" s="105">
        <v>1374216</v>
      </c>
      <c r="G46" s="27" t="s">
        <v>63</v>
      </c>
      <c r="H46" s="34" t="s">
        <v>46</v>
      </c>
      <c r="I46" s="88">
        <f>'[2]Ф3 '!$E$72</f>
        <v>4649891.85403</v>
      </c>
      <c r="J46" s="96">
        <f t="shared" si="0"/>
        <v>-3275675.85403</v>
      </c>
    </row>
    <row r="47" spans="1:10" ht="12" customHeight="1">
      <c r="A47" s="27" t="s">
        <v>64</v>
      </c>
      <c r="B47" s="34" t="s">
        <v>47</v>
      </c>
      <c r="C47" s="163">
        <v>10560483</v>
      </c>
      <c r="D47" s="88">
        <v>0</v>
      </c>
      <c r="G47" s="27" t="s">
        <v>64</v>
      </c>
      <c r="H47" s="34" t="s">
        <v>47</v>
      </c>
      <c r="I47" s="88">
        <f>'[1]Ф3'!$D$72</f>
        <v>0</v>
      </c>
      <c r="J47" s="96">
        <f t="shared" si="0"/>
        <v>0</v>
      </c>
    </row>
    <row r="48" spans="1:10" ht="12" customHeight="1">
      <c r="A48" s="27" t="s">
        <v>169</v>
      </c>
      <c r="B48" s="34" t="s">
        <v>48</v>
      </c>
      <c r="C48" s="159" t="s">
        <v>248</v>
      </c>
      <c r="D48" s="105"/>
      <c r="G48" s="27" t="s">
        <v>169</v>
      </c>
      <c r="H48" s="34" t="s">
        <v>48</v>
      </c>
      <c r="I48" s="88">
        <f>'[2]Ф3 '!$E$74</f>
        <v>3840000.286</v>
      </c>
      <c r="J48" s="96">
        <f t="shared" si="0"/>
        <v>-3840000.286</v>
      </c>
    </row>
    <row r="49" spans="1:10" ht="12" customHeight="1">
      <c r="A49" s="27" t="s">
        <v>65</v>
      </c>
      <c r="B49" s="34" t="s">
        <v>49</v>
      </c>
      <c r="C49" s="159">
        <v>1581</v>
      </c>
      <c r="D49" s="105">
        <f>674000+473306</f>
        <v>1147306</v>
      </c>
      <c r="G49" s="27" t="s">
        <v>65</v>
      </c>
      <c r="H49" s="34" t="s">
        <v>49</v>
      </c>
      <c r="I49" s="88">
        <f>'[2]Ф3 '!$E$76</f>
        <v>2420112.4432</v>
      </c>
      <c r="J49" s="96">
        <f t="shared" si="0"/>
        <v>-1272806.4432</v>
      </c>
    </row>
    <row r="50" spans="1:10" ht="12" customHeight="1">
      <c r="A50" s="31" t="s">
        <v>170</v>
      </c>
      <c r="B50" s="35"/>
      <c r="C50" s="164">
        <f>C34-C42</f>
        <v>-4363839</v>
      </c>
      <c r="D50" s="90">
        <f>D34-D42</f>
        <v>-2442378</v>
      </c>
      <c r="G50" s="31" t="s">
        <v>170</v>
      </c>
      <c r="H50" s="35"/>
      <c r="I50" s="90">
        <f>I34-I42</f>
        <v>-7310506.291859999</v>
      </c>
      <c r="J50" s="96">
        <f t="shared" si="0"/>
        <v>4868128.291859999</v>
      </c>
    </row>
    <row r="51" spans="1:10" ht="21" customHeight="1">
      <c r="A51" s="85" t="s">
        <v>50</v>
      </c>
      <c r="B51" s="21"/>
      <c r="C51" s="165"/>
      <c r="D51" s="92"/>
      <c r="G51" s="85" t="s">
        <v>50</v>
      </c>
      <c r="H51" s="21"/>
      <c r="I51" s="92"/>
      <c r="J51" s="96">
        <f t="shared" si="0"/>
        <v>0</v>
      </c>
    </row>
    <row r="52" spans="1:10" ht="12" customHeight="1">
      <c r="A52" s="27" t="s">
        <v>72</v>
      </c>
      <c r="B52" s="34" t="s">
        <v>17</v>
      </c>
      <c r="C52" s="166">
        <f>SUM(C54:C57)</f>
        <v>10098283</v>
      </c>
      <c r="D52" s="102">
        <f>SUM(D54:D57)</f>
        <v>4469240</v>
      </c>
      <c r="G52" s="27" t="s">
        <v>72</v>
      </c>
      <c r="H52" s="34" t="s">
        <v>17</v>
      </c>
      <c r="I52" s="102">
        <f>SUM(I54:I57)</f>
        <v>31761464.52607</v>
      </c>
      <c r="J52" s="96">
        <f t="shared" si="0"/>
        <v>-27292224.52607</v>
      </c>
    </row>
    <row r="53" spans="1:10" ht="12" customHeight="1">
      <c r="A53" s="27" t="s">
        <v>51</v>
      </c>
      <c r="B53" s="34"/>
      <c r="C53" s="159"/>
      <c r="D53" s="88"/>
      <c r="G53" s="27" t="s">
        <v>51</v>
      </c>
      <c r="H53" s="34"/>
      <c r="I53" s="88"/>
      <c r="J53" s="96">
        <f t="shared" si="0"/>
        <v>0</v>
      </c>
    </row>
    <row r="54" spans="1:10" ht="12" customHeight="1">
      <c r="A54" s="27" t="s">
        <v>66</v>
      </c>
      <c r="B54" s="34" t="s">
        <v>18</v>
      </c>
      <c r="C54" s="159"/>
      <c r="D54" s="105"/>
      <c r="G54" s="27" t="s">
        <v>66</v>
      </c>
      <c r="H54" s="34" t="s">
        <v>18</v>
      </c>
      <c r="I54" s="88"/>
      <c r="J54" s="96">
        <f t="shared" si="0"/>
        <v>0</v>
      </c>
    </row>
    <row r="55" spans="1:10" ht="12" customHeight="1">
      <c r="A55" s="27" t="s">
        <v>67</v>
      </c>
      <c r="B55" s="34" t="s">
        <v>19</v>
      </c>
      <c r="C55" s="159">
        <v>10098283</v>
      </c>
      <c r="D55" s="105">
        <v>4469240</v>
      </c>
      <c r="G55" s="27" t="s">
        <v>67</v>
      </c>
      <c r="H55" s="34" t="s">
        <v>19</v>
      </c>
      <c r="I55" s="88">
        <f>'[2]Ф3 '!$E$84</f>
        <v>31751296</v>
      </c>
      <c r="J55" s="96">
        <f t="shared" si="0"/>
        <v>-27282056</v>
      </c>
    </row>
    <row r="56" spans="1:10" ht="14.25">
      <c r="A56" s="41" t="s">
        <v>264</v>
      </c>
      <c r="B56" s="34" t="s">
        <v>20</v>
      </c>
      <c r="C56" s="159" t="s">
        <v>272</v>
      </c>
      <c r="D56" s="105" t="s">
        <v>272</v>
      </c>
      <c r="G56" s="41" t="s">
        <v>264</v>
      </c>
      <c r="H56" s="34" t="s">
        <v>20</v>
      </c>
      <c r="I56" s="88" t="s">
        <v>272</v>
      </c>
      <c r="J56" s="96"/>
    </row>
    <row r="57" spans="1:10" ht="12" customHeight="1">
      <c r="A57" s="27" t="s">
        <v>53</v>
      </c>
      <c r="B57" s="34" t="s">
        <v>21</v>
      </c>
      <c r="C57" s="159"/>
      <c r="D57" s="105"/>
      <c r="G57" s="27" t="s">
        <v>53</v>
      </c>
      <c r="H57" s="34" t="s">
        <v>21</v>
      </c>
      <c r="I57" s="88">
        <f>'[2]Ф3 '!$E$86</f>
        <v>10168.526070000138</v>
      </c>
      <c r="J57" s="96">
        <f t="shared" si="0"/>
        <v>-10168.526070000138</v>
      </c>
    </row>
    <row r="58" spans="1:10" ht="12" customHeight="1">
      <c r="A58" s="27" t="s">
        <v>76</v>
      </c>
      <c r="B58" s="34" t="s">
        <v>22</v>
      </c>
      <c r="C58" s="159">
        <f>SUM(C60:C64)</f>
        <v>7198892</v>
      </c>
      <c r="D58" s="105">
        <f>SUM(D60:D64)</f>
        <v>4931305</v>
      </c>
      <c r="G58" s="27" t="s">
        <v>76</v>
      </c>
      <c r="H58" s="34" t="s">
        <v>22</v>
      </c>
      <c r="I58" s="88">
        <f>SUM(I60:I64)</f>
        <v>28652373.31398</v>
      </c>
      <c r="J58" s="96">
        <f t="shared" si="0"/>
        <v>-23721068.31398</v>
      </c>
    </row>
    <row r="59" spans="1:10" ht="12" customHeight="1">
      <c r="A59" s="27" t="s">
        <v>51</v>
      </c>
      <c r="B59" s="34"/>
      <c r="C59" s="159"/>
      <c r="D59" s="105"/>
      <c r="G59" s="27" t="s">
        <v>51</v>
      </c>
      <c r="H59" s="34"/>
      <c r="I59" s="88"/>
      <c r="J59" s="96">
        <f t="shared" si="0"/>
        <v>0</v>
      </c>
    </row>
    <row r="60" spans="1:10" ht="12" customHeight="1">
      <c r="A60" s="27" t="s">
        <v>68</v>
      </c>
      <c r="B60" s="34" t="s">
        <v>23</v>
      </c>
      <c r="C60" s="159">
        <v>7104073</v>
      </c>
      <c r="D60" s="105">
        <v>4464967</v>
      </c>
      <c r="G60" s="27" t="s">
        <v>68</v>
      </c>
      <c r="H60" s="34" t="s">
        <v>23</v>
      </c>
      <c r="I60" s="88">
        <f>'[2]Ф3 '!$E$90</f>
        <v>27718524.484429996</v>
      </c>
      <c r="J60" s="96">
        <f t="shared" si="0"/>
        <v>-23253557.484429996</v>
      </c>
    </row>
    <row r="61" spans="1:10" ht="12" customHeight="1">
      <c r="A61" s="27" t="s">
        <v>265</v>
      </c>
      <c r="B61" s="34" t="s">
        <v>24</v>
      </c>
      <c r="C61" s="159" t="s">
        <v>272</v>
      </c>
      <c r="D61" s="105" t="s">
        <v>272</v>
      </c>
      <c r="G61" s="27" t="s">
        <v>265</v>
      </c>
      <c r="H61" s="34" t="s">
        <v>24</v>
      </c>
      <c r="I61" s="88" t="s">
        <v>272</v>
      </c>
      <c r="J61" s="96"/>
    </row>
    <row r="62" spans="1:10" ht="12" customHeight="1">
      <c r="A62" s="27" t="s">
        <v>69</v>
      </c>
      <c r="B62" s="34" t="s">
        <v>25</v>
      </c>
      <c r="C62" s="159" t="s">
        <v>248</v>
      </c>
      <c r="D62" s="105">
        <v>379042</v>
      </c>
      <c r="G62" s="27" t="s">
        <v>69</v>
      </c>
      <c r="H62" s="34" t="s">
        <v>25</v>
      </c>
      <c r="I62" s="88">
        <f>'[2]Ф3 '!$E$92</f>
        <v>671000.418</v>
      </c>
      <c r="J62" s="96">
        <f t="shared" si="0"/>
        <v>-291958.41799999995</v>
      </c>
    </row>
    <row r="63" spans="1:10" ht="12" customHeight="1">
      <c r="A63" s="27" t="s">
        <v>188</v>
      </c>
      <c r="B63" s="34" t="s">
        <v>26</v>
      </c>
      <c r="C63" s="159">
        <v>0</v>
      </c>
      <c r="D63" s="105">
        <v>0</v>
      </c>
      <c r="G63" s="27" t="s">
        <v>188</v>
      </c>
      <c r="H63" s="34" t="s">
        <v>26</v>
      </c>
      <c r="I63" s="88">
        <f>'[1]Ф3'!$D$92</f>
        <v>0</v>
      </c>
      <c r="J63" s="96">
        <f t="shared" si="0"/>
        <v>0</v>
      </c>
    </row>
    <row r="64" spans="1:10" ht="12" customHeight="1">
      <c r="A64" s="27" t="s">
        <v>53</v>
      </c>
      <c r="B64" s="34" t="s">
        <v>189</v>
      </c>
      <c r="C64" s="159">
        <v>94819</v>
      </c>
      <c r="D64" s="105">
        <v>87296</v>
      </c>
      <c r="G64" s="27" t="s">
        <v>53</v>
      </c>
      <c r="H64" s="34" t="s">
        <v>189</v>
      </c>
      <c r="I64" s="88">
        <f>'[2]Ф3 '!$E$94</f>
        <v>262848.4115499994</v>
      </c>
      <c r="J64" s="96">
        <f t="shared" si="0"/>
        <v>-175552.41154999938</v>
      </c>
    </row>
    <row r="65" spans="1:10" ht="12" customHeight="1">
      <c r="A65" s="31" t="s">
        <v>171</v>
      </c>
      <c r="B65" s="35" t="s">
        <v>28</v>
      </c>
      <c r="C65" s="164">
        <f>C52-C58</f>
        <v>2899391</v>
      </c>
      <c r="D65" s="90">
        <f>D52-D58</f>
        <v>-462065</v>
      </c>
      <c r="G65" s="31" t="s">
        <v>171</v>
      </c>
      <c r="H65" s="35" t="s">
        <v>28</v>
      </c>
      <c r="I65" s="90">
        <f>I52-I58</f>
        <v>3109091.2120900005</v>
      </c>
      <c r="J65" s="96">
        <f t="shared" si="0"/>
        <v>-3571156.2120900005</v>
      </c>
    </row>
    <row r="66" spans="1:10" ht="12" customHeight="1">
      <c r="A66" s="28" t="s">
        <v>70</v>
      </c>
      <c r="B66" s="36"/>
      <c r="C66" s="167">
        <f>C32+C50+C65</f>
        <v>12267437</v>
      </c>
      <c r="D66" s="93">
        <f>D32+D50+D65</f>
        <v>712359</v>
      </c>
      <c r="G66" s="28" t="s">
        <v>70</v>
      </c>
      <c r="H66" s="36"/>
      <c r="I66" s="93">
        <f>I32+I50+I65</f>
        <v>102582.05028000474</v>
      </c>
      <c r="J66" s="96">
        <f t="shared" si="0"/>
        <v>609776.9497199953</v>
      </c>
    </row>
    <row r="67" spans="1:10" ht="12" customHeight="1">
      <c r="A67" s="31" t="s">
        <v>71</v>
      </c>
      <c r="B67" s="35"/>
      <c r="C67" s="164"/>
      <c r="D67" s="82"/>
      <c r="G67" s="31" t="s">
        <v>71</v>
      </c>
      <c r="H67" s="35"/>
      <c r="I67" s="82"/>
      <c r="J67" s="96">
        <f t="shared" si="0"/>
        <v>0</v>
      </c>
    </row>
    <row r="68" spans="1:10" ht="12" customHeight="1">
      <c r="A68" s="27" t="s">
        <v>172</v>
      </c>
      <c r="B68" s="34"/>
      <c r="C68" s="72">
        <f>бб!D27</f>
        <v>366903</v>
      </c>
      <c r="D68" s="50">
        <v>426294</v>
      </c>
      <c r="G68" s="27" t="s">
        <v>172</v>
      </c>
      <c r="H68" s="34"/>
      <c r="I68" s="50">
        <f>'[2]Ф3 '!$E$100</f>
        <v>395815.43393</v>
      </c>
      <c r="J68" s="96">
        <f t="shared" si="0"/>
        <v>30478.56607</v>
      </c>
    </row>
    <row r="69" spans="1:10" ht="12" customHeight="1">
      <c r="A69" s="31" t="s">
        <v>173</v>
      </c>
      <c r="B69" s="35"/>
      <c r="C69" s="168">
        <f>C68+C66</f>
        <v>12634340</v>
      </c>
      <c r="D69" s="51">
        <f>D68+D66</f>
        <v>1138653</v>
      </c>
      <c r="E69" s="30">
        <f>бб!C27-C69</f>
        <v>0</v>
      </c>
      <c r="G69" s="31" t="s">
        <v>173</v>
      </c>
      <c r="H69" s="35"/>
      <c r="I69" s="51">
        <f>'[2]Ф3 '!$E$101+1</f>
        <v>485523.6791000047</v>
      </c>
      <c r="J69" s="96">
        <f t="shared" si="0"/>
        <v>653129.3208999953</v>
      </c>
    </row>
    <row r="70" spans="1:4" ht="12" customHeight="1">
      <c r="A70" s="37"/>
      <c r="B70" s="38"/>
      <c r="C70" s="169"/>
      <c r="D70" s="81"/>
    </row>
    <row r="71" spans="1:4" ht="12" customHeight="1">
      <c r="A71" s="21"/>
      <c r="B71" s="20"/>
      <c r="C71" s="182"/>
      <c r="D71" s="182"/>
    </row>
    <row r="72" spans="1:6" ht="12" customHeight="1">
      <c r="A72" s="151" t="s">
        <v>287</v>
      </c>
      <c r="B72" s="152"/>
      <c r="C72" s="153" t="s">
        <v>270</v>
      </c>
      <c r="D72" s="33"/>
      <c r="E72" s="33"/>
      <c r="F72" s="33"/>
    </row>
    <row r="73" spans="1:4" ht="12" customHeight="1">
      <c r="A73" s="21"/>
      <c r="B73" s="20"/>
      <c r="C73" s="22"/>
      <c r="D73" s="20"/>
    </row>
    <row r="74" spans="1:4" ht="14.25">
      <c r="A74" s="21" t="s">
        <v>261</v>
      </c>
      <c r="B74" s="20"/>
      <c r="C74" s="23" t="s">
        <v>269</v>
      </c>
      <c r="D74" s="4"/>
    </row>
    <row r="75" spans="1:4" ht="14.25">
      <c r="A75" s="6" t="s">
        <v>119</v>
      </c>
      <c r="D75" s="4"/>
    </row>
    <row r="77" ht="14.25">
      <c r="C77" s="30"/>
    </row>
    <row r="79" ht="14.25">
      <c r="C79" s="96"/>
    </row>
    <row r="80" ht="14.25">
      <c r="C80" s="96"/>
    </row>
  </sheetData>
  <sheetProtection/>
  <mergeCells count="9">
    <mergeCell ref="A11:D11"/>
    <mergeCell ref="A14:D14"/>
    <mergeCell ref="C71:D71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S61"/>
  <sheetViews>
    <sheetView tabSelected="1" zoomScalePageLayoutView="0" workbookViewId="0" topLeftCell="A1">
      <selection activeCell="A1" sqref="A1:I16384"/>
    </sheetView>
  </sheetViews>
  <sheetFormatPr defaultColWidth="9.00390625" defaultRowHeight="12.75"/>
  <cols>
    <col min="1" max="1" width="34.625" style="42" customWidth="1"/>
    <col min="2" max="2" width="6.375" style="42" bestFit="1" customWidth="1"/>
    <col min="3" max="3" width="11.375" style="42" customWidth="1"/>
    <col min="4" max="4" width="10.25390625" style="42" bestFit="1" customWidth="1"/>
    <col min="5" max="5" width="11.125" style="42" bestFit="1" customWidth="1"/>
    <col min="6" max="6" width="11.25390625" style="42" customWidth="1"/>
    <col min="7" max="7" width="11.625" style="42" customWidth="1"/>
    <col min="8" max="8" width="10.875" style="42" customWidth="1"/>
    <col min="9" max="9" width="11.125" style="42" bestFit="1" customWidth="1"/>
    <col min="10" max="10" width="13.375" style="42" customWidth="1"/>
    <col min="11" max="11" width="11.25390625" style="42" bestFit="1" customWidth="1"/>
    <col min="12" max="12" width="10.375" style="42" bestFit="1" customWidth="1"/>
    <col min="13" max="13" width="14.25390625" style="42" customWidth="1"/>
    <col min="14" max="14" width="18.00390625" style="42" customWidth="1"/>
    <col min="15" max="15" width="11.25390625" style="42" bestFit="1" customWidth="1"/>
    <col min="16" max="16" width="11.875" style="42" hidden="1" customWidth="1"/>
    <col min="17" max="18" width="11.25390625" style="42" bestFit="1" customWidth="1"/>
    <col min="19" max="16384" width="9.125" style="42" customWidth="1"/>
  </cols>
  <sheetData>
    <row r="1" ht="12.75"/>
    <row r="2" ht="12.75"/>
    <row r="3" ht="12.75"/>
    <row r="4" ht="12.75"/>
    <row r="5" ht="12.75"/>
    <row r="6" ht="12.75"/>
    <row r="7" ht="20.25" customHeight="1"/>
    <row r="8" ht="15" customHeight="1"/>
    <row r="9" spans="1:10" s="44" customFormat="1" ht="19.5">
      <c r="A9" s="154" t="s">
        <v>258</v>
      </c>
      <c r="B9" s="111"/>
      <c r="C9" s="111"/>
      <c r="D9" s="111"/>
      <c r="E9" s="111"/>
      <c r="F9" s="111"/>
      <c r="G9" s="111"/>
      <c r="H9" s="111"/>
      <c r="I9" s="111"/>
      <c r="J9" s="43"/>
    </row>
    <row r="10" spans="1:10" s="44" customFormat="1" ht="19.5">
      <c r="A10" s="3" t="s">
        <v>288</v>
      </c>
      <c r="B10" s="3"/>
      <c r="C10" s="3"/>
      <c r="D10" s="3"/>
      <c r="E10" s="3"/>
      <c r="F10" s="3"/>
      <c r="G10" s="3"/>
      <c r="H10" s="3"/>
      <c r="I10" s="3"/>
      <c r="J10" s="43"/>
    </row>
    <row r="11" spans="1:10" s="44" customFormat="1" ht="19.5">
      <c r="A11" s="155" t="str">
        <f>'[4]ф2'!A10</f>
        <v>по состоянию на 31 марта 2021 года</v>
      </c>
      <c r="B11" s="112"/>
      <c r="C11" s="112"/>
      <c r="D11" s="112"/>
      <c r="E11" s="112"/>
      <c r="F11" s="112"/>
      <c r="G11" s="112"/>
      <c r="H11" s="112"/>
      <c r="I11" s="112"/>
      <c r="J11" s="43"/>
    </row>
    <row r="12" spans="1:10" s="44" customFormat="1" ht="20.25">
      <c r="A12" s="112" t="s">
        <v>149</v>
      </c>
      <c r="B12" s="112"/>
      <c r="C12" s="112"/>
      <c r="D12" s="112"/>
      <c r="E12" s="112"/>
      <c r="F12" s="112"/>
      <c r="G12" s="112"/>
      <c r="H12" s="112"/>
      <c r="I12" s="112"/>
      <c r="J12" s="45"/>
    </row>
    <row r="13" spans="1:11" s="47" customFormat="1" ht="15.75">
      <c r="A13" s="6" t="s">
        <v>230</v>
      </c>
      <c r="B13" s="21"/>
      <c r="C13" s="21"/>
      <c r="D13" s="21"/>
      <c r="E13" s="21"/>
      <c r="F13" s="21"/>
      <c r="G13" s="21"/>
      <c r="H13" s="21"/>
      <c r="I13" s="21"/>
      <c r="J13" s="1"/>
      <c r="K13" s="52"/>
    </row>
    <row r="14" spans="1:11" s="47" customFormat="1" ht="15.75">
      <c r="A14" s="6" t="s">
        <v>263</v>
      </c>
      <c r="B14" s="6"/>
      <c r="C14" s="6"/>
      <c r="D14" s="6"/>
      <c r="E14" s="6"/>
      <c r="F14" s="6"/>
      <c r="G14" s="6"/>
      <c r="H14" s="6"/>
      <c r="I14" s="6"/>
      <c r="J14" s="1"/>
      <c r="K14" s="52"/>
    </row>
    <row r="15" spans="1:11" s="47" customFormat="1" ht="15.75">
      <c r="A15" s="117" t="s">
        <v>1</v>
      </c>
      <c r="B15" s="117"/>
      <c r="C15" s="117"/>
      <c r="D15" s="117"/>
      <c r="E15" s="117"/>
      <c r="F15" s="117"/>
      <c r="G15" s="117"/>
      <c r="H15" s="117"/>
      <c r="I15" s="117"/>
      <c r="J15" s="1"/>
      <c r="K15" s="52"/>
    </row>
    <row r="16" spans="1:11" s="47" customFormat="1" ht="15.75">
      <c r="A16" s="6" t="s">
        <v>231</v>
      </c>
      <c r="B16" s="6"/>
      <c r="C16" s="6"/>
      <c r="D16" s="6"/>
      <c r="E16" s="6"/>
      <c r="F16" s="6"/>
      <c r="G16" s="6"/>
      <c r="H16" s="6"/>
      <c r="I16" s="6"/>
      <c r="J16" s="1"/>
      <c r="K16" s="52"/>
    </row>
    <row r="17" spans="1:11" s="47" customFormat="1" ht="15.75">
      <c r="A17" s="6" t="s">
        <v>289</v>
      </c>
      <c r="B17" s="6"/>
      <c r="C17" s="6"/>
      <c r="D17" s="6"/>
      <c r="E17" s="6"/>
      <c r="F17" s="6"/>
      <c r="G17" s="6"/>
      <c r="H17" s="6"/>
      <c r="I17" s="6"/>
      <c r="J17" s="1"/>
      <c r="K17" s="52"/>
    </row>
    <row r="18" spans="1:11" s="46" customFormat="1" ht="13.5">
      <c r="A18" s="75"/>
      <c r="B18" s="75"/>
      <c r="C18" s="76"/>
      <c r="D18" s="76"/>
      <c r="E18" s="70"/>
      <c r="F18" s="70"/>
      <c r="G18" s="70"/>
      <c r="H18" s="70"/>
      <c r="I18" s="70"/>
      <c r="J18" s="53"/>
      <c r="K18" s="53"/>
    </row>
    <row r="19" spans="1:10" s="46" customFormat="1" ht="13.5">
      <c r="A19" s="115" t="s">
        <v>150</v>
      </c>
      <c r="B19" s="115"/>
      <c r="C19" s="115"/>
      <c r="D19" s="115"/>
      <c r="E19" s="115"/>
      <c r="F19" s="115"/>
      <c r="G19" s="115"/>
      <c r="H19" s="115"/>
      <c r="I19" s="115"/>
      <c r="J19" s="2"/>
    </row>
    <row r="20" spans="1:9" ht="12.75" customHeight="1">
      <c r="A20" s="54"/>
      <c r="B20" s="116" t="s">
        <v>121</v>
      </c>
      <c r="C20" s="185" t="s">
        <v>122</v>
      </c>
      <c r="D20" s="186"/>
      <c r="E20" s="186"/>
      <c r="F20" s="186"/>
      <c r="G20" s="187"/>
      <c r="H20" s="183" t="s">
        <v>77</v>
      </c>
      <c r="I20" s="54" t="s">
        <v>116</v>
      </c>
    </row>
    <row r="21" spans="1:9" ht="38.25">
      <c r="A21" s="54"/>
      <c r="B21" s="54"/>
      <c r="C21" s="55" t="s">
        <v>112</v>
      </c>
      <c r="D21" s="55" t="s">
        <v>178</v>
      </c>
      <c r="E21" s="55" t="s">
        <v>115</v>
      </c>
      <c r="F21" s="54" t="s">
        <v>123</v>
      </c>
      <c r="G21" s="54" t="s">
        <v>124</v>
      </c>
      <c r="H21" s="184"/>
      <c r="I21" s="54"/>
    </row>
    <row r="22" spans="1:9" ht="12.75">
      <c r="A22" s="56">
        <v>1</v>
      </c>
      <c r="B22" s="56">
        <v>2</v>
      </c>
      <c r="C22" s="56">
        <v>3</v>
      </c>
      <c r="D22" s="56">
        <v>4</v>
      </c>
      <c r="E22" s="56">
        <v>5</v>
      </c>
      <c r="F22" s="56">
        <v>6</v>
      </c>
      <c r="G22" s="56">
        <v>7</v>
      </c>
      <c r="H22" s="56">
        <v>8</v>
      </c>
      <c r="I22" s="56">
        <v>9</v>
      </c>
    </row>
    <row r="23" spans="1:9" ht="12.75">
      <c r="A23" s="57" t="s">
        <v>181</v>
      </c>
      <c r="B23" s="58" t="s">
        <v>3</v>
      </c>
      <c r="C23" s="59">
        <v>16663996</v>
      </c>
      <c r="D23" s="59">
        <v>1188176</v>
      </c>
      <c r="E23" s="59">
        <v>19732586</v>
      </c>
      <c r="F23" s="59">
        <f>бб!D94</f>
        <v>28530758.555001933</v>
      </c>
      <c r="G23" s="59">
        <f>SUM(C23:F23)</f>
        <v>66115516.55500193</v>
      </c>
      <c r="H23" s="59">
        <v>0</v>
      </c>
      <c r="I23" s="59">
        <f aca="true" t="shared" si="0" ref="I23:I30">G23</f>
        <v>66115516.55500193</v>
      </c>
    </row>
    <row r="24" spans="1:9" ht="12.75">
      <c r="A24" s="60" t="s">
        <v>180</v>
      </c>
      <c r="B24" s="58" t="s">
        <v>5</v>
      </c>
      <c r="C24" s="59">
        <v>0</v>
      </c>
      <c r="D24" s="59">
        <v>0</v>
      </c>
      <c r="E24" s="59">
        <v>0</v>
      </c>
      <c r="F24" s="61">
        <v>0</v>
      </c>
      <c r="G24" s="59">
        <f>SUM(C24:F24)</f>
        <v>0</v>
      </c>
      <c r="H24" s="61">
        <v>0</v>
      </c>
      <c r="I24" s="59">
        <f t="shared" si="0"/>
        <v>0</v>
      </c>
    </row>
    <row r="25" spans="1:9" ht="12.75">
      <c r="A25" s="57" t="s">
        <v>125</v>
      </c>
      <c r="B25" s="58" t="s">
        <v>6</v>
      </c>
      <c r="C25" s="59">
        <f>C23</f>
        <v>16663996</v>
      </c>
      <c r="D25" s="59">
        <v>1188176</v>
      </c>
      <c r="E25" s="59">
        <f>E23</f>
        <v>19732586</v>
      </c>
      <c r="F25" s="59">
        <f>F23</f>
        <v>28530758.555001933</v>
      </c>
      <c r="G25" s="59">
        <f>SUM(C25:F25)</f>
        <v>66115516.55500193</v>
      </c>
      <c r="H25" s="59">
        <v>0</v>
      </c>
      <c r="I25" s="59">
        <f t="shared" si="0"/>
        <v>66115516.55500193</v>
      </c>
    </row>
    <row r="26" spans="1:9" ht="25.5">
      <c r="A26" s="60" t="s">
        <v>126</v>
      </c>
      <c r="B26" s="58" t="s">
        <v>7</v>
      </c>
      <c r="C26" s="59">
        <v>0</v>
      </c>
      <c r="D26" s="59">
        <v>0</v>
      </c>
      <c r="E26" s="86">
        <v>-316334</v>
      </c>
      <c r="F26" s="86">
        <f>-E26</f>
        <v>316334</v>
      </c>
      <c r="G26" s="59">
        <f>SUM(C26:F26)</f>
        <v>0</v>
      </c>
      <c r="H26" s="61">
        <v>0</v>
      </c>
      <c r="I26" s="59">
        <f t="shared" si="0"/>
        <v>0</v>
      </c>
    </row>
    <row r="27" spans="1:9" ht="25.5">
      <c r="A27" s="60" t="s">
        <v>290</v>
      </c>
      <c r="B27" s="58" t="s">
        <v>102</v>
      </c>
      <c r="C27" s="59">
        <v>0</v>
      </c>
      <c r="D27" s="59">
        <v>0</v>
      </c>
      <c r="E27" s="59">
        <v>0</v>
      </c>
      <c r="F27" s="86"/>
      <c r="G27" s="86">
        <f>SUM(C27:F27)</f>
        <v>0</v>
      </c>
      <c r="H27" s="61">
        <v>0</v>
      </c>
      <c r="I27" s="86">
        <f t="shared" si="0"/>
        <v>0</v>
      </c>
    </row>
    <row r="28" spans="1:9" ht="12.75">
      <c r="A28" s="60" t="s">
        <v>291</v>
      </c>
      <c r="B28" s="58" t="s">
        <v>103</v>
      </c>
      <c r="C28" s="59">
        <v>0</v>
      </c>
      <c r="D28" s="59">
        <v>0</v>
      </c>
      <c r="E28" s="59"/>
      <c r="F28" s="86"/>
      <c r="G28" s="86">
        <f>SUM(F28)</f>
        <v>0</v>
      </c>
      <c r="H28" s="61">
        <v>0</v>
      </c>
      <c r="I28" s="86">
        <f t="shared" si="0"/>
        <v>0</v>
      </c>
    </row>
    <row r="29" spans="1:9" ht="38.25">
      <c r="A29" s="60" t="s">
        <v>128</v>
      </c>
      <c r="B29" s="58" t="s">
        <v>8</v>
      </c>
      <c r="C29" s="59">
        <v>0</v>
      </c>
      <c r="D29" s="59">
        <v>0</v>
      </c>
      <c r="E29" s="86">
        <f>SUM(E26:E28)</f>
        <v>-316334</v>
      </c>
      <c r="F29" s="86">
        <f>SUM(F26:F28)</f>
        <v>316334</v>
      </c>
      <c r="G29" s="86">
        <f>SUM(G26:G28)</f>
        <v>0</v>
      </c>
      <c r="H29" s="61">
        <v>0</v>
      </c>
      <c r="I29" s="86">
        <f t="shared" si="0"/>
        <v>0</v>
      </c>
    </row>
    <row r="30" spans="1:9" ht="12.75">
      <c r="A30" s="60" t="s">
        <v>292</v>
      </c>
      <c r="B30" s="58"/>
      <c r="C30" s="59"/>
      <c r="D30" s="59"/>
      <c r="E30" s="86"/>
      <c r="F30" s="156">
        <f>-1860175</f>
        <v>-1860175</v>
      </c>
      <c r="G30" s="156">
        <f>SUM(C30:F30)</f>
        <v>-1860175</v>
      </c>
      <c r="H30" s="157"/>
      <c r="I30" s="156">
        <f t="shared" si="0"/>
        <v>-1860175</v>
      </c>
    </row>
    <row r="31" spans="1:9" ht="12.75">
      <c r="A31" s="60" t="s">
        <v>77</v>
      </c>
      <c r="B31" s="58"/>
      <c r="C31" s="59">
        <v>0</v>
      </c>
      <c r="D31" s="59">
        <v>0</v>
      </c>
      <c r="E31" s="59">
        <v>0</v>
      </c>
      <c r="F31" s="59">
        <v>0</v>
      </c>
      <c r="G31" s="61">
        <f>SUM(C31:F31)</f>
        <v>0</v>
      </c>
      <c r="H31" s="86">
        <v>10704984</v>
      </c>
      <c r="I31" s="86">
        <f>SUM(G31:H31)</f>
        <v>10704984</v>
      </c>
    </row>
    <row r="32" spans="1:9" ht="12.75">
      <c r="A32" s="60" t="s">
        <v>129</v>
      </c>
      <c r="B32" s="58" t="s">
        <v>15</v>
      </c>
      <c r="C32" s="59">
        <v>0</v>
      </c>
      <c r="D32" s="59">
        <v>0</v>
      </c>
      <c r="E32" s="59">
        <v>0</v>
      </c>
      <c r="F32" s="87">
        <f>'ф2'!C54-0.2</f>
        <v>6641885.56</v>
      </c>
      <c r="G32" s="87">
        <f>SUM(C32:F32)</f>
        <v>6641885.56</v>
      </c>
      <c r="H32" s="86">
        <f>'ф2'!C55</f>
        <v>1860175.24</v>
      </c>
      <c r="I32" s="86">
        <f>G32+H32</f>
        <v>8502060.799999999</v>
      </c>
    </row>
    <row r="33" spans="1:9" ht="25.5">
      <c r="A33" s="60" t="s">
        <v>130</v>
      </c>
      <c r="B33" s="58" t="s">
        <v>16</v>
      </c>
      <c r="C33" s="59">
        <v>0</v>
      </c>
      <c r="D33" s="59">
        <v>0</v>
      </c>
      <c r="E33" s="86">
        <f>E29+E32</f>
        <v>-316334</v>
      </c>
      <c r="F33" s="86">
        <f>F29+F32+F31+F30</f>
        <v>5098044.56</v>
      </c>
      <c r="G33" s="86">
        <f>G29+G32+G31+G30</f>
        <v>4781710.56</v>
      </c>
      <c r="H33" s="86">
        <f>H29+H32+H31</f>
        <v>12565159.24</v>
      </c>
      <c r="I33" s="86">
        <f>I29+I32+I31+I30</f>
        <v>17346869.799999997</v>
      </c>
    </row>
    <row r="34" spans="1:9" ht="12.75">
      <c r="A34" s="60" t="s">
        <v>131</v>
      </c>
      <c r="B34" s="58" t="s">
        <v>17</v>
      </c>
      <c r="C34" s="59">
        <v>0</v>
      </c>
      <c r="D34" s="59">
        <v>0</v>
      </c>
      <c r="E34" s="59">
        <v>0</v>
      </c>
      <c r="F34" s="86">
        <v>0</v>
      </c>
      <c r="G34" s="87">
        <f>SUM(C34:F34)</f>
        <v>0</v>
      </c>
      <c r="H34" s="61">
        <v>0</v>
      </c>
      <c r="I34" s="87">
        <f>G34+H34</f>
        <v>0</v>
      </c>
    </row>
    <row r="35" spans="1:9" ht="12.75">
      <c r="A35" s="60" t="s">
        <v>132</v>
      </c>
      <c r="B35" s="58" t="s">
        <v>22</v>
      </c>
      <c r="C35" s="59">
        <v>0</v>
      </c>
      <c r="D35" s="59">
        <v>0</v>
      </c>
      <c r="E35" s="59">
        <v>0</v>
      </c>
      <c r="F35" s="62">
        <v>0</v>
      </c>
      <c r="G35" s="61">
        <f>SUM(C35:F35)</f>
        <v>0</v>
      </c>
      <c r="H35" s="61">
        <v>0</v>
      </c>
      <c r="I35" s="61">
        <f>G35+H35</f>
        <v>0</v>
      </c>
    </row>
    <row r="36" spans="1:9" ht="25.5">
      <c r="A36" s="60" t="s">
        <v>133</v>
      </c>
      <c r="B36" s="58" t="s">
        <v>28</v>
      </c>
      <c r="C36" s="59">
        <v>0</v>
      </c>
      <c r="D36" s="59">
        <v>0</v>
      </c>
      <c r="E36" s="59">
        <v>0</v>
      </c>
      <c r="F36" s="62">
        <v>0</v>
      </c>
      <c r="G36" s="61">
        <f>SUM(C36:F36)</f>
        <v>0</v>
      </c>
      <c r="H36" s="61">
        <v>0</v>
      </c>
      <c r="I36" s="61">
        <f>G36+H36</f>
        <v>0</v>
      </c>
    </row>
    <row r="37" spans="1:9" ht="25.5">
      <c r="A37" s="60" t="s">
        <v>293</v>
      </c>
      <c r="B37" s="58" t="s">
        <v>86</v>
      </c>
      <c r="C37" s="86">
        <f aca="true" t="shared" si="1" ref="C37:I37">C25+C33+C34+C35-C36</f>
        <v>16663996</v>
      </c>
      <c r="D37" s="86">
        <f t="shared" si="1"/>
        <v>1188176</v>
      </c>
      <c r="E37" s="86">
        <f t="shared" si="1"/>
        <v>19416252</v>
      </c>
      <c r="F37" s="86">
        <f>F25+F33+F34+F35-F36</f>
        <v>33628803.11500193</v>
      </c>
      <c r="G37" s="86">
        <f>G25+G33+G34+G35-G36</f>
        <v>70897227.11500193</v>
      </c>
      <c r="H37" s="86">
        <f t="shared" si="1"/>
        <v>12565159.24</v>
      </c>
      <c r="I37" s="86">
        <f t="shared" si="1"/>
        <v>83462386.35500193</v>
      </c>
    </row>
    <row r="38" spans="1:19" ht="12.75">
      <c r="A38" s="63"/>
      <c r="B38" s="58"/>
      <c r="C38" s="86"/>
      <c r="D38" s="86"/>
      <c r="E38" s="86"/>
      <c r="F38" s="86"/>
      <c r="G38" s="86"/>
      <c r="H38" s="86"/>
      <c r="I38" s="86"/>
      <c r="K38" s="48">
        <f>бб!C89-бб!D89</f>
        <v>0</v>
      </c>
      <c r="L38" s="48">
        <f>бб!C90-бб!D90</f>
        <v>0</v>
      </c>
      <c r="M38" s="80">
        <f>бб!C93-'ф4'!E37</f>
        <v>0</v>
      </c>
      <c r="N38" s="80">
        <f>бб!C93-'ф4'!E37</f>
        <v>0</v>
      </c>
      <c r="O38" s="48">
        <f>бб!C94-'ф4'!F37</f>
        <v>0.19999999552965164</v>
      </c>
      <c r="P38" s="48">
        <v>0</v>
      </c>
      <c r="Q38" s="48">
        <f>бб!C95-'ф4'!H37</f>
        <v>-0.06000000052154064</v>
      </c>
      <c r="R38" s="158">
        <f>H37-бб!C95</f>
        <v>0.06000000052154064</v>
      </c>
      <c r="S38" s="158">
        <f>I37-бб!C96</f>
        <v>-0.14000001549720764</v>
      </c>
    </row>
    <row r="39" spans="1:9" ht="12.75">
      <c r="A39" s="60" t="s">
        <v>182</v>
      </c>
      <c r="B39" s="58" t="s">
        <v>134</v>
      </c>
      <c r="C39" s="86">
        <v>16663996</v>
      </c>
      <c r="D39" s="86">
        <v>1188176</v>
      </c>
      <c r="E39" s="86">
        <v>20824497</v>
      </c>
      <c r="F39" s="86">
        <v>28475051</v>
      </c>
      <c r="G39" s="86">
        <f>SUM(C39:F39)</f>
        <v>67151720</v>
      </c>
      <c r="H39" s="86">
        <v>0</v>
      </c>
      <c r="I39" s="86">
        <f>G39</f>
        <v>67151720</v>
      </c>
    </row>
    <row r="40" spans="1:9" ht="12.75">
      <c r="A40" s="60" t="s">
        <v>222</v>
      </c>
      <c r="B40" s="58" t="s">
        <v>135</v>
      </c>
      <c r="C40" s="59">
        <v>0</v>
      </c>
      <c r="D40" s="59">
        <v>0</v>
      </c>
      <c r="E40" s="86"/>
      <c r="F40" s="86"/>
      <c r="G40" s="86"/>
      <c r="H40" s="86">
        <v>0</v>
      </c>
      <c r="I40" s="86">
        <f>G40</f>
        <v>0</v>
      </c>
    </row>
    <row r="41" spans="1:9" ht="25.5">
      <c r="A41" s="60" t="s">
        <v>136</v>
      </c>
      <c r="B41" s="58" t="s">
        <v>137</v>
      </c>
      <c r="C41" s="86">
        <f>C39</f>
        <v>16663996</v>
      </c>
      <c r="D41" s="86">
        <v>1188176</v>
      </c>
      <c r="E41" s="86">
        <f>SUM(E39:E40)</f>
        <v>20824497</v>
      </c>
      <c r="F41" s="86">
        <f>SUM(F39:F40)</f>
        <v>28475051</v>
      </c>
      <c r="G41" s="86">
        <f>SUM(G39:G40)</f>
        <v>67151720</v>
      </c>
      <c r="H41" s="86">
        <f>SUM(H39:H40)</f>
        <v>0</v>
      </c>
      <c r="I41" s="86">
        <f>SUM(I39:I40)</f>
        <v>67151720</v>
      </c>
    </row>
    <row r="42" spans="1:9" ht="12.75">
      <c r="A42" s="60" t="s">
        <v>126</v>
      </c>
      <c r="B42" s="58" t="s">
        <v>138</v>
      </c>
      <c r="C42" s="86">
        <v>0</v>
      </c>
      <c r="D42" s="86">
        <v>0</v>
      </c>
      <c r="E42" s="86">
        <v>-333062</v>
      </c>
      <c r="F42" s="86">
        <f>-E42</f>
        <v>333062</v>
      </c>
      <c r="G42" s="86">
        <f>SUM(E42:F42)</f>
        <v>0</v>
      </c>
      <c r="H42" s="86">
        <v>0</v>
      </c>
      <c r="I42" s="86">
        <f>SUM(G42:H42)</f>
        <v>0</v>
      </c>
    </row>
    <row r="43" spans="1:9" ht="12.75">
      <c r="A43" s="57" t="s">
        <v>294</v>
      </c>
      <c r="B43" s="58" t="s">
        <v>295</v>
      </c>
      <c r="C43" s="86">
        <v>0</v>
      </c>
      <c r="D43" s="86">
        <v>0</v>
      </c>
      <c r="E43" s="86"/>
      <c r="F43" s="86">
        <f>'[5]CSCE'!$M$322</f>
        <v>0</v>
      </c>
      <c r="G43" s="86">
        <f>SUM(C43:F43)</f>
        <v>0</v>
      </c>
      <c r="H43" s="86">
        <v>0</v>
      </c>
      <c r="I43" s="86">
        <f>G43+H43</f>
        <v>0</v>
      </c>
    </row>
    <row r="44" spans="1:9" ht="25.5">
      <c r="A44" s="60" t="s">
        <v>127</v>
      </c>
      <c r="B44" s="58" t="s">
        <v>139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</row>
    <row r="45" spans="1:9" ht="12.75">
      <c r="A45" s="60" t="s">
        <v>77</v>
      </c>
      <c r="B45" s="58"/>
      <c r="C45" s="86">
        <v>0</v>
      </c>
      <c r="D45" s="86">
        <v>0</v>
      </c>
      <c r="E45" s="86"/>
      <c r="F45" s="86"/>
      <c r="G45" s="86">
        <f>SUM(F45)</f>
        <v>0</v>
      </c>
      <c r="H45" s="86">
        <v>0</v>
      </c>
      <c r="I45" s="86">
        <f>G45</f>
        <v>0</v>
      </c>
    </row>
    <row r="46" spans="1:9" ht="38.25">
      <c r="A46" s="60" t="s">
        <v>140</v>
      </c>
      <c r="B46" s="58" t="s">
        <v>141</v>
      </c>
      <c r="C46" s="86">
        <v>0</v>
      </c>
      <c r="D46" s="86">
        <v>0</v>
      </c>
      <c r="E46" s="86">
        <f>E42+E43</f>
        <v>-333062</v>
      </c>
      <c r="F46" s="86">
        <f>F42+F43</f>
        <v>333062</v>
      </c>
      <c r="G46" s="86">
        <f>SUM(E46:F46)</f>
        <v>0</v>
      </c>
      <c r="H46" s="86">
        <v>0</v>
      </c>
      <c r="I46" s="86">
        <f>SUM(G46)</f>
        <v>0</v>
      </c>
    </row>
    <row r="47" spans="1:9" ht="12.75">
      <c r="A47" s="60" t="s">
        <v>129</v>
      </c>
      <c r="B47" s="58" t="s">
        <v>142</v>
      </c>
      <c r="C47" s="86">
        <v>0</v>
      </c>
      <c r="D47" s="86">
        <v>0</v>
      </c>
      <c r="E47" s="86">
        <v>0</v>
      </c>
      <c r="F47" s="86">
        <f>'[4]ф2'!F52</f>
        <v>3791942</v>
      </c>
      <c r="G47" s="86">
        <f>SUM(C47:F47)</f>
        <v>3791942</v>
      </c>
      <c r="H47" s="86">
        <v>0</v>
      </c>
      <c r="I47" s="86">
        <f>G47+H47</f>
        <v>3791942</v>
      </c>
    </row>
    <row r="48" spans="1:9" ht="25.5">
      <c r="A48" s="60" t="s">
        <v>143</v>
      </c>
      <c r="B48" s="58" t="s">
        <v>144</v>
      </c>
      <c r="C48" s="86">
        <v>0</v>
      </c>
      <c r="D48" s="86">
        <v>0</v>
      </c>
      <c r="E48" s="86">
        <f>E46+E47</f>
        <v>-333062</v>
      </c>
      <c r="F48" s="86">
        <f>F46+F47+F45</f>
        <v>4125004</v>
      </c>
      <c r="G48" s="86">
        <f>G46+G47+G45</f>
        <v>3791942</v>
      </c>
      <c r="H48" s="86">
        <v>0</v>
      </c>
      <c r="I48" s="86">
        <f>I46+I47+I45</f>
        <v>3791942</v>
      </c>
    </row>
    <row r="49" spans="1:9" ht="12.75">
      <c r="A49" s="60" t="s">
        <v>131</v>
      </c>
      <c r="B49" s="58" t="s">
        <v>145</v>
      </c>
      <c r="C49" s="86">
        <v>0</v>
      </c>
      <c r="D49" s="86">
        <v>0</v>
      </c>
      <c r="E49" s="86">
        <v>0</v>
      </c>
      <c r="F49" s="86"/>
      <c r="G49" s="86">
        <f>SUM(C49:F49)</f>
        <v>0</v>
      </c>
      <c r="H49" s="86">
        <v>0</v>
      </c>
      <c r="I49" s="86">
        <f>G49+H49</f>
        <v>0</v>
      </c>
    </row>
    <row r="50" spans="1:9" ht="12.75">
      <c r="A50" s="60" t="s">
        <v>132</v>
      </c>
      <c r="B50" s="58" t="s">
        <v>146</v>
      </c>
      <c r="C50" s="86"/>
      <c r="D50" s="86">
        <v>0</v>
      </c>
      <c r="E50" s="86">
        <v>0</v>
      </c>
      <c r="F50" s="86">
        <v>0</v>
      </c>
      <c r="G50" s="86">
        <f>SUM(C50:F50)</f>
        <v>0</v>
      </c>
      <c r="H50" s="86">
        <v>0</v>
      </c>
      <c r="I50" s="86">
        <f>G50+H50</f>
        <v>0</v>
      </c>
    </row>
    <row r="51" spans="1:9" ht="25.5">
      <c r="A51" s="60" t="s">
        <v>133</v>
      </c>
      <c r="B51" s="58" t="s">
        <v>147</v>
      </c>
      <c r="C51" s="86">
        <v>0</v>
      </c>
      <c r="D51" s="86">
        <v>0</v>
      </c>
      <c r="E51" s="86">
        <v>0</v>
      </c>
      <c r="F51" s="86">
        <v>0</v>
      </c>
      <c r="G51" s="86">
        <f>SUM(C51:F51)</f>
        <v>0</v>
      </c>
      <c r="H51" s="86">
        <v>0</v>
      </c>
      <c r="I51" s="86">
        <f>G51+H51</f>
        <v>0</v>
      </c>
    </row>
    <row r="52" spans="1:16" ht="25.5">
      <c r="A52" s="60" t="s">
        <v>296</v>
      </c>
      <c r="B52" s="58" t="s">
        <v>148</v>
      </c>
      <c r="C52" s="86">
        <f aca="true" t="shared" si="2" ref="C52:I52">C41+C48+C49+C50-C51</f>
        <v>16663996</v>
      </c>
      <c r="D52" s="86">
        <f t="shared" si="2"/>
        <v>1188176</v>
      </c>
      <c r="E52" s="86">
        <f t="shared" si="2"/>
        <v>20491435</v>
      </c>
      <c r="F52" s="86">
        <f>F41+F48+F49+F50</f>
        <v>32600055</v>
      </c>
      <c r="G52" s="86">
        <f>SUM(C52:F52)</f>
        <v>70943662</v>
      </c>
      <c r="H52" s="86">
        <f t="shared" si="2"/>
        <v>0</v>
      </c>
      <c r="I52" s="86">
        <f t="shared" si="2"/>
        <v>70943662</v>
      </c>
      <c r="J52" s="49"/>
      <c r="K52" s="49"/>
      <c r="L52" s="49"/>
      <c r="M52" s="49"/>
      <c r="N52" s="49"/>
      <c r="O52" s="49"/>
      <c r="P52" s="49" t="e">
        <v>#REF!</v>
      </c>
    </row>
    <row r="53" spans="1:15" ht="12.75">
      <c r="A53" s="66"/>
      <c r="B53" s="70"/>
      <c r="C53" s="70"/>
      <c r="D53" s="70"/>
      <c r="E53" s="70"/>
      <c r="F53" s="70"/>
      <c r="G53" s="70"/>
      <c r="H53" s="70"/>
      <c r="I53" s="70"/>
      <c r="K53" s="49"/>
      <c r="L53" s="49"/>
      <c r="M53" s="49"/>
      <c r="N53" s="49"/>
      <c r="O53" s="49"/>
    </row>
    <row r="54" spans="1:9" ht="14.25">
      <c r="A54" s="21" t="s">
        <v>297</v>
      </c>
      <c r="B54" s="65"/>
      <c r="C54" s="65"/>
      <c r="D54" s="70"/>
      <c r="E54" s="70"/>
      <c r="F54" s="70"/>
      <c r="G54" s="70"/>
      <c r="H54" s="22" t="s">
        <v>270</v>
      </c>
      <c r="I54" s="70"/>
    </row>
    <row r="55" spans="1:9" ht="12.75">
      <c r="A55" s="66"/>
      <c r="B55" s="65"/>
      <c r="C55" s="65"/>
      <c r="D55" s="67"/>
      <c r="E55" s="114"/>
      <c r="F55" s="114"/>
      <c r="G55" s="70"/>
      <c r="H55" s="70"/>
      <c r="I55" s="70"/>
    </row>
    <row r="56" spans="1:9" ht="12.75">
      <c r="A56" s="66"/>
      <c r="B56" s="65"/>
      <c r="C56" s="65"/>
      <c r="D56" s="67"/>
      <c r="E56" s="70"/>
      <c r="F56" s="70"/>
      <c r="G56" s="70"/>
      <c r="H56" s="70"/>
      <c r="I56" s="70"/>
    </row>
    <row r="57" spans="1:9" ht="14.25">
      <c r="A57" s="66" t="s">
        <v>261</v>
      </c>
      <c r="B57" s="65"/>
      <c r="C57" s="65"/>
      <c r="D57" s="70"/>
      <c r="E57" s="66"/>
      <c r="F57" s="66"/>
      <c r="G57" s="70"/>
      <c r="H57" s="22" t="s">
        <v>269</v>
      </c>
      <c r="I57" s="70"/>
    </row>
    <row r="58" spans="1:9" ht="12.75">
      <c r="A58" s="70"/>
      <c r="B58" s="70"/>
      <c r="C58" s="70"/>
      <c r="D58" s="70"/>
      <c r="E58" s="70"/>
      <c r="F58" s="70"/>
      <c r="G58" s="70"/>
      <c r="H58" s="70"/>
      <c r="I58" s="70"/>
    </row>
    <row r="59" spans="1:9" ht="12.75">
      <c r="A59" s="64" t="s">
        <v>119</v>
      </c>
      <c r="B59" s="70"/>
      <c r="C59" s="70"/>
      <c r="D59" s="70"/>
      <c r="E59" s="70"/>
      <c r="F59" s="70"/>
      <c r="G59" s="70"/>
      <c r="H59" s="70"/>
      <c r="I59" s="70"/>
    </row>
    <row r="60" spans="1:9" ht="12.75">
      <c r="A60" s="70"/>
      <c r="B60" s="70"/>
      <c r="C60" s="70"/>
      <c r="D60" s="70"/>
      <c r="E60" s="70"/>
      <c r="F60" s="70"/>
      <c r="G60" s="70"/>
      <c r="H60" s="70"/>
      <c r="I60" s="70"/>
    </row>
    <row r="61" spans="1:9" ht="12.75">
      <c r="A61" s="70"/>
      <c r="B61" s="70"/>
      <c r="C61" s="70"/>
      <c r="D61" s="70"/>
      <c r="E61" s="70"/>
      <c r="F61" s="70"/>
      <c r="G61" s="70"/>
      <c r="H61" s="70"/>
      <c r="I61" s="70"/>
    </row>
  </sheetData>
  <sheetProtection/>
  <mergeCells count="2">
    <mergeCell ref="H20:H21"/>
    <mergeCell ref="C20:G20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Беликова Светлана</cp:lastModifiedBy>
  <cp:lastPrinted>2021-05-12T04:59:45Z</cp:lastPrinted>
  <dcterms:created xsi:type="dcterms:W3CDTF">2007-05-04T07:43:23Z</dcterms:created>
  <dcterms:modified xsi:type="dcterms:W3CDTF">2021-05-12T05:01:11Z</dcterms:modified>
  <cp:category/>
  <cp:version/>
  <cp:contentType/>
  <cp:contentStatus/>
</cp:coreProperties>
</file>