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60" windowHeight="8265" activeTab="3"/>
  </bookViews>
  <sheets>
    <sheet name="баланс" sheetId="2" r:id="rId1"/>
    <sheet name="ОПУ" sheetId="4" r:id="rId2"/>
    <sheet name="ДДС" sheetId="3" state="hidden" r:id="rId3"/>
    <sheet name="ДДС (2)" sheetId="10" r:id="rId4"/>
    <sheet name="СК" sheetId="5" r:id="rId5"/>
    <sheet name="баланс афн" sheetId="6" state="hidden" r:id="rId6"/>
    <sheet name="опу афн" sheetId="7" state="hidden" r:id="rId7"/>
    <sheet name="ддс афн" sheetId="8" state="hidden" r:id="rId8"/>
    <sheet name="СК афн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баланс!$A$1:$C$48</definedName>
    <definedName name="_xlnm.Print_Area" localSheetId="2">ДДС!$A$1:$C$59</definedName>
    <definedName name="_xlnm.Print_Area" localSheetId="3">'ДДС (2)'!$A$1:$C$68</definedName>
    <definedName name="_xlnm.Print_Area" localSheetId="1">ОПУ!$A$1:$C$38</definedName>
    <definedName name="_xlnm.Print_Area" localSheetId="4">СК!$A$1:$G$56</definedName>
  </definedNames>
  <calcPr calcId="144525"/>
</workbook>
</file>

<file path=xl/calcChain.xml><?xml version="1.0" encoding="utf-8"?>
<calcChain xmlns="http://schemas.openxmlformats.org/spreadsheetml/2006/main">
  <c r="B45" i="10" l="1"/>
  <c r="B35" i="10"/>
  <c r="B32" i="10"/>
  <c r="B44" i="10"/>
  <c r="B34" i="10"/>
  <c r="B30" i="10"/>
  <c r="C56" i="10"/>
  <c r="B56" i="10"/>
  <c r="C16" i="10"/>
  <c r="A8" i="2"/>
  <c r="A8" i="10" s="1"/>
  <c r="A62" i="10"/>
  <c r="A50" i="3"/>
  <c r="B18" i="10"/>
  <c r="B16" i="10"/>
  <c r="B15" i="10"/>
  <c r="F9" i="5" l="1"/>
  <c r="F37" i="5" l="1"/>
  <c r="F11" i="5"/>
  <c r="D22" i="5"/>
  <c r="B23" i="2" l="1"/>
  <c r="C21" i="2"/>
  <c r="C23" i="2" s="1"/>
  <c r="B21" i="2"/>
  <c r="D21" i="2" s="1"/>
  <c r="C51" i="10"/>
  <c r="C31" i="10"/>
  <c r="B51" i="10"/>
  <c r="F15" i="6"/>
  <c r="F16" i="6"/>
  <c r="F17" i="6"/>
  <c r="F18" i="6"/>
  <c r="F19" i="6"/>
  <c r="F20" i="6"/>
  <c r="F21" i="6"/>
  <c r="F22" i="6"/>
  <c r="F23" i="6"/>
  <c r="F24" i="6"/>
  <c r="B31" i="10" s="1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G46" i="6" s="1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11" i="6"/>
  <c r="F12" i="6"/>
  <c r="F13" i="6"/>
  <c r="F14" i="6"/>
  <c r="B29" i="10" s="1"/>
  <c r="F10" i="6"/>
  <c r="G50" i="6" l="1"/>
  <c r="D35" i="10" s="1"/>
  <c r="C33" i="10"/>
  <c r="C28" i="10"/>
  <c r="B28" i="10"/>
  <c r="D16" i="10"/>
  <c r="D15" i="10"/>
  <c r="E39" i="8"/>
  <c r="F41" i="8"/>
  <c r="E41" i="8"/>
  <c r="F39" i="8"/>
  <c r="F33" i="8"/>
  <c r="E33" i="8"/>
  <c r="A66" i="10"/>
  <c r="A64" i="10"/>
  <c r="D46" i="10"/>
  <c r="D45" i="10"/>
  <c r="D44" i="10"/>
  <c r="D43" i="10"/>
  <c r="D42" i="10"/>
  <c r="D41" i="10"/>
  <c r="D40" i="10"/>
  <c r="D37" i="10"/>
  <c r="D34" i="10"/>
  <c r="D32" i="10"/>
  <c r="D31" i="10"/>
  <c r="D30" i="10"/>
  <c r="D29" i="10"/>
  <c r="D27" i="10"/>
  <c r="D26" i="10"/>
  <c r="D24" i="10"/>
  <c r="D23" i="10"/>
  <c r="D22" i="10"/>
  <c r="D21" i="10"/>
  <c r="D20" i="10"/>
  <c r="D19" i="10"/>
  <c r="D18" i="10"/>
  <c r="D17" i="10"/>
  <c r="D14" i="10"/>
  <c r="B33" i="10" l="1"/>
  <c r="D33" i="10" s="1"/>
  <c r="C36" i="10"/>
  <c r="C38" i="10" s="1"/>
  <c r="D28" i="10"/>
  <c r="D49" i="10"/>
  <c r="A5" i="9"/>
  <c r="A4" i="8"/>
  <c r="A5" i="7"/>
  <c r="E63" i="8"/>
  <c r="C67" i="8"/>
  <c r="D67" i="8"/>
  <c r="B46" i="3"/>
  <c r="B47" i="3"/>
  <c r="E27" i="5"/>
  <c r="F22" i="5"/>
  <c r="C11" i="5"/>
  <c r="D11" i="5"/>
  <c r="D27" i="5" s="1"/>
  <c r="E11" i="5"/>
  <c r="B11" i="5"/>
  <c r="B27" i="5" s="1"/>
  <c r="B9" i="5"/>
  <c r="G9" i="5" s="1"/>
  <c r="G62" i="9"/>
  <c r="F62" i="9"/>
  <c r="E62" i="9"/>
  <c r="D62" i="9"/>
  <c r="A60" i="9"/>
  <c r="A58" i="9"/>
  <c r="A56" i="9"/>
  <c r="A54" i="9"/>
  <c r="A52" i="9"/>
  <c r="F46" i="9"/>
  <c r="C45" i="9"/>
  <c r="C42" i="9" s="1"/>
  <c r="D44" i="9"/>
  <c r="E44" i="9" s="1"/>
  <c r="B42" i="9"/>
  <c r="F40" i="9"/>
  <c r="H39" i="9"/>
  <c r="F39" i="9"/>
  <c r="E37" i="9"/>
  <c r="E38" i="9" s="1"/>
  <c r="H36" i="9"/>
  <c r="H35" i="9"/>
  <c r="H34" i="9"/>
  <c r="E31" i="5"/>
  <c r="F32" i="9"/>
  <c r="H32" i="9" s="1"/>
  <c r="F30" i="9"/>
  <c r="H30" i="9" s="1"/>
  <c r="F28" i="9"/>
  <c r="H28" i="9" s="1"/>
  <c r="J27" i="9"/>
  <c r="E27" i="9"/>
  <c r="F27" i="9" s="1"/>
  <c r="H27" i="9" s="1"/>
  <c r="E26" i="9"/>
  <c r="F26" i="9" s="1"/>
  <c r="H26" i="9" s="1"/>
  <c r="D24" i="9"/>
  <c r="C24" i="9"/>
  <c r="B24" i="9"/>
  <c r="F22" i="9"/>
  <c r="F21" i="9"/>
  <c r="E20" i="9"/>
  <c r="F19" i="9"/>
  <c r="F20" i="9" s="1"/>
  <c r="H20" i="9" s="1"/>
  <c r="H18" i="9"/>
  <c r="H17" i="9"/>
  <c r="H16" i="9"/>
  <c r="H15" i="9"/>
  <c r="F15" i="9"/>
  <c r="F14" i="9"/>
  <c r="H14" i="9" s="1"/>
  <c r="E13" i="9"/>
  <c r="D13" i="9"/>
  <c r="D29" i="9" s="1"/>
  <c r="D31" i="9" s="1"/>
  <c r="C13" i="9"/>
  <c r="C29" i="9" s="1"/>
  <c r="C31" i="9" s="1"/>
  <c r="B13" i="9"/>
  <c r="F13" i="9" s="1"/>
  <c r="F12" i="9"/>
  <c r="H12" i="9" s="1"/>
  <c r="C23" i="4"/>
  <c r="C7" i="4"/>
  <c r="C8" i="4"/>
  <c r="B7" i="4"/>
  <c r="F39" i="2"/>
  <c r="C12" i="4"/>
  <c r="B12" i="4"/>
  <c r="B27" i="2"/>
  <c r="B36" i="10" l="1"/>
  <c r="B38" i="10" s="1"/>
  <c r="D38" i="10" s="1"/>
  <c r="F24" i="9"/>
  <c r="H24" i="9" s="1"/>
  <c r="H56" i="9"/>
  <c r="E29" i="9"/>
  <c r="E31" i="9" s="1"/>
  <c r="E47" i="9" s="1"/>
  <c r="F63" i="9" s="1"/>
  <c r="E24" i="9"/>
  <c r="H46" i="9"/>
  <c r="C47" i="9"/>
  <c r="D63" i="9" s="1"/>
  <c r="F33" i="9"/>
  <c r="H33" i="9" s="1"/>
  <c r="E45" i="9"/>
  <c r="E42" i="9" s="1"/>
  <c r="G22" i="5"/>
  <c r="F27" i="5"/>
  <c r="D43" i="5"/>
  <c r="D42" i="9"/>
  <c r="F44" i="9"/>
  <c r="H44" i="9" s="1"/>
  <c r="B45" i="3"/>
  <c r="H13" i="9"/>
  <c r="H19" i="9"/>
  <c r="F37" i="9"/>
  <c r="F45" i="9"/>
  <c r="H45" i="9" s="1"/>
  <c r="B29" i="9"/>
  <c r="B31" i="9" s="1"/>
  <c r="S20" i="7"/>
  <c r="D36" i="10" l="1"/>
  <c r="F29" i="9"/>
  <c r="H29" i="9" s="1"/>
  <c r="F42" i="9"/>
  <c r="H42" i="9" s="1"/>
  <c r="D47" i="9"/>
  <c r="E63" i="9" s="1"/>
  <c r="F38" i="9"/>
  <c r="H38" i="9" s="1"/>
  <c r="H37" i="9"/>
  <c r="F31" i="9"/>
  <c r="B47" i="9"/>
  <c r="F35" i="5"/>
  <c r="G47" i="5"/>
  <c r="F47" i="5"/>
  <c r="E47" i="5"/>
  <c r="G44" i="5"/>
  <c r="F43" i="5"/>
  <c r="G43" i="5" s="1"/>
  <c r="F42" i="5"/>
  <c r="G42" i="5" s="1"/>
  <c r="G41" i="5"/>
  <c r="F40" i="5"/>
  <c r="E40" i="5"/>
  <c r="D40" i="5"/>
  <c r="C40" i="5"/>
  <c r="B40" i="5"/>
  <c r="G39" i="5"/>
  <c r="G38" i="5"/>
  <c r="G37" i="5"/>
  <c r="G34" i="5"/>
  <c r="G33" i="5"/>
  <c r="G32" i="5"/>
  <c r="G31" i="5"/>
  <c r="G30" i="5"/>
  <c r="C29" i="5"/>
  <c r="C45" i="5" s="1"/>
  <c r="G28" i="5"/>
  <c r="E29" i="5"/>
  <c r="D29" i="5"/>
  <c r="B29" i="5"/>
  <c r="G26" i="5"/>
  <c r="F25" i="5"/>
  <c r="G25" i="5" s="1"/>
  <c r="F24" i="5"/>
  <c r="G24" i="5" s="1"/>
  <c r="G23" i="5"/>
  <c r="G21" i="5"/>
  <c r="G20" i="5"/>
  <c r="G19" i="5"/>
  <c r="G18" i="5"/>
  <c r="G17" i="5"/>
  <c r="G16" i="5"/>
  <c r="G15" i="5"/>
  <c r="G14" i="5"/>
  <c r="G13" i="5"/>
  <c r="G12" i="5"/>
  <c r="G10" i="5"/>
  <c r="G11" i="5" s="1"/>
  <c r="C79" i="6"/>
  <c r="T91" i="7"/>
  <c r="B19" i="2"/>
  <c r="G27" i="5" l="1"/>
  <c r="G35" i="5"/>
  <c r="F36" i="5"/>
  <c r="D45" i="5"/>
  <c r="D48" i="5" s="1"/>
  <c r="H31" i="9"/>
  <c r="F47" i="9"/>
  <c r="E45" i="5"/>
  <c r="E48" i="5" s="1"/>
  <c r="G40" i="5"/>
  <c r="B45" i="5"/>
  <c r="F29" i="5"/>
  <c r="G29" i="5" s="1"/>
  <c r="G36" i="5"/>
  <c r="S91" i="7"/>
  <c r="AA90" i="7"/>
  <c r="AA89" i="7"/>
  <c r="AB87" i="7"/>
  <c r="AA87" i="7" s="1"/>
  <c r="AA84" i="7"/>
  <c r="AA80" i="7"/>
  <c r="AB79" i="7"/>
  <c r="AA79" i="7" s="1"/>
  <c r="AB78" i="7"/>
  <c r="AA78" i="7" s="1"/>
  <c r="AB77" i="7"/>
  <c r="AA77" i="7" s="1"/>
  <c r="AB76" i="7"/>
  <c r="AA76" i="7" s="1"/>
  <c r="AB74" i="7"/>
  <c r="AA74" i="7" s="1"/>
  <c r="AB73" i="7"/>
  <c r="AA73" i="7" s="1"/>
  <c r="AA72" i="7"/>
  <c r="AA71" i="7"/>
  <c r="AA70" i="7"/>
  <c r="AB68" i="7"/>
  <c r="AA68" i="7"/>
  <c r="AB66" i="7"/>
  <c r="AA66" i="7" s="1"/>
  <c r="AB65" i="7"/>
  <c r="AA65" i="7" s="1"/>
  <c r="AB64" i="7"/>
  <c r="AA64" i="7" s="1"/>
  <c r="AB63" i="7"/>
  <c r="AA63" i="7" s="1"/>
  <c r="AB62" i="7"/>
  <c r="AA62" i="7" s="1"/>
  <c r="AA61" i="7"/>
  <c r="AA60" i="7"/>
  <c r="AA59" i="7"/>
  <c r="AA58" i="7"/>
  <c r="AB57" i="7"/>
  <c r="AA57" i="7" s="1"/>
  <c r="AB55" i="7"/>
  <c r="AA55" i="7" s="1"/>
  <c r="AB54" i="7"/>
  <c r="AA54" i="7" s="1"/>
  <c r="AB53" i="7"/>
  <c r="AA53" i="7" s="1"/>
  <c r="AB52" i="7"/>
  <c r="AA52" i="7" s="1"/>
  <c r="AA48" i="7"/>
  <c r="AA47" i="7"/>
  <c r="AA46" i="7"/>
  <c r="AB45" i="7"/>
  <c r="AA44" i="7"/>
  <c r="AA43" i="7"/>
  <c r="AA42" i="7"/>
  <c r="AA41" i="7"/>
  <c r="AA40" i="7"/>
  <c r="AA36" i="7" s="1"/>
  <c r="AA38" i="7"/>
  <c r="AB36" i="7"/>
  <c r="AA33" i="7"/>
  <c r="AA32" i="7"/>
  <c r="AB30" i="7"/>
  <c r="AA29" i="7"/>
  <c r="AA26" i="7" s="1"/>
  <c r="AA28" i="7"/>
  <c r="AB26" i="7"/>
  <c r="AB25" i="7" s="1"/>
  <c r="AA24" i="7"/>
  <c r="AB23" i="7"/>
  <c r="AA23" i="7" s="1"/>
  <c r="AB21" i="7"/>
  <c r="AA21" i="7" s="1"/>
  <c r="AB20" i="7"/>
  <c r="AA20" i="7" s="1"/>
  <c r="AB18" i="7"/>
  <c r="AA18" i="7" s="1"/>
  <c r="AB17" i="7"/>
  <c r="AA17" i="7" s="1"/>
  <c r="Z17" i="7"/>
  <c r="Z18" i="7" s="1"/>
  <c r="Z19" i="7" s="1"/>
  <c r="Z20" i="7" s="1"/>
  <c r="Z21" i="7" s="1"/>
  <c r="Z22" i="7" s="1"/>
  <c r="Z23" i="7" s="1"/>
  <c r="Z24" i="7" s="1"/>
  <c r="AB16" i="7"/>
  <c r="B37" i="2"/>
  <c r="A51" i="5"/>
  <c r="A49" i="5"/>
  <c r="A47" i="5"/>
  <c r="B47" i="5"/>
  <c r="C28" i="4"/>
  <c r="B28" i="4"/>
  <c r="B34" i="2"/>
  <c r="B33" i="2"/>
  <c r="D33" i="2" s="1"/>
  <c r="B32" i="2"/>
  <c r="D79" i="6"/>
  <c r="B18" i="2"/>
  <c r="B14" i="2"/>
  <c r="D14" i="2" s="1"/>
  <c r="B16" i="2"/>
  <c r="S63" i="7"/>
  <c r="U61" i="7"/>
  <c r="U20" i="7"/>
  <c r="C42" i="3"/>
  <c r="B42" i="3"/>
  <c r="B22" i="2"/>
  <c r="B15" i="3"/>
  <c r="C46" i="3"/>
  <c r="D46" i="3" s="1"/>
  <c r="C15" i="3"/>
  <c r="F30" i="8"/>
  <c r="S61" i="7"/>
  <c r="G13" i="2"/>
  <c r="D27" i="2"/>
  <c r="C16" i="3"/>
  <c r="C21" i="3"/>
  <c r="C22" i="3"/>
  <c r="C23" i="3"/>
  <c r="C24" i="3"/>
  <c r="C25" i="3"/>
  <c r="C28" i="3"/>
  <c r="C29" i="3"/>
  <c r="C32" i="3"/>
  <c r="C34" i="3" s="1"/>
  <c r="C36" i="3"/>
  <c r="C37" i="3"/>
  <c r="C47" i="3"/>
  <c r="D47" i="3" s="1"/>
  <c r="C13" i="3"/>
  <c r="D44" i="3"/>
  <c r="D41" i="3"/>
  <c r="D40" i="3"/>
  <c r="D38" i="3"/>
  <c r="D35" i="3"/>
  <c r="D33" i="3"/>
  <c r="D18" i="3"/>
  <c r="D17" i="3"/>
  <c r="D14" i="3"/>
  <c r="A54" i="3"/>
  <c r="A35" i="4"/>
  <c r="B37" i="3"/>
  <c r="B36" i="3"/>
  <c r="B32" i="3"/>
  <c r="B34" i="3" s="1"/>
  <c r="B29" i="3"/>
  <c r="D29" i="3" s="1"/>
  <c r="B28" i="3"/>
  <c r="B25" i="3"/>
  <c r="B24" i="3"/>
  <c r="B23" i="3"/>
  <c r="D23" i="3" s="1"/>
  <c r="B22" i="3"/>
  <c r="B21" i="3"/>
  <c r="B16" i="3"/>
  <c r="B13" i="3"/>
  <c r="C26" i="4"/>
  <c r="B26" i="4"/>
  <c r="C13" i="4"/>
  <c r="S52" i="7"/>
  <c r="C22" i="4"/>
  <c r="C20" i="4"/>
  <c r="C19" i="4"/>
  <c r="C18" i="4"/>
  <c r="C16" i="4"/>
  <c r="C15" i="4"/>
  <c r="C10" i="4"/>
  <c r="B13" i="4"/>
  <c r="B23" i="4"/>
  <c r="S76" i="7"/>
  <c r="B10" i="4"/>
  <c r="D10" i="4" s="1"/>
  <c r="B22" i="4"/>
  <c r="B20" i="4"/>
  <c r="B19" i="4"/>
  <c r="B18" i="4"/>
  <c r="B16" i="4"/>
  <c r="B15" i="4"/>
  <c r="B8" i="4"/>
  <c r="B31" i="2"/>
  <c r="D31" i="2" s="1"/>
  <c r="B29" i="2"/>
  <c r="B28" i="2"/>
  <c r="B26" i="2"/>
  <c r="D26" i="2" s="1"/>
  <c r="B25" i="2"/>
  <c r="D25" i="2" s="1"/>
  <c r="B20" i="2"/>
  <c r="D20" i="2" s="1"/>
  <c r="D19" i="2"/>
  <c r="B17" i="2"/>
  <c r="D17" i="2" s="1"/>
  <c r="B15" i="2"/>
  <c r="B13" i="2"/>
  <c r="D7" i="4"/>
  <c r="G92" i="7"/>
  <c r="G90" i="7"/>
  <c r="G89" i="7"/>
  <c r="G88" i="7"/>
  <c r="G87" i="7"/>
  <c r="G84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6" i="7"/>
  <c r="G65" i="7"/>
  <c r="G64" i="7"/>
  <c r="G63" i="7"/>
  <c r="G62" i="7"/>
  <c r="G61" i="7"/>
  <c r="G60" i="7"/>
  <c r="G59" i="7"/>
  <c r="G58" i="7"/>
  <c r="G57" i="7"/>
  <c r="G55" i="7"/>
  <c r="G54" i="7"/>
  <c r="G53" i="7"/>
  <c r="G51" i="7"/>
  <c r="G48" i="7"/>
  <c r="G47" i="7"/>
  <c r="G46" i="7"/>
  <c r="G45" i="7"/>
  <c r="G44" i="7"/>
  <c r="G43" i="7"/>
  <c r="G42" i="7"/>
  <c r="G41" i="7"/>
  <c r="G40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1" i="7"/>
  <c r="G20" i="7"/>
  <c r="G18" i="7"/>
  <c r="G17" i="7"/>
  <c r="H5" i="7"/>
  <c r="I24" i="6"/>
  <c r="A52" i="3"/>
  <c r="A31" i="4"/>
  <c r="A33" i="4"/>
  <c r="G19" i="7"/>
  <c r="G81" i="7"/>
  <c r="G56" i="7"/>
  <c r="G16" i="7"/>
  <c r="G52" i="7"/>
  <c r="G22" i="7"/>
  <c r="G15" i="7"/>
  <c r="G49" i="7"/>
  <c r="G83" i="7"/>
  <c r="G85" i="7"/>
  <c r="G91" i="7"/>
  <c r="D30" i="3"/>
  <c r="B12" i="3" l="1"/>
  <c r="AA45" i="7"/>
  <c r="AA30" i="7"/>
  <c r="AA25" i="7"/>
  <c r="A8" i="3"/>
  <c r="A5" i="5" s="1"/>
  <c r="D15" i="3"/>
  <c r="H29" i="5"/>
  <c r="F45" i="5"/>
  <c r="F48" i="5" s="1"/>
  <c r="C27" i="3"/>
  <c r="B39" i="3"/>
  <c r="D42" i="3"/>
  <c r="C45" i="3"/>
  <c r="C50" i="3" s="1"/>
  <c r="D22" i="3"/>
  <c r="D25" i="3"/>
  <c r="D32" i="3"/>
  <c r="D34" i="3"/>
  <c r="D36" i="3"/>
  <c r="C39" i="3"/>
  <c r="D39" i="3" s="1"/>
  <c r="D21" i="3"/>
  <c r="B20" i="3"/>
  <c r="D13" i="3"/>
  <c r="D28" i="3"/>
  <c r="B27" i="3"/>
  <c r="C12" i="3"/>
  <c r="C20" i="3"/>
  <c r="H47" i="9"/>
  <c r="G63" i="9"/>
  <c r="D13" i="2"/>
  <c r="C17" i="4"/>
  <c r="D26" i="4"/>
  <c r="D19" i="4"/>
  <c r="B14" i="4"/>
  <c r="D8" i="4"/>
  <c r="C14" i="4"/>
  <c r="U62" i="7"/>
  <c r="D28" i="4"/>
  <c r="D15" i="4"/>
  <c r="D16" i="4"/>
  <c r="D22" i="4"/>
  <c r="C21" i="4"/>
  <c r="C24" i="4" s="1"/>
  <c r="AB19" i="7"/>
  <c r="AA19" i="7" s="1"/>
  <c r="B9" i="4"/>
  <c r="B11" i="4" s="1"/>
  <c r="D12" i="4"/>
  <c r="D28" i="2"/>
  <c r="D15" i="2"/>
  <c r="D34" i="2"/>
  <c r="D29" i="2"/>
  <c r="D22" i="2"/>
  <c r="D23" i="2"/>
  <c r="D18" i="2"/>
  <c r="F35" i="2"/>
  <c r="D32" i="2"/>
  <c r="B24" i="2"/>
  <c r="D16" i="2"/>
  <c r="A4" i="4"/>
  <c r="B30" i="2"/>
  <c r="B17" i="4"/>
  <c r="D20" i="4"/>
  <c r="D16" i="3"/>
  <c r="D24" i="3"/>
  <c r="C9" i="4"/>
  <c r="C11" i="4" s="1"/>
  <c r="B12" i="2"/>
  <c r="D26" i="3"/>
  <c r="D18" i="4"/>
  <c r="B21" i="4"/>
  <c r="D37" i="3"/>
  <c r="G45" i="5"/>
  <c r="D13" i="4"/>
  <c r="B50" i="3"/>
  <c r="D23" i="4"/>
  <c r="AB22" i="7"/>
  <c r="AB56" i="7"/>
  <c r="AA16" i="7"/>
  <c r="D19" i="3"/>
  <c r="G31" i="3" l="1"/>
  <c r="D27" i="3"/>
  <c r="D45" i="3"/>
  <c r="D50" i="3" s="1"/>
  <c r="B43" i="3"/>
  <c r="C43" i="3"/>
  <c r="C49" i="3" s="1"/>
  <c r="D20" i="3"/>
  <c r="D31" i="3"/>
  <c r="B49" i="3"/>
  <c r="D17" i="4"/>
  <c r="D14" i="4"/>
  <c r="D9" i="4"/>
  <c r="C25" i="4"/>
  <c r="D30" i="2"/>
  <c r="D12" i="2"/>
  <c r="D24" i="2"/>
  <c r="B35" i="2"/>
  <c r="D39" i="2" s="1"/>
  <c r="B24" i="4"/>
  <c r="D21" i="4"/>
  <c r="G48" i="5"/>
  <c r="D11" i="4"/>
  <c r="AB81" i="7"/>
  <c r="AA56" i="7"/>
  <c r="AA81" i="7" s="1"/>
  <c r="AA22" i="7"/>
  <c r="AA15" i="7" s="1"/>
  <c r="AA49" i="7" s="1"/>
  <c r="AB15" i="7"/>
  <c r="AB49" i="7" s="1"/>
  <c r="C27" i="4" l="1"/>
  <c r="C30" i="4" s="1"/>
  <c r="C13" i="10"/>
  <c r="C25" i="10" s="1"/>
  <c r="D43" i="3"/>
  <c r="C31" i="4"/>
  <c r="D35" i="2"/>
  <c r="D40" i="2"/>
  <c r="D24" i="4"/>
  <c r="B25" i="4"/>
  <c r="B13" i="10" s="1"/>
  <c r="AB83" i="7"/>
  <c r="AB85" i="7" s="1"/>
  <c r="AB91" i="7" s="1"/>
  <c r="AA83" i="7"/>
  <c r="AA85" i="7" s="1"/>
  <c r="AA91" i="7" s="1"/>
  <c r="C58" i="10" l="1"/>
  <c r="C60" i="10" s="1"/>
  <c r="C29" i="4"/>
  <c r="G36" i="4"/>
  <c r="B25" i="10"/>
  <c r="D13" i="10"/>
  <c r="B27" i="4"/>
  <c r="D36" i="4" s="1"/>
  <c r="D25" i="4"/>
  <c r="B58" i="10" l="1"/>
  <c r="D25" i="10"/>
  <c r="B30" i="4"/>
  <c r="D27" i="4"/>
  <c r="B29" i="4"/>
  <c r="D29" i="4" s="1"/>
  <c r="B31" i="4"/>
  <c r="B60" i="10" l="1"/>
</calcChain>
</file>

<file path=xl/comments1.xml><?xml version="1.0" encoding="utf-8"?>
<comments xmlns="http://schemas.openxmlformats.org/spreadsheetml/2006/main">
  <authors>
    <author>c.komarichev</author>
    <author>z.makhanbetova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на отчетную дату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  <comment ref="B29" authorId="1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comments2.xml><?xml version="1.0" encoding="utf-8"?>
<comments xmlns="http://schemas.openxmlformats.org/spreadsheetml/2006/main">
  <authors>
    <author>z.makhanbetova</author>
  </authors>
  <commentList>
    <comment ref="AB24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628044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
</t>
        </r>
      </text>
    </comment>
    <comment ref="AB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61100101+61100102+6120+611003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AB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AB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AB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61500101+02+03-74300101+02+03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62500101+02+03-74300101+02+03</t>
        </r>
      </text>
    </comment>
    <comment ref="AB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62500101+02+03-74300101+02+03</t>
        </r>
      </text>
    </comment>
    <comment ref="K44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624001+62500104+05+06+07+625002+62800707 -74300104+05+06+07+743002+744001</t>
        </r>
      </text>
    </comment>
    <comment ref="K66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747045+747048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  <comment ref="K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  <comment ref="AB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</commentList>
</comments>
</file>

<file path=xl/comments3.xml><?xml version="1.0" encoding="utf-8"?>
<comments xmlns="http://schemas.openxmlformats.org/spreadsheetml/2006/main">
  <authors>
    <author>natalya.piksimova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natalya.piksimova:</t>
        </r>
        <r>
          <rPr>
            <sz val="8"/>
            <color indexed="81"/>
            <rFont val="Tahoma"/>
            <family val="2"/>
            <charset val="204"/>
          </rPr>
          <t xml:space="preserve">
изменение по 5440</t>
        </r>
      </text>
    </comment>
  </commentList>
</comments>
</file>

<file path=xl/sharedStrings.xml><?xml version="1.0" encoding="utf-8"?>
<sst xmlns="http://schemas.openxmlformats.org/spreadsheetml/2006/main" count="746" uniqueCount="437">
  <si>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</si>
  <si>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</si>
  <si>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</si>
  <si>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</si>
  <si>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</si>
  <si>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</si>
  <si>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</si>
  <si>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</si>
  <si>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</si>
  <si>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</si>
  <si>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</si>
  <si>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</si>
  <si>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</si>
  <si>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</si>
  <si>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</si>
  <si>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</si>
  <si>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</si>
  <si>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</si>
  <si>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</si>
  <si>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</si>
  <si>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</si>
  <si>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</si>
  <si>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</si>
  <si>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</si>
  <si>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</si>
  <si>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</si>
  <si>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</si>
  <si>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</si>
  <si>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</si>
  <si>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</si>
  <si>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</si>
  <si>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</si>
  <si>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Исполнитель Маханбетова З. Ж._________________________________________</t>
  </si>
  <si>
    <t>Форма №3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</si>
  <si>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</si>
  <si>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</si>
  <si>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</si>
  <si>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Движение денег от операционной деятельности</t>
  </si>
  <si>
    <t>Доход /(убыток) до расхода по подоходному налогу</t>
  </si>
  <si>
    <t>Корректировки на:</t>
  </si>
  <si>
    <t>Изменение в технических резервах, за вычетом доли перестраховщика</t>
  </si>
  <si>
    <t>Убыток от выбытия основных средств</t>
  </si>
  <si>
    <t>Прочие провизии</t>
  </si>
  <si>
    <t>(Увеличение)/уменьшение в операционных активах</t>
  </si>
  <si>
    <t>Соглашения обратное РЕПО</t>
  </si>
  <si>
    <t>Увеличение в операционных обязательств</t>
  </si>
  <si>
    <t>Чистое движение денег от операционной деятельности до уплаты подоходного налога</t>
  </si>
  <si>
    <t>Подоходный налог уплаченный</t>
  </si>
  <si>
    <t>Убытки (претензии) оплаченные</t>
  </si>
  <si>
    <t>Чистое движение денег, использованных в операционной деятельности</t>
  </si>
  <si>
    <t>Движение денег от инвестиционной деятельности</t>
  </si>
  <si>
    <t>Покупка (продажа) ценных бумаг, удерживаемых до погашения</t>
  </si>
  <si>
    <t>Приобретение основных средств</t>
  </si>
  <si>
    <t>Поступления от выбытия основных средств</t>
  </si>
  <si>
    <t>Чистое движение денег, использованных в инвестиционной деятельности</t>
  </si>
  <si>
    <t>Движение денег от финансовой деятельности</t>
  </si>
  <si>
    <t>Взносы в уставный капитал (выпуск акций)</t>
  </si>
  <si>
    <t>Прочие поступления и платежи</t>
  </si>
  <si>
    <t>Чистое движение денег от финансовой деятельности</t>
  </si>
  <si>
    <t>Изменение в деньгах и их эквивалентах</t>
  </si>
  <si>
    <t>Деньги и их эквиваленты на начало года</t>
  </si>
  <si>
    <t>Деньги и их эквиваленты на конец года</t>
  </si>
  <si>
    <t>Финансовый директор Колдасов А.И.   ______________________________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</si>
  <si>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</si>
  <si>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</si>
  <si>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</si>
  <si>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</si>
  <si>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</si>
  <si>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</si>
  <si>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</si>
  <si>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Сальдо на начало предыдущего периода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</si>
  <si>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</si>
  <si>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</si>
  <si>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</si>
  <si>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</si>
  <si>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</si>
  <si>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</si>
  <si>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</si>
  <si>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</si>
  <si>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</si>
  <si>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</si>
  <si>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</si>
  <si>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</si>
  <si>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</si>
  <si>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</si>
  <si>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</si>
  <si>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</si>
  <si>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</si>
  <si>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</si>
  <si>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</si>
  <si>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Телефон: 311-0-777</t>
  </si>
  <si>
    <t>Страховые премии, переданные на перестрахование</t>
  </si>
  <si>
    <t>35</t>
  </si>
  <si>
    <t>форма №2</t>
  </si>
  <si>
    <t>Отчет о совокупном доходе</t>
  </si>
  <si>
    <t>разница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</si>
  <si>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</si>
  <si>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</si>
  <si>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</si>
  <si>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=+5-6</t>
  </si>
  <si>
    <t>Заработанные страховые премии, за вычетом перестрахования</t>
  </si>
  <si>
    <t xml:space="preserve">Понесенные убытки, общая сумма </t>
  </si>
  <si>
    <t>19+20+22+24+29+31</t>
  </si>
  <si>
    <t xml:space="preserve">Понесенные убытки, доля перестраховщика </t>
  </si>
  <si>
    <t>21+30+32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</si>
  <si>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</si>
  <si>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</si>
  <si>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</si>
  <si>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</si>
  <si>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</si>
  <si>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</si>
  <si>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>10+11+12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</si>
  <si>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</si>
  <si>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</si>
  <si>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40-40.1-41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</si>
  <si>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</si>
  <si>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</si>
  <si>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</si>
  <si>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</si>
  <si>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</si>
  <si>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</si>
  <si>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3 со знаком минус</t>
  </si>
  <si>
    <t>равно строка 4</t>
  </si>
  <si>
    <t>равно строка 7</t>
  </si>
  <si>
    <t>Балансовая стоимость одной простой акции в тенге</t>
  </si>
  <si>
    <t xml:space="preserve">Форма №1 </t>
  </si>
  <si>
    <t>Бухгалтерский баланс</t>
  </si>
  <si>
    <t>страховой (перестраховочной) организации  АО СК "Лондон-Алматы"</t>
  </si>
  <si>
    <t>Примечание*</t>
  </si>
  <si>
    <t>на конец предыдущего года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</si>
  <si>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</si>
  <si>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</si>
  <si>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</si>
  <si>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</si>
  <si>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</si>
  <si>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</si>
  <si>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</si>
  <si>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</si>
  <si>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</si>
  <si>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</si>
  <si>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</si>
  <si>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</si>
  <si>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</si>
  <si>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</si>
  <si>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</si>
  <si>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</si>
  <si>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</si>
  <si>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</si>
  <si>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</si>
  <si>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</si>
  <si>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</si>
  <si>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ИТОГО АКТИВОВ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</si>
  <si>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</si>
  <si>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</si>
  <si>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</si>
  <si>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</si>
  <si>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339042, 339045, 33905401</t>
  </si>
  <si>
    <t>33904102, 33904103</t>
  </si>
  <si>
    <t>Расчеты с акционерами по дивидендам</t>
  </si>
  <si>
    <t>Счета к уплате по договорам страхования (перестрахования)</t>
  </si>
  <si>
    <t>339043, 339044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</si>
  <si>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</si>
  <si>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</si>
  <si>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</si>
  <si>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</si>
  <si>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</si>
  <si>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</si>
  <si>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ИТОГО ОБЯЗАТЕЛЬСТВА</t>
  </si>
  <si>
    <t>Уставный капитал (взносы учредителей)</t>
  </si>
  <si>
    <t>ИТОГО КАПИТАЛ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</si>
  <si>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</si>
  <si>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</si>
  <si>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 Бегимбетов Е.Н. ___________________________</t>
  </si>
  <si>
    <t>Главный бухгалтер Маханбетова З. Ж.   ______________________________</t>
  </si>
  <si>
    <t>Телефон: 311 0-777</t>
  </si>
  <si>
    <t xml:space="preserve">Форма №2 </t>
  </si>
  <si>
    <t>Отчет о доходах и расходах</t>
  </si>
  <si>
    <t>Код строки</t>
  </si>
  <si>
    <t xml:space="preserve">за отчетный период </t>
  </si>
  <si>
    <t>за аналогичный 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</si>
  <si>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</si>
  <si>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</si>
  <si>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</si>
  <si>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</si>
  <si>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</si>
  <si>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</si>
  <si>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</si>
  <si>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</si>
  <si>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</si>
  <si>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</si>
  <si>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</si>
  <si>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</si>
  <si>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</si>
  <si>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</si>
  <si>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61100101+61100102+6120</t>
  </si>
  <si>
    <t>доходы в виде вознаграждения по размещенным вкладам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</si>
  <si>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</si>
  <si>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</si>
  <si>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615003+621003-747006-741003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</si>
  <si>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</si>
  <si>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</si>
  <si>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операций с производными  инструментами</t>
  </si>
  <si>
    <t>Доходы (расходы) от переоценки (нетто):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</si>
  <si>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</si>
  <si>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615001-747003</t>
  </si>
  <si>
    <t>доходы (расходы) от переоценки иностранной валюты (нетто)</t>
  </si>
  <si>
    <t>61500101+02+03-74300101+02+03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</si>
  <si>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</si>
  <si>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</si>
  <si>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</si>
  <si>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</si>
  <si>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62500104+05+06+07+625002+62800707 -74300104+05+06+07+743002</t>
  </si>
  <si>
    <t>Доходы от иной деятельности</t>
  </si>
  <si>
    <t>Доходы (расходы) от реализации активов и получения (передачи) активов</t>
  </si>
  <si>
    <t>621002-741002</t>
  </si>
  <si>
    <t>Прочие доходы от иной деятельности</t>
  </si>
  <si>
    <t>Прочие доходы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</si>
  <si>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</si>
  <si>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</si>
  <si>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</si>
  <si>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</si>
  <si>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</si>
  <si>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</si>
  <si>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</si>
  <si>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</si>
  <si>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</si>
  <si>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</si>
  <si>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</si>
  <si>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</si>
  <si>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</si>
  <si>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</si>
  <si>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</si>
  <si>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 произошедших убытков по договорам страхования (перестрахования) жизни</t>
  </si>
  <si>
    <t>25</t>
  </si>
  <si>
    <t xml:space="preserve">Изменение активов перестрахования по не произошедшим убыткам по договорам страхования (перестрахования) жизни   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</si>
  <si>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</si>
  <si>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</si>
  <si>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</si>
  <si>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 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</si>
  <si>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</si>
  <si>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</si>
  <si>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</si>
  <si>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 xml:space="preserve">Изменение активов перестрахования по произошедшим, но незаявленным убыткам </t>
  </si>
  <si>
    <t>30</t>
  </si>
  <si>
    <t>Изменение резерва заявленных, но неурегулированных убытков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</si>
  <si>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</si>
  <si>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</si>
  <si>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</si>
  <si>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</si>
  <si>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</si>
  <si>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</si>
  <si>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</si>
  <si>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</si>
  <si>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</si>
  <si>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</si>
  <si>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</si>
  <si>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</si>
  <si>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624001+-744003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</si>
  <si>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</si>
  <si>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</si>
  <si>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</si>
  <si>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</si>
  <si>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</si>
  <si>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</si>
  <si>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(кроме корпоративного подоходного налога) </t>
  </si>
  <si>
    <t>40.2</t>
  </si>
  <si>
    <t>расходы по текущей аренде</t>
  </si>
  <si>
    <t>40.3</t>
  </si>
  <si>
    <t>амортизационные отчисления и износ</t>
  </si>
  <si>
    <t>41</t>
  </si>
  <si>
    <t xml:space="preserve">Прочие расходы </t>
  </si>
  <si>
    <t>42</t>
  </si>
  <si>
    <t>Итого расходов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</si>
  <si>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</si>
  <si>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</si>
  <si>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</t>
  </si>
  <si>
    <t>от основной деятельности</t>
  </si>
  <si>
    <t xml:space="preserve"> от иной деятельности</t>
  </si>
  <si>
    <t>Итого Чистая прибыль (убыток) после уплаты налогов</t>
  </si>
  <si>
    <t>Прибыль (убыток) до налогообложения</t>
  </si>
  <si>
    <t>Корректировки на неденежные операционные статьи: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</si>
  <si>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</si>
  <si>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</si>
  <si>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</si>
  <si>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</si>
  <si>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</si>
  <si>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</si>
  <si>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</si>
  <si>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</si>
  <si>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</si>
  <si>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</si>
  <si>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</si>
  <si>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</si>
  <si>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</si>
  <si>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11-1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</si>
  <si>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</si>
  <si>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</si>
  <si>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</si>
  <si>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</si>
  <si>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</si>
  <si>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</si>
  <si>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</si>
  <si>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</si>
  <si>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</si>
  <si>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</si>
  <si>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</si>
  <si>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</si>
  <si>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</si>
  <si>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</si>
  <si>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</si>
  <si>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</si>
  <si>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</si>
  <si>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</si>
  <si>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</si>
  <si>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</si>
  <si>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</si>
  <si>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</si>
  <si>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</si>
  <si>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</si>
  <si>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</si>
  <si>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</si>
  <si>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</si>
  <si>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</si>
  <si>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</si>
  <si>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</si>
  <si>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</si>
  <si>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</si>
  <si>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</si>
  <si>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</si>
  <si>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</si>
  <si>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</si>
  <si>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</si>
  <si>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>15+16-36-37-38-39</t>
  </si>
  <si>
    <t>12+13+14+15</t>
  </si>
  <si>
    <t>22+23+24</t>
  </si>
  <si>
    <t>с опу резервы</t>
  </si>
  <si>
    <t xml:space="preserve">разница - это сумма на кастодиальном счете </t>
  </si>
  <si>
    <t>Резерв непредвиденных рисков</t>
  </si>
  <si>
    <t>Стабилизационный резерв</t>
  </si>
  <si>
    <t>57</t>
  </si>
  <si>
    <t>Заместитель Председателя Правления Прманшаева Г. М. ___________________________</t>
  </si>
  <si>
    <t xml:space="preserve">Председатель Правления Ахметжанова Д. Д. </t>
  </si>
  <si>
    <t>Денежные средства и эквиваленты денежных средств</t>
  </si>
  <si>
    <t>Операции «обратное РЕПО»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</si>
  <si>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</si>
  <si>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</si>
  <si>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Запасы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</si>
  <si>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</si>
  <si>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</si>
  <si>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Расчеты с перестраховщиками</t>
  </si>
  <si>
    <t>Расчеты с посредниками по страховой (перестраховочной) деятельности</t>
  </si>
  <si>
    <t>Операции «РЕПО»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</si>
  <si>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</si>
  <si>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</si>
  <si>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</si>
  <si>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Прочие резервы</t>
  </si>
  <si>
    <t>Нераспределенная прибыль (непокрытый убыток)</t>
  </si>
  <si>
    <t>предыдущих лет</t>
  </si>
  <si>
    <t>отчетного периода</t>
  </si>
  <si>
    <t>Главный бухгалтер Усенова М.О.</t>
  </si>
  <si>
    <t>Исполнитель Усенова М.О.</t>
  </si>
  <si>
    <t>Изменение активов перестрахования по незаработанным премиям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</si>
  <si>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</si>
  <si>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</si>
  <si>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</si>
  <si>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</si>
  <si>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</si>
  <si>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имеющихся в наличии для продажи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</si>
  <si>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</si>
  <si>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</si>
  <si>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</si>
  <si>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</si>
  <si>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произошедшим, но незаявленным убыткам</t>
  </si>
  <si>
    <t>Изменение активов перестрахования по заявленным, но неурегулированным убыткам</t>
  </si>
  <si>
    <t>Расходы, связанные с расторжением договора страхования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</si>
  <si>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</si>
  <si>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</si>
  <si>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</si>
  <si>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</si>
  <si>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</si>
  <si>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</si>
  <si>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</si>
  <si>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от иной деятельности</t>
  </si>
  <si>
    <t>Итого чистая прибыль (убыток) после уплаты налогов</t>
  </si>
  <si>
    <t>Капитал родительской организации</t>
  </si>
  <si>
    <t>Доля меньшинства</t>
  </si>
  <si>
    <t>Итого капитал</t>
  </si>
  <si>
    <t>Всего</t>
  </si>
  <si>
    <t>Изменения в учетной политике и корректировки фундаментальных ошибок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</si>
  <si>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</si>
  <si>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</si>
  <si>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Данные по Балансу</t>
  </si>
  <si>
    <t>Сверка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</si>
  <si>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</si>
  <si>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</si>
  <si>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</si>
  <si>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</si>
  <si>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</si>
  <si>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</si>
  <si>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</si>
  <si>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</si>
  <si>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</si>
  <si>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</si>
  <si>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</si>
  <si>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</si>
  <si>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</si>
  <si>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</si>
  <si>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</si>
  <si>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</si>
  <si>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</si>
  <si>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</si>
  <si>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</si>
  <si>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</si>
  <si>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</si>
  <si>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</si>
  <si>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</si>
  <si>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</si>
  <si>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</si>
  <si>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</si>
  <si>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</si>
  <si>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</si>
  <si>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</si>
  <si>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</si>
  <si>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</si>
  <si>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</si>
  <si>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</si>
  <si>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</si>
  <si>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</si>
  <si>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</si>
  <si>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</si>
  <si>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</si>
  <si>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</si>
  <si>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</si>
  <si>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</si>
  <si>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</si>
  <si>
    <t>по состоянию на 01 октября 2016 года</t>
  </si>
  <si>
    <t xml:space="preserve">Форма №3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</si>
</sst>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_-;\-* #,##0_-;_-* &quot;-&quot;??_-;_-@_-"/>
    <numFmt numFmtId="168" formatCode="\О\с\н\о\в\н\о\й"/>
  </numFmts>
  <fonts count="55" x14ac:knownFonts="1"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Times New Roman"/>
      <family val="1"/>
    </font>
    <font>
      <b/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27" borderId="9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28" borderId="15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1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28" fillId="32" borderId="0" applyNumberFormat="0" applyBorder="0" applyAlignment="0" applyProtection="0"/>
    <xf numFmtId="0" fontId="2" fillId="0" borderId="0"/>
  </cellStyleXfs>
  <cellXfs count="474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top"/>
      <protection locked="0"/>
    </xf>
    <xf numFmtId="3" fontId="1" fillId="0" borderId="0" xfId="3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 applyProtection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29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3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37" applyFont="1" applyFill="1" applyBorder="1" applyAlignment="1">
      <alignment vertical="top"/>
    </xf>
    <xf numFmtId="0" fontId="7" fillId="0" borderId="1" xfId="37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37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vertical="top"/>
    </xf>
    <xf numFmtId="3" fontId="7" fillId="0" borderId="0" xfId="37" applyNumberFormat="1" applyFont="1" applyFill="1" applyBorder="1" applyAlignment="1">
      <alignment horizontal="center" vertical="top"/>
    </xf>
    <xf numFmtId="0" fontId="7" fillId="0" borderId="0" xfId="38" applyFont="1" applyFill="1" applyBorder="1"/>
    <xf numFmtId="0" fontId="7" fillId="0" borderId="0" xfId="0" applyFont="1" applyFill="1" applyAlignment="1" applyProtection="1">
      <alignment vertical="top"/>
      <protection locked="0"/>
    </xf>
    <xf numFmtId="3" fontId="31" fillId="0" borderId="0" xfId="0" applyNumberFormat="1" applyFont="1" applyFill="1" applyAlignment="1" applyProtection="1">
      <alignment horizontal="center" vertical="top"/>
      <protection locked="0"/>
    </xf>
    <xf numFmtId="3" fontId="7" fillId="0" borderId="0" xfId="0" applyNumberFormat="1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3" fontId="8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center" vertical="top"/>
    </xf>
    <xf numFmtId="3" fontId="32" fillId="0" borderId="0" xfId="0" applyNumberFormat="1" applyFont="1" applyFill="1" applyAlignment="1">
      <alignment horizontal="center" vertical="top"/>
    </xf>
    <xf numFmtId="3" fontId="33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>
      <alignment horizontal="center" vertical="top"/>
    </xf>
    <xf numFmtId="3" fontId="32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0" fontId="32" fillId="0" borderId="1" xfId="37" applyFont="1" applyFill="1" applyBorder="1" applyAlignment="1">
      <alignment vertical="top"/>
    </xf>
    <xf numFmtId="167" fontId="32" fillId="0" borderId="1" xfId="44" applyNumberFormat="1" applyFont="1" applyFill="1" applyBorder="1" applyAlignment="1">
      <alignment horizontal="left" vertical="top"/>
    </xf>
    <xf numFmtId="167" fontId="32" fillId="0" borderId="1" xfId="44" applyNumberFormat="1" applyFont="1" applyFill="1" applyBorder="1" applyAlignment="1" applyProtection="1">
      <alignment horizontal="left" vertical="top"/>
    </xf>
    <xf numFmtId="3" fontId="7" fillId="0" borderId="1" xfId="37" applyNumberFormat="1" applyFont="1" applyFill="1" applyBorder="1" applyAlignment="1">
      <alignment horizontal="center" vertical="top"/>
    </xf>
    <xf numFmtId="0" fontId="7" fillId="0" borderId="0" xfId="37" applyFont="1" applyFill="1" applyAlignment="1">
      <alignment vertical="top"/>
    </xf>
    <xf numFmtId="0" fontId="32" fillId="0" borderId="1" xfId="0" applyFont="1" applyFill="1" applyBorder="1" applyAlignment="1">
      <alignment horizontal="left" vertical="top"/>
    </xf>
    <xf numFmtId="0" fontId="32" fillId="0" borderId="1" xfId="37" applyFont="1" applyFill="1" applyBorder="1" applyAlignment="1">
      <alignment horizontal="left" vertical="top"/>
    </xf>
    <xf numFmtId="0" fontId="32" fillId="0" borderId="1" xfId="0" applyFont="1" applyFill="1" applyBorder="1" applyAlignment="1">
      <alignment vertical="top"/>
    </xf>
    <xf numFmtId="0" fontId="32" fillId="0" borderId="4" xfId="37" applyFont="1" applyFill="1" applyBorder="1" applyAlignment="1">
      <alignment vertical="top"/>
    </xf>
    <xf numFmtId="0" fontId="32" fillId="0" borderId="4" xfId="0" applyFont="1" applyFill="1" applyBorder="1" applyAlignment="1">
      <alignment horizontal="center" vertical="top"/>
    </xf>
    <xf numFmtId="167" fontId="32" fillId="0" borderId="4" xfId="44" applyNumberFormat="1" applyFont="1" applyFill="1" applyBorder="1" applyAlignment="1">
      <alignment horizontal="left" vertical="top"/>
    </xf>
    <xf numFmtId="167" fontId="32" fillId="0" borderId="2" xfId="44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32" fillId="0" borderId="1" xfId="0" applyNumberFormat="1" applyFont="1" applyFill="1" applyBorder="1" applyAlignment="1">
      <alignment horizontal="center" vertical="top"/>
    </xf>
    <xf numFmtId="167" fontId="32" fillId="0" borderId="1" xfId="44" applyNumberFormat="1" applyFont="1" applyFill="1" applyBorder="1" applyAlignment="1" applyProtection="1">
      <alignment horizontal="left" vertical="top"/>
      <protection locked="0"/>
    </xf>
    <xf numFmtId="0" fontId="32" fillId="0" borderId="5" xfId="0" applyFont="1" applyFill="1" applyBorder="1" applyAlignment="1">
      <alignment horizontal="left" vertical="top" indent="1"/>
    </xf>
    <xf numFmtId="49" fontId="32" fillId="0" borderId="5" xfId="0" applyNumberFormat="1" applyFont="1" applyFill="1" applyBorder="1" applyAlignment="1">
      <alignment horizontal="center" vertical="top"/>
    </xf>
    <xf numFmtId="167" fontId="32" fillId="0" borderId="5" xfId="44" applyNumberFormat="1" applyFont="1" applyFill="1" applyBorder="1" applyAlignment="1">
      <alignment horizontal="left" vertical="top"/>
    </xf>
    <xf numFmtId="167" fontId="32" fillId="0" borderId="6" xfId="44" applyNumberFormat="1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 indent="1"/>
    </xf>
    <xf numFmtId="167" fontId="32" fillId="0" borderId="7" xfId="44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 wrapText="1"/>
    </xf>
    <xf numFmtId="0" fontId="33" fillId="0" borderId="1" xfId="0" applyNumberFormat="1" applyFont="1" applyFill="1" applyBorder="1" applyAlignment="1">
      <alignment horizontal="center" vertical="top"/>
    </xf>
    <xf numFmtId="167" fontId="33" fillId="0" borderId="7" xfId="44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 indent="1"/>
    </xf>
    <xf numFmtId="0" fontId="32" fillId="0" borderId="1" xfId="0" applyFont="1" applyFill="1" applyBorder="1" applyAlignment="1">
      <alignment horizontal="left" vertical="top" wrapText="1" indent="1"/>
    </xf>
    <xf numFmtId="49" fontId="32" fillId="0" borderId="1" xfId="0" applyNumberFormat="1" applyFont="1" applyFill="1" applyBorder="1" applyAlignment="1">
      <alignment horizontal="center" vertical="top"/>
    </xf>
    <xf numFmtId="0" fontId="7" fillId="0" borderId="1" xfId="37" applyFont="1" applyFill="1" applyBorder="1" applyAlignment="1">
      <alignment horizontal="left" vertical="top" indent="1"/>
    </xf>
    <xf numFmtId="0" fontId="32" fillId="0" borderId="1" xfId="37" applyFont="1" applyFill="1" applyBorder="1" applyAlignment="1">
      <alignment horizontal="left" vertical="top" indent="1"/>
    </xf>
    <xf numFmtId="0" fontId="32" fillId="0" borderId="1" xfId="0" applyFont="1" applyFill="1" applyBorder="1" applyAlignment="1">
      <alignment horizontal="left" vertical="top" wrapText="1"/>
    </xf>
    <xf numFmtId="0" fontId="7" fillId="0" borderId="1" xfId="37" applyFont="1" applyFill="1" applyBorder="1" applyAlignment="1">
      <alignment horizontal="left" vertical="top" wrapText="1" indent="1"/>
    </xf>
    <xf numFmtId="0" fontId="32" fillId="0" borderId="1" xfId="37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vertical="top"/>
    </xf>
    <xf numFmtId="49" fontId="32" fillId="0" borderId="7" xfId="37" applyNumberFormat="1" applyFont="1" applyFill="1" applyBorder="1" applyAlignment="1">
      <alignment horizontal="center" vertical="top"/>
    </xf>
    <xf numFmtId="0" fontId="7" fillId="0" borderId="1" xfId="37" applyFont="1" applyFill="1" applyBorder="1" applyAlignment="1">
      <alignment vertical="top" wrapText="1"/>
    </xf>
    <xf numFmtId="0" fontId="32" fillId="0" borderId="1" xfId="37" applyFont="1" applyFill="1" applyBorder="1" applyAlignment="1">
      <alignment vertical="top" wrapText="1"/>
    </xf>
    <xf numFmtId="0" fontId="32" fillId="0" borderId="1" xfId="37" applyFont="1" applyFill="1" applyBorder="1" applyAlignment="1">
      <alignment horizontal="left" vertical="top" wrapText="1"/>
    </xf>
    <xf numFmtId="167" fontId="32" fillId="0" borderId="7" xfId="44" applyNumberFormat="1" applyFont="1" applyFill="1" applyBorder="1" applyAlignment="1" applyProtection="1">
      <alignment horizontal="left" vertical="top"/>
      <protection locked="0"/>
    </xf>
    <xf numFmtId="0" fontId="3" fillId="0" borderId="1" xfId="37" applyFont="1" applyFill="1" applyBorder="1" applyAlignment="1">
      <alignment vertical="top"/>
    </xf>
    <xf numFmtId="0" fontId="33" fillId="0" borderId="1" xfId="37" applyFont="1" applyFill="1" applyBorder="1" applyAlignment="1">
      <alignment vertical="top"/>
    </xf>
    <xf numFmtId="49" fontId="33" fillId="0" borderId="7" xfId="37" applyNumberFormat="1" applyFont="1" applyFill="1" applyBorder="1" applyAlignment="1">
      <alignment horizontal="center" vertical="top"/>
    </xf>
    <xf numFmtId="49" fontId="34" fillId="0" borderId="7" xfId="37" applyNumberFormat="1" applyFont="1" applyFill="1" applyBorder="1" applyAlignment="1">
      <alignment horizontal="center" vertical="top"/>
    </xf>
    <xf numFmtId="0" fontId="3" fillId="0" borderId="1" xfId="37" applyFont="1" applyFill="1" applyBorder="1" applyAlignment="1">
      <alignment horizontal="center" vertical="top"/>
    </xf>
    <xf numFmtId="0" fontId="33" fillId="0" borderId="1" xfId="37" applyFont="1" applyFill="1" applyBorder="1" applyAlignment="1">
      <alignment horizontal="center" vertical="top"/>
    </xf>
    <xf numFmtId="0" fontId="7" fillId="0" borderId="1" xfId="37" applyFont="1" applyFill="1" applyBorder="1" applyAlignment="1">
      <alignment horizontal="center" vertical="top"/>
    </xf>
    <xf numFmtId="0" fontId="32" fillId="0" borderId="1" xfId="37" applyFont="1" applyFill="1" applyBorder="1" applyAlignment="1">
      <alignment horizontal="center" vertical="top"/>
    </xf>
    <xf numFmtId="0" fontId="1" fillId="0" borderId="1" xfId="37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3" fontId="29" fillId="0" borderId="0" xfId="0" applyNumberFormat="1" applyFont="1" applyFill="1" applyAlignment="1" applyProtection="1">
      <alignment horizontal="center" vertical="top"/>
      <protection locked="0"/>
    </xf>
    <xf numFmtId="0" fontId="32" fillId="0" borderId="0" xfId="0" applyFont="1" applyFill="1" applyBorder="1" applyAlignment="1">
      <alignment vertical="top"/>
    </xf>
    <xf numFmtId="0" fontId="36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3" fontId="37" fillId="0" borderId="0" xfId="0" applyNumberFormat="1" applyFont="1" applyFill="1" applyAlignment="1" applyProtection="1">
      <alignment horizontal="center" vertical="top"/>
      <protection locked="0"/>
    </xf>
    <xf numFmtId="3" fontId="29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Alignment="1" applyProtection="1">
      <alignment horizontal="center" vertical="top"/>
      <protection locked="0"/>
    </xf>
    <xf numFmtId="0" fontId="32" fillId="0" borderId="0" xfId="38" applyFont="1" applyFill="1" applyBorder="1"/>
    <xf numFmtId="3" fontId="37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Alignment="1">
      <alignment horizontal="center" vertical="top"/>
    </xf>
    <xf numFmtId="0" fontId="35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center" vertical="top"/>
      <protection locked="0"/>
    </xf>
    <xf numFmtId="3" fontId="29" fillId="0" borderId="0" xfId="37" applyNumberFormat="1" applyFont="1" applyFill="1" applyBorder="1" applyAlignment="1">
      <alignment horizontal="center" vertical="top"/>
    </xf>
    <xf numFmtId="3" fontId="38" fillId="0" borderId="0" xfId="0" applyNumberFormat="1" applyFont="1" applyFill="1" applyAlignment="1" applyProtection="1">
      <alignment horizontal="center" vertical="top"/>
      <protection locked="0"/>
    </xf>
    <xf numFmtId="3" fontId="38" fillId="0" borderId="0" xfId="37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3" fontId="32" fillId="0" borderId="0" xfId="0" applyNumberFormat="1" applyFont="1" applyFill="1" applyAlignment="1" applyProtection="1">
      <alignment horizontal="center" vertical="top"/>
      <protection locked="0"/>
    </xf>
    <xf numFmtId="3" fontId="32" fillId="0" borderId="0" xfId="37" applyNumberFormat="1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vertical="top"/>
    </xf>
    <xf numFmtId="3" fontId="11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11" fillId="0" borderId="7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168" fontId="7" fillId="0" borderId="1" xfId="36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7" fillId="0" borderId="1" xfId="38" applyFont="1" applyFill="1" applyBorder="1" applyAlignment="1" applyProtection="1">
      <alignment horizontal="center" vertical="top"/>
    </xf>
    <xf numFmtId="3" fontId="7" fillId="0" borderId="1" xfId="38" applyNumberFormat="1" applyFont="1" applyFill="1" applyBorder="1" applyAlignment="1" applyProtection="1">
      <alignment horizontal="center" vertical="top"/>
      <protection locked="0"/>
    </xf>
    <xf numFmtId="0" fontId="3" fillId="33" borderId="3" xfId="38" applyFont="1" applyFill="1" applyBorder="1" applyAlignment="1" applyProtection="1">
      <alignment horizontal="left" vertical="top" wrapText="1"/>
    </xf>
    <xf numFmtId="0" fontId="3" fillId="33" borderId="1" xfId="38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3" fillId="33" borderId="1" xfId="0" applyFont="1" applyFill="1" applyBorder="1" applyAlignment="1" applyProtection="1">
      <alignment vertical="top" wrapText="1"/>
    </xf>
    <xf numFmtId="0" fontId="3" fillId="33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/>
    </xf>
    <xf numFmtId="0" fontId="7" fillId="0" borderId="0" xfId="38" applyFont="1" applyFill="1" applyBorder="1" applyProtection="1"/>
    <xf numFmtId="0" fontId="29" fillId="0" borderId="0" xfId="0" applyFont="1" applyFill="1" applyAlignment="1" applyProtection="1">
      <alignment horizontal="center" vertical="top"/>
    </xf>
    <xf numFmtId="0" fontId="7" fillId="0" borderId="0" xfId="38" applyFont="1" applyFill="1" applyBorder="1" applyProtection="1"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Protection="1">
      <protection locked="0"/>
    </xf>
    <xf numFmtId="49" fontId="7" fillId="0" borderId="1" xfId="37" applyNumberFormat="1" applyFont="1" applyFill="1" applyBorder="1" applyAlignment="1">
      <alignment horizontal="center" vertical="top"/>
    </xf>
    <xf numFmtId="3" fontId="3" fillId="0" borderId="1" xfId="37" applyNumberFormat="1" applyFont="1" applyFill="1" applyBorder="1" applyAlignment="1">
      <alignment horizontal="center" vertical="top"/>
    </xf>
    <xf numFmtId="49" fontId="3" fillId="0" borderId="1" xfId="37" applyNumberFormat="1" applyFont="1" applyFill="1" applyBorder="1" applyAlignment="1">
      <alignment horizontal="center" vertical="top"/>
    </xf>
    <xf numFmtId="49" fontId="10" fillId="0" borderId="1" xfId="37" applyNumberFormat="1" applyFont="1" applyFill="1" applyBorder="1" applyAlignment="1">
      <alignment horizontal="center" vertical="top"/>
    </xf>
    <xf numFmtId="3" fontId="7" fillId="34" borderId="1" xfId="0" applyNumberFormat="1" applyFont="1" applyFill="1" applyBorder="1" applyAlignment="1" applyProtection="1">
      <alignment horizontal="center" vertical="top"/>
    </xf>
    <xf numFmtId="3" fontId="7" fillId="34" borderId="1" xfId="0" applyNumberFormat="1" applyFont="1" applyFill="1" applyBorder="1" applyAlignment="1" applyProtection="1">
      <alignment horizontal="center" vertical="top"/>
      <protection locked="0"/>
    </xf>
    <xf numFmtId="3" fontId="7" fillId="34" borderId="1" xfId="0" applyNumberFormat="1" applyFont="1" applyFill="1" applyBorder="1" applyAlignment="1">
      <alignment horizontal="center" vertical="top"/>
    </xf>
    <xf numFmtId="3" fontId="7" fillId="34" borderId="1" xfId="37" applyNumberFormat="1" applyFont="1" applyFill="1" applyBorder="1" applyAlignment="1">
      <alignment horizontal="center" vertical="top"/>
    </xf>
    <xf numFmtId="3" fontId="3" fillId="34" borderId="1" xfId="37" applyNumberFormat="1" applyFont="1" applyFill="1" applyBorder="1" applyAlignment="1">
      <alignment horizontal="center" vertical="top"/>
    </xf>
    <xf numFmtId="3" fontId="1" fillId="34" borderId="1" xfId="0" applyNumberFormat="1" applyFont="1" applyFill="1" applyBorder="1" applyAlignment="1">
      <alignment horizontal="center" vertical="top"/>
    </xf>
    <xf numFmtId="3" fontId="7" fillId="35" borderId="1" xfId="0" applyNumberFormat="1" applyFont="1" applyFill="1" applyBorder="1" applyAlignment="1" applyProtection="1">
      <alignment horizontal="center" vertical="top"/>
    </xf>
    <xf numFmtId="3" fontId="7" fillId="35" borderId="1" xfId="37" applyNumberFormat="1" applyFont="1" applyFill="1" applyBorder="1" applyAlignment="1">
      <alignment horizontal="center" vertical="top"/>
    </xf>
    <xf numFmtId="3" fontId="3" fillId="35" borderId="1" xfId="0" applyNumberFormat="1" applyFont="1" applyFill="1" applyBorder="1" applyAlignment="1">
      <alignment horizontal="center" vertical="top"/>
    </xf>
    <xf numFmtId="3" fontId="7" fillId="35" borderId="1" xfId="0" applyNumberFormat="1" applyFont="1" applyFill="1" applyBorder="1" applyAlignment="1">
      <alignment horizontal="center" vertical="top"/>
    </xf>
    <xf numFmtId="3" fontId="3" fillId="34" borderId="1" xfId="0" applyNumberFormat="1" applyFont="1" applyFill="1" applyBorder="1" applyAlignment="1">
      <alignment horizontal="center" vertical="top"/>
    </xf>
    <xf numFmtId="0" fontId="7" fillId="34" borderId="1" xfId="0" applyFont="1" applyFill="1" applyBorder="1" applyAlignment="1">
      <alignment horizontal="center" vertical="top"/>
    </xf>
    <xf numFmtId="3" fontId="7" fillId="36" borderId="1" xfId="37" applyNumberFormat="1" applyFont="1" applyFill="1" applyBorder="1" applyAlignment="1">
      <alignment horizontal="center" vertical="top"/>
    </xf>
    <xf numFmtId="49" fontId="7" fillId="35" borderId="1" xfId="37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3" fontId="1" fillId="36" borderId="1" xfId="0" applyNumberFormat="1" applyFont="1" applyFill="1" applyBorder="1" applyAlignment="1">
      <alignment horizontal="center" vertical="top"/>
    </xf>
    <xf numFmtId="3" fontId="7" fillId="37" borderId="1" xfId="37" applyNumberFormat="1" applyFont="1" applyFill="1" applyBorder="1" applyAlignment="1">
      <alignment horizontal="center" vertical="top"/>
    </xf>
    <xf numFmtId="3" fontId="3" fillId="35" borderId="1" xfId="37" applyNumberFormat="1" applyFont="1" applyFill="1" applyBorder="1" applyAlignment="1">
      <alignment horizontal="center" vertical="top"/>
    </xf>
    <xf numFmtId="3" fontId="0" fillId="0" borderId="0" xfId="0" applyNumberFormat="1"/>
    <xf numFmtId="3" fontId="7" fillId="38" borderId="1" xfId="0" applyNumberFormat="1" applyFont="1" applyFill="1" applyBorder="1" applyAlignment="1" applyProtection="1">
      <alignment horizontal="center" vertical="top"/>
    </xf>
    <xf numFmtId="3" fontId="7" fillId="38" borderId="1" xfId="37" applyNumberFormat="1" applyFont="1" applyFill="1" applyBorder="1" applyAlignment="1">
      <alignment horizontal="center" vertical="top"/>
    </xf>
    <xf numFmtId="0" fontId="41" fillId="0" borderId="0" xfId="0" applyFont="1" applyFill="1"/>
    <xf numFmtId="164" fontId="36" fillId="0" borderId="0" xfId="44" applyFont="1" applyFill="1"/>
    <xf numFmtId="0" fontId="41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vertical="top" wrapText="1"/>
    </xf>
    <xf numFmtId="165" fontId="42" fillId="0" borderId="18" xfId="44" applyNumberFormat="1" applyFont="1" applyFill="1" applyBorder="1" applyAlignment="1">
      <alignment horizontal="right" vertical="top" wrapText="1"/>
    </xf>
    <xf numFmtId="0" fontId="41" fillId="0" borderId="18" xfId="0" applyFont="1" applyFill="1" applyBorder="1" applyAlignment="1">
      <alignment vertical="top" wrapText="1"/>
    </xf>
    <xf numFmtId="165" fontId="32" fillId="0" borderId="18" xfId="44" applyNumberFormat="1" applyFont="1" applyFill="1" applyBorder="1" applyAlignment="1">
      <alignment horizontal="right" vertical="top" wrapText="1"/>
    </xf>
    <xf numFmtId="165" fontId="33" fillId="0" borderId="18" xfId="44" applyNumberFormat="1" applyFont="1" applyFill="1" applyBorder="1" applyAlignment="1">
      <alignment horizontal="right" vertical="top" wrapText="1"/>
    </xf>
    <xf numFmtId="165" fontId="32" fillId="0" borderId="0" xfId="44" applyNumberFormat="1" applyFont="1" applyFill="1"/>
    <xf numFmtId="0" fontId="43" fillId="0" borderId="1" xfId="0" applyFont="1" applyFill="1" applyBorder="1" applyAlignment="1">
      <alignment wrapText="1"/>
    </xf>
    <xf numFmtId="164" fontId="32" fillId="0" borderId="1" xfId="44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wrapText="1"/>
    </xf>
    <xf numFmtId="164" fontId="32" fillId="0" borderId="0" xfId="44" applyNumberFormat="1" applyFont="1" applyFill="1" applyBorder="1" applyAlignment="1">
      <alignment horizontal="center" vertical="top"/>
    </xf>
    <xf numFmtId="0" fontId="32" fillId="0" borderId="0" xfId="0" applyFont="1" applyFill="1" applyAlignment="1" applyProtection="1">
      <alignment horizontal="left" vertical="top"/>
      <protection locked="0"/>
    </xf>
    <xf numFmtId="0" fontId="36" fillId="0" borderId="0" xfId="0" applyFont="1" applyFill="1" applyAlignment="1" applyProtection="1">
      <alignment vertical="top"/>
      <protection locked="0"/>
    </xf>
    <xf numFmtId="3" fontId="36" fillId="0" borderId="0" xfId="0" applyNumberFormat="1" applyFont="1" applyFill="1" applyAlignment="1" applyProtection="1">
      <alignment horizontal="center" vertical="top"/>
      <protection locked="0"/>
    </xf>
    <xf numFmtId="0" fontId="36" fillId="0" borderId="0" xfId="0" applyFont="1" applyFill="1" applyProtection="1">
      <protection locked="0"/>
    </xf>
    <xf numFmtId="0" fontId="32" fillId="0" borderId="0" xfId="0" applyFont="1" applyFill="1" applyAlignment="1">
      <alignment horizontal="left"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33" fillId="0" borderId="0" xfId="0" applyFont="1" applyFill="1" applyAlignment="1" applyProtection="1">
      <alignment horizontal="left" vertical="top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3" fontId="32" fillId="0" borderId="1" xfId="0" applyNumberFormat="1" applyFont="1" applyFill="1" applyBorder="1" applyAlignment="1">
      <alignment horizontal="right"/>
    </xf>
    <xf numFmtId="3" fontId="32" fillId="0" borderId="1" xfId="44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vertical="top"/>
    </xf>
    <xf numFmtId="0" fontId="43" fillId="0" borderId="1" xfId="0" applyFont="1" applyFill="1" applyBorder="1" applyAlignment="1">
      <alignment horizontal="left" wrapText="1"/>
    </xf>
    <xf numFmtId="3" fontId="33" fillId="0" borderId="1" xfId="0" applyNumberFormat="1" applyFont="1" applyFill="1" applyBorder="1" applyAlignment="1">
      <alignment horizontal="right"/>
    </xf>
    <xf numFmtId="3" fontId="33" fillId="0" borderId="1" xfId="44" applyNumberFormat="1" applyFont="1" applyFill="1" applyBorder="1" applyAlignment="1">
      <alignment horizontal="right"/>
    </xf>
    <xf numFmtId="49" fontId="37" fillId="0" borderId="0" xfId="0" applyNumberFormat="1" applyFont="1" applyFill="1" applyAlignment="1">
      <alignment horizontal="left" vertical="top"/>
    </xf>
    <xf numFmtId="164" fontId="36" fillId="0" borderId="0" xfId="0" applyNumberFormat="1" applyFont="1" applyFill="1"/>
    <xf numFmtId="3" fontId="32" fillId="0" borderId="0" xfId="0" applyNumberFormat="1" applyFont="1" applyFill="1" applyAlignment="1">
      <alignment horizontal="left" vertical="top"/>
    </xf>
    <xf numFmtId="164" fontId="37" fillId="0" borderId="0" xfId="0" applyNumberFormat="1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49" fontId="45" fillId="0" borderId="0" xfId="0" applyNumberFormat="1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6" fillId="0" borderId="0" xfId="0" applyFont="1" applyFill="1" applyAlignment="1">
      <alignment vertical="top"/>
    </xf>
    <xf numFmtId="4" fontId="32" fillId="0" borderId="1" xfId="0" applyNumberFormat="1" applyFont="1" applyFill="1" applyBorder="1" applyAlignment="1">
      <alignment vertical="top"/>
    </xf>
    <xf numFmtId="4" fontId="32" fillId="0" borderId="1" xfId="44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top"/>
    </xf>
    <xf numFmtId="3" fontId="32" fillId="0" borderId="0" xfId="0" applyNumberFormat="1" applyFont="1" applyFill="1" applyAlignment="1" applyProtection="1">
      <alignment vertical="top"/>
      <protection locked="0"/>
    </xf>
    <xf numFmtId="3" fontId="36" fillId="0" borderId="0" xfId="0" applyNumberFormat="1" applyFont="1" applyFill="1" applyAlignment="1" applyProtection="1">
      <alignment vertical="top"/>
      <protection locked="0"/>
    </xf>
    <xf numFmtId="164" fontId="36" fillId="0" borderId="0" xfId="44" applyFont="1" applyFill="1" applyAlignment="1">
      <alignment vertical="top"/>
    </xf>
    <xf numFmtId="166" fontId="36" fillId="0" borderId="0" xfId="0" applyNumberFormat="1" applyFont="1" applyFill="1" applyAlignment="1">
      <alignment vertical="top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3" fontId="41" fillId="0" borderId="21" xfId="0" applyNumberFormat="1" applyFont="1" applyFill="1" applyBorder="1" applyAlignment="1">
      <alignment horizontal="right" wrapText="1"/>
    </xf>
    <xf numFmtId="3" fontId="36" fillId="0" borderId="0" xfId="0" applyNumberFormat="1" applyFont="1" applyFill="1"/>
    <xf numFmtId="3" fontId="36" fillId="0" borderId="21" xfId="0" applyNumberFormat="1" applyFont="1" applyFill="1" applyBorder="1" applyAlignment="1">
      <alignment vertical="top" wrapText="1"/>
    </xf>
    <xf numFmtId="3" fontId="41" fillId="0" borderId="21" xfId="0" applyNumberFormat="1" applyFont="1" applyFill="1" applyBorder="1" applyAlignment="1">
      <alignment horizontal="right" vertical="top" wrapText="1"/>
    </xf>
    <xf numFmtId="0" fontId="36" fillId="0" borderId="20" xfId="0" applyFont="1" applyFill="1" applyBorder="1" applyAlignment="1">
      <alignment vertical="top" wrapText="1"/>
    </xf>
    <xf numFmtId="3" fontId="42" fillId="0" borderId="21" xfId="0" applyNumberFormat="1" applyFont="1" applyFill="1" applyBorder="1" applyAlignment="1">
      <alignment horizontal="right" vertical="top" wrapText="1"/>
    </xf>
    <xf numFmtId="0" fontId="37" fillId="0" borderId="0" xfId="0" applyFont="1" applyFill="1"/>
    <xf numFmtId="3" fontId="38" fillId="0" borderId="0" xfId="0" applyNumberFormat="1" applyFont="1" applyFill="1"/>
    <xf numFmtId="0" fontId="37" fillId="0" borderId="0" xfId="0" applyFont="1" applyFill="1" applyAlignment="1" applyProtection="1">
      <alignment vertical="top"/>
      <protection locked="0"/>
    </xf>
    <xf numFmtId="0" fontId="32" fillId="0" borderId="8" xfId="0" applyFont="1" applyFill="1" applyBorder="1" applyAlignment="1" applyProtection="1">
      <alignment vertical="top"/>
      <protection locked="0"/>
    </xf>
    <xf numFmtId="0" fontId="32" fillId="0" borderId="0" xfId="0" applyFont="1" applyFill="1" applyProtection="1">
      <protection locked="0"/>
    </xf>
    <xf numFmtId="3" fontId="32" fillId="0" borderId="1" xfId="44" applyNumberFormat="1" applyFont="1" applyFill="1" applyBorder="1" applyAlignment="1">
      <alignment vertical="top"/>
    </xf>
    <xf numFmtId="3" fontId="38" fillId="0" borderId="8" xfId="0" applyNumberFormat="1" applyFont="1" applyFill="1" applyBorder="1" applyAlignment="1">
      <alignment horizontal="center" vertical="top"/>
    </xf>
    <xf numFmtId="3" fontId="36" fillId="0" borderId="8" xfId="0" applyNumberFormat="1" applyFont="1" applyFill="1" applyBorder="1" applyAlignment="1" applyProtection="1">
      <alignment vertical="top"/>
      <protection locked="0"/>
    </xf>
    <xf numFmtId="0" fontId="36" fillId="0" borderId="8" xfId="0" applyFont="1" applyFill="1" applyBorder="1" applyAlignment="1" applyProtection="1">
      <alignment vertical="top"/>
      <protection locked="0"/>
    </xf>
    <xf numFmtId="165" fontId="36" fillId="0" borderId="0" xfId="0" applyNumberFormat="1" applyFont="1" applyFill="1"/>
    <xf numFmtId="165" fontId="36" fillId="0" borderId="0" xfId="44" applyNumberFormat="1" applyFont="1" applyFill="1"/>
    <xf numFmtId="0" fontId="37" fillId="0" borderId="8" xfId="0" applyFont="1" applyFill="1" applyBorder="1" applyAlignment="1" applyProtection="1">
      <alignment vertical="top"/>
      <protection locked="0"/>
    </xf>
    <xf numFmtId="3" fontId="37" fillId="0" borderId="0" xfId="37" applyNumberFormat="1" applyFont="1" applyFill="1" applyBorder="1" applyAlignment="1">
      <alignment horizontal="center" vertical="top"/>
    </xf>
    <xf numFmtId="3" fontId="45" fillId="0" borderId="0" xfId="0" applyNumberFormat="1" applyFont="1" applyFill="1" applyBorder="1" applyAlignment="1">
      <alignment horizontal="center" vertical="top"/>
    </xf>
    <xf numFmtId="0" fontId="37" fillId="0" borderId="20" xfId="0" applyFont="1" applyFill="1" applyBorder="1" applyAlignment="1">
      <alignment vertical="top" wrapText="1"/>
    </xf>
    <xf numFmtId="3" fontId="37" fillId="0" borderId="21" xfId="0" applyNumberFormat="1" applyFont="1" applyFill="1" applyBorder="1" applyAlignment="1">
      <alignment vertical="top" wrapText="1"/>
    </xf>
    <xf numFmtId="3" fontId="38" fillId="0" borderId="8" xfId="0" applyNumberFormat="1" applyFont="1" applyFill="1" applyBorder="1" applyAlignment="1" applyProtection="1">
      <alignment horizontal="center" vertical="top"/>
      <protection locked="0"/>
    </xf>
    <xf numFmtId="3" fontId="32" fillId="0" borderId="1" xfId="0" applyNumberFormat="1" applyFont="1" applyFill="1" applyBorder="1" applyAlignment="1">
      <alignment vertical="top"/>
    </xf>
    <xf numFmtId="3" fontId="7" fillId="34" borderId="0" xfId="0" applyNumberFormat="1" applyFont="1" applyFill="1" applyAlignment="1">
      <alignment vertical="top"/>
    </xf>
    <xf numFmtId="0" fontId="7" fillId="34" borderId="0" xfId="0" applyFont="1" applyFill="1" applyAlignment="1">
      <alignment vertical="top"/>
    </xf>
    <xf numFmtId="3" fontId="38" fillId="0" borderId="0" xfId="0" applyNumberFormat="1" applyFont="1" applyFill="1" applyAlignment="1" applyProtection="1">
      <alignment vertical="top"/>
      <protection locked="0"/>
    </xf>
    <xf numFmtId="3" fontId="38" fillId="0" borderId="0" xfId="0" applyNumberFormat="1" applyFont="1" applyFill="1" applyAlignment="1">
      <alignment vertical="top"/>
    </xf>
    <xf numFmtId="0" fontId="32" fillId="0" borderId="1" xfId="0" applyFont="1" applyFill="1" applyBorder="1" applyAlignment="1">
      <alignment vertical="top" wrapText="1"/>
    </xf>
    <xf numFmtId="167" fontId="32" fillId="0" borderId="1" xfId="44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center" wrapText="1"/>
    </xf>
    <xf numFmtId="0" fontId="32" fillId="0" borderId="1" xfId="38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vertical="top" wrapText="1"/>
    </xf>
    <xf numFmtId="0" fontId="32" fillId="0" borderId="4" xfId="38" applyFont="1" applyFill="1" applyBorder="1" applyAlignment="1">
      <alignment vertical="center" wrapText="1"/>
    </xf>
    <xf numFmtId="0" fontId="32" fillId="0" borderId="1" xfId="38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vertical="top" wrapText="1"/>
    </xf>
    <xf numFmtId="0" fontId="38" fillId="0" borderId="0" xfId="0" applyFont="1" applyFill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0" xfId="0" applyFont="1" applyFill="1" applyAlignment="1">
      <alignment vertical="top" wrapText="1"/>
    </xf>
    <xf numFmtId="0" fontId="38" fillId="0" borderId="0" xfId="0" applyFont="1" applyFill="1"/>
    <xf numFmtId="0" fontId="38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Fill="1"/>
    <xf numFmtId="0" fontId="33" fillId="0" borderId="0" xfId="0" applyFont="1" applyFill="1" applyAlignment="1">
      <alignment horizontal="center" vertical="top"/>
    </xf>
    <xf numFmtId="0" fontId="33" fillId="0" borderId="2" xfId="0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center" vertical="top"/>
    </xf>
    <xf numFmtId="43" fontId="32" fillId="0" borderId="1" xfId="44" applyNumberFormat="1" applyFont="1" applyFill="1" applyBorder="1" applyAlignment="1">
      <alignment horizontal="center" vertical="top"/>
    </xf>
    <xf numFmtId="43" fontId="32" fillId="0" borderId="1" xfId="44" applyNumberFormat="1" applyFont="1" applyFill="1" applyBorder="1" applyAlignment="1" applyProtection="1">
      <alignment horizontal="center" vertical="top"/>
    </xf>
    <xf numFmtId="43" fontId="32" fillId="0" borderId="1" xfId="44" applyNumberFormat="1" applyFont="1" applyFill="1" applyBorder="1" applyAlignment="1" applyProtection="1">
      <alignment horizontal="center" vertical="top"/>
      <protection locked="0"/>
    </xf>
    <xf numFmtId="0" fontId="32" fillId="0" borderId="4" xfId="0" applyFont="1" applyFill="1" applyBorder="1" applyAlignment="1">
      <alignment vertical="top"/>
    </xf>
    <xf numFmtId="0" fontId="32" fillId="0" borderId="1" xfId="38" applyFont="1" applyFill="1" applyBorder="1" applyAlignment="1">
      <alignment vertical="top"/>
    </xf>
    <xf numFmtId="43" fontId="32" fillId="0" borderId="1" xfId="44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>
      <alignment horizontal="center" vertical="top"/>
    </xf>
    <xf numFmtId="43" fontId="33" fillId="0" borderId="1" xfId="44" applyNumberFormat="1" applyFont="1" applyFill="1" applyBorder="1" applyAlignment="1" applyProtection="1">
      <alignment horizontal="center" vertical="top"/>
      <protection locked="0"/>
    </xf>
    <xf numFmtId="0" fontId="32" fillId="0" borderId="1" xfId="38" applyFont="1" applyFill="1" applyBorder="1"/>
    <xf numFmtId="0" fontId="33" fillId="0" borderId="1" xfId="38" applyFont="1" applyFill="1" applyBorder="1"/>
    <xf numFmtId="43" fontId="33" fillId="0" borderId="1" xfId="44" applyNumberFormat="1" applyFont="1" applyFill="1" applyBorder="1" applyAlignment="1">
      <alignment horizontal="center" vertical="top"/>
    </xf>
    <xf numFmtId="43" fontId="33" fillId="0" borderId="1" xfId="44" applyNumberFormat="1" applyFont="1" applyFill="1" applyBorder="1" applyAlignment="1" applyProtection="1">
      <alignment horizontal="center" vertical="top"/>
    </xf>
    <xf numFmtId="0" fontId="33" fillId="0" borderId="1" xfId="0" applyFont="1" applyFill="1" applyBorder="1" applyAlignment="1">
      <alignment horizontal="left" vertical="top" indent="1"/>
    </xf>
    <xf numFmtId="0" fontId="32" fillId="0" borderId="0" xfId="0" applyFont="1" applyFill="1" applyBorder="1" applyAlignment="1">
      <alignment horizontal="center" vertical="top"/>
    </xf>
    <xf numFmtId="3" fontId="32" fillId="0" borderId="0" xfId="0" applyNumberFormat="1" applyFont="1" applyFill="1" applyBorder="1" applyAlignment="1">
      <alignment horizontal="center" vertical="top"/>
    </xf>
    <xf numFmtId="3" fontId="33" fillId="0" borderId="0" xfId="0" applyNumberFormat="1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>
      <alignment horizontal="center" vertical="top"/>
    </xf>
    <xf numFmtId="164" fontId="7" fillId="0" borderId="0" xfId="44" applyFont="1" applyFill="1" applyAlignment="1">
      <alignment vertical="top"/>
    </xf>
    <xf numFmtId="3" fontId="33" fillId="0" borderId="1" xfId="0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 applyProtection="1">
      <alignment horizontal="center" vertical="top"/>
    </xf>
    <xf numFmtId="3" fontId="32" fillId="0" borderId="1" xfId="37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 applyProtection="1">
      <alignment horizontal="center" vertical="top"/>
      <protection locked="0"/>
    </xf>
    <xf numFmtId="3" fontId="32" fillId="0" borderId="5" xfId="0" applyNumberFormat="1" applyFont="1" applyFill="1" applyBorder="1" applyAlignment="1">
      <alignment horizontal="center" vertical="top"/>
    </xf>
    <xf numFmtId="3" fontId="32" fillId="0" borderId="6" xfId="37" applyNumberFormat="1" applyFont="1" applyFill="1" applyBorder="1" applyAlignment="1">
      <alignment horizontal="center" vertical="top"/>
    </xf>
    <xf numFmtId="3" fontId="32" fillId="0" borderId="7" xfId="37" applyNumberFormat="1" applyFont="1" applyFill="1" applyBorder="1" applyAlignment="1">
      <alignment horizontal="center" vertical="top"/>
    </xf>
    <xf numFmtId="3" fontId="33" fillId="0" borderId="7" xfId="37" applyNumberFormat="1" applyFont="1" applyFill="1" applyBorder="1" applyAlignment="1">
      <alignment horizontal="center" vertical="top"/>
    </xf>
    <xf numFmtId="3" fontId="32" fillId="0" borderId="7" xfId="0" applyNumberFormat="1" applyFont="1" applyFill="1" applyBorder="1" applyAlignment="1" applyProtection="1">
      <alignment horizontal="center" vertical="top"/>
      <protection locked="0"/>
    </xf>
    <xf numFmtId="3" fontId="33" fillId="34" borderId="1" xfId="0" applyNumberFormat="1" applyFont="1" applyFill="1" applyBorder="1" applyAlignment="1">
      <alignment horizontal="center" vertical="top"/>
    </xf>
    <xf numFmtId="3" fontId="33" fillId="0" borderId="1" xfId="0" applyNumberFormat="1" applyFont="1" applyFill="1" applyBorder="1" applyAlignment="1" applyProtection="1">
      <alignment horizontal="center" vertical="top"/>
    </xf>
    <xf numFmtId="0" fontId="42" fillId="0" borderId="22" xfId="0" applyFont="1" applyFill="1" applyBorder="1" applyAlignment="1">
      <alignment horizontal="center" vertical="top" wrapText="1"/>
    </xf>
    <xf numFmtId="164" fontId="42" fillId="0" borderId="22" xfId="44" applyFont="1" applyFill="1" applyBorder="1" applyAlignment="1">
      <alignment horizontal="center" vertical="top" wrapText="1"/>
    </xf>
    <xf numFmtId="0" fontId="32" fillId="39" borderId="1" xfId="0" applyFont="1" applyFill="1" applyBorder="1" applyAlignment="1">
      <alignment vertical="top"/>
    </xf>
    <xf numFmtId="0" fontId="32" fillId="39" borderId="1" xfId="0" applyFont="1" applyFill="1" applyBorder="1" applyAlignment="1">
      <alignment horizontal="center" vertical="top"/>
    </xf>
    <xf numFmtId="43" fontId="32" fillId="39" borderId="1" xfId="44" applyNumberFormat="1" applyFont="1" applyFill="1" applyBorder="1" applyAlignment="1" applyProtection="1">
      <alignment horizontal="center" vertical="center"/>
      <protection locked="0"/>
    </xf>
    <xf numFmtId="43" fontId="32" fillId="39" borderId="1" xfId="44" applyNumberFormat="1" applyFont="1" applyFill="1" applyBorder="1" applyAlignment="1">
      <alignment horizontal="center" vertical="top"/>
    </xf>
    <xf numFmtId="0" fontId="29" fillId="39" borderId="0" xfId="0" applyFont="1" applyFill="1" applyAlignment="1">
      <alignment vertical="top"/>
    </xf>
    <xf numFmtId="0" fontId="7" fillId="39" borderId="0" xfId="0" applyFont="1" applyFill="1" applyAlignment="1">
      <alignment vertical="top"/>
    </xf>
    <xf numFmtId="0" fontId="7" fillId="39" borderId="1" xfId="0" applyFont="1" applyFill="1" applyBorder="1" applyAlignment="1">
      <alignment horizontal="left" vertical="top" wrapText="1" indent="1"/>
    </xf>
    <xf numFmtId="0" fontId="7" fillId="39" borderId="1" xfId="0" applyNumberFormat="1" applyFont="1" applyFill="1" applyBorder="1" applyAlignment="1">
      <alignment horizontal="center" vertical="top"/>
    </xf>
    <xf numFmtId="3" fontId="1" fillId="39" borderId="1" xfId="0" applyNumberFormat="1" applyFont="1" applyFill="1" applyBorder="1" applyAlignment="1">
      <alignment horizontal="center" vertical="top"/>
    </xf>
    <xf numFmtId="3" fontId="7" fillId="39" borderId="1" xfId="37" applyNumberFormat="1" applyFont="1" applyFill="1" applyBorder="1" applyAlignment="1">
      <alignment horizontal="center" vertical="top"/>
    </xf>
    <xf numFmtId="3" fontId="9" fillId="39" borderId="0" xfId="0" applyNumberFormat="1" applyFont="1" applyFill="1" applyBorder="1" applyAlignment="1">
      <alignment horizontal="center" vertical="top"/>
    </xf>
    <xf numFmtId="0" fontId="32" fillId="39" borderId="1" xfId="0" applyFont="1" applyFill="1" applyBorder="1" applyAlignment="1">
      <alignment horizontal="left" vertical="top" wrapText="1" indent="1"/>
    </xf>
    <xf numFmtId="0" fontId="32" fillId="39" borderId="1" xfId="0" applyNumberFormat="1" applyFont="1" applyFill="1" applyBorder="1" applyAlignment="1">
      <alignment horizontal="center" vertical="top"/>
    </xf>
    <xf numFmtId="167" fontId="32" fillId="39" borderId="1" xfId="44" applyNumberFormat="1" applyFont="1" applyFill="1" applyBorder="1" applyAlignment="1">
      <alignment horizontal="left" vertical="top"/>
    </xf>
    <xf numFmtId="167" fontId="32" fillId="39" borderId="7" xfId="44" applyNumberFormat="1" applyFont="1" applyFill="1" applyBorder="1" applyAlignment="1">
      <alignment horizontal="left" vertical="top"/>
    </xf>
    <xf numFmtId="3" fontId="32" fillId="39" borderId="1" xfId="0" applyNumberFormat="1" applyFont="1" applyFill="1" applyBorder="1" applyAlignment="1">
      <alignment horizontal="center" vertical="top"/>
    </xf>
    <xf numFmtId="3" fontId="32" fillId="39" borderId="7" xfId="37" applyNumberFormat="1" applyFont="1" applyFill="1" applyBorder="1" applyAlignment="1">
      <alignment horizontal="center" vertical="top"/>
    </xf>
    <xf numFmtId="3" fontId="32" fillId="39" borderId="1" xfId="0" applyNumberFormat="1" applyFont="1" applyFill="1" applyBorder="1" applyAlignment="1" applyProtection="1">
      <alignment horizontal="center" vertical="top"/>
    </xf>
    <xf numFmtId="0" fontId="7" fillId="39" borderId="1" xfId="37" applyFont="1" applyFill="1" applyBorder="1" applyAlignment="1">
      <alignment vertical="top"/>
    </xf>
    <xf numFmtId="49" fontId="7" fillId="39" borderId="1" xfId="37" applyNumberFormat="1" applyFont="1" applyFill="1" applyBorder="1" applyAlignment="1">
      <alignment horizontal="center" vertical="top"/>
    </xf>
    <xf numFmtId="3" fontId="7" fillId="39" borderId="1" xfId="0" applyNumberFormat="1" applyFont="1" applyFill="1" applyBorder="1" applyAlignment="1" applyProtection="1">
      <alignment horizontal="center" vertical="top"/>
      <protection locked="0"/>
    </xf>
    <xf numFmtId="0" fontId="32" fillId="39" borderId="1" xfId="37" applyFont="1" applyFill="1" applyBorder="1" applyAlignment="1">
      <alignment vertical="top"/>
    </xf>
    <xf numFmtId="49" fontId="32" fillId="39" borderId="7" xfId="37" applyNumberFormat="1" applyFont="1" applyFill="1" applyBorder="1" applyAlignment="1">
      <alignment horizontal="center" vertical="top"/>
    </xf>
    <xf numFmtId="167" fontId="32" fillId="39" borderId="7" xfId="44" applyNumberFormat="1" applyFont="1" applyFill="1" applyBorder="1" applyAlignment="1" applyProtection="1">
      <alignment horizontal="left" vertical="top"/>
      <protection locked="0"/>
    </xf>
    <xf numFmtId="3" fontId="32" fillId="39" borderId="7" xfId="0" applyNumberFormat="1" applyFont="1" applyFill="1" applyBorder="1" applyAlignment="1" applyProtection="1">
      <alignment horizontal="center" vertical="top"/>
      <protection locked="0"/>
    </xf>
    <xf numFmtId="3" fontId="36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3" fontId="8" fillId="0" borderId="1" xfId="38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top"/>
    </xf>
    <xf numFmtId="3" fontId="48" fillId="0" borderId="1" xfId="0" applyNumberFormat="1" applyFont="1" applyBorder="1" applyAlignment="1">
      <alignment horizontal="center" vertical="top"/>
    </xf>
    <xf numFmtId="3" fontId="50" fillId="0" borderId="1" xfId="0" applyNumberFormat="1" applyFont="1" applyBorder="1" applyAlignment="1">
      <alignment vertical="top" wrapText="1"/>
    </xf>
    <xf numFmtId="3" fontId="50" fillId="40" borderId="1" xfId="0" applyNumberFormat="1" applyFont="1" applyFill="1" applyBorder="1" applyAlignment="1" applyProtection="1">
      <alignment vertical="top"/>
      <protection locked="0"/>
    </xf>
    <xf numFmtId="3" fontId="50" fillId="40" borderId="1" xfId="0" applyNumberFormat="1" applyFont="1" applyFill="1" applyBorder="1" applyAlignment="1">
      <alignment vertical="top"/>
    </xf>
    <xf numFmtId="3" fontId="49" fillId="0" borderId="1" xfId="0" applyNumberFormat="1" applyFont="1" applyBorder="1" applyAlignment="1">
      <alignment vertical="top" wrapText="1"/>
    </xf>
    <xf numFmtId="3" fontId="49" fillId="40" borderId="1" xfId="0" applyNumberFormat="1" applyFont="1" applyFill="1" applyBorder="1" applyAlignment="1" applyProtection="1">
      <alignment vertical="top"/>
      <protection locked="0"/>
    </xf>
    <xf numFmtId="3" fontId="49" fillId="40" borderId="1" xfId="0" applyNumberFormat="1" applyFont="1" applyFill="1" applyBorder="1" applyAlignment="1">
      <alignment vertical="top"/>
    </xf>
    <xf numFmtId="3" fontId="48" fillId="40" borderId="1" xfId="0" applyNumberFormat="1" applyFont="1" applyFill="1" applyBorder="1" applyAlignment="1">
      <alignment vertical="top"/>
    </xf>
    <xf numFmtId="3" fontId="7" fillId="0" borderId="1" xfId="38" applyNumberFormat="1" applyFont="1" applyBorder="1" applyAlignment="1">
      <alignment horizontal="left" vertical="center" wrapText="1"/>
    </xf>
    <xf numFmtId="3" fontId="49" fillId="0" borderId="1" xfId="0" applyNumberFormat="1" applyFont="1" applyBorder="1" applyAlignment="1" applyProtection="1">
      <alignment vertical="top"/>
      <protection locked="0"/>
    </xf>
    <xf numFmtId="3" fontId="7" fillId="0" borderId="1" xfId="38" applyNumberFormat="1" applyFont="1" applyBorder="1" applyAlignment="1">
      <alignment vertical="center" wrapText="1"/>
    </xf>
    <xf numFmtId="3" fontId="7" fillId="0" borderId="1" xfId="38" applyNumberFormat="1" applyFont="1" applyBorder="1" applyAlignment="1">
      <alignment horizontal="left" vertical="center" wrapText="1" indent="1"/>
    </xf>
    <xf numFmtId="167" fontId="1" fillId="0" borderId="0" xfId="0" applyNumberFormat="1" applyFont="1" applyFill="1" applyAlignment="1">
      <alignment horizontal="center" vertical="top"/>
    </xf>
    <xf numFmtId="3" fontId="49" fillId="0" borderId="1" xfId="0" applyNumberFormat="1" applyFont="1" applyBorder="1" applyAlignment="1">
      <alignment vertical="top"/>
    </xf>
    <xf numFmtId="3" fontId="48" fillId="0" borderId="1" xfId="0" applyNumberFormat="1" applyFont="1" applyBorder="1" applyAlignment="1">
      <alignment vertical="top"/>
    </xf>
    <xf numFmtId="3" fontId="49" fillId="0" borderId="1" xfId="0" applyNumberFormat="1" applyFont="1" applyFill="1" applyBorder="1" applyAlignment="1" applyProtection="1">
      <alignment vertical="top"/>
      <protection locked="0"/>
    </xf>
    <xf numFmtId="164" fontId="1" fillId="0" borderId="0" xfId="44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50" fillId="0" borderId="1" xfId="0" applyNumberFormat="1" applyFont="1" applyBorder="1" applyAlignment="1" applyProtection="1">
      <alignment vertical="top"/>
      <protection locked="0"/>
    </xf>
    <xf numFmtId="3" fontId="50" fillId="0" borderId="1" xfId="0" applyNumberFormat="1" applyFont="1" applyBorder="1" applyAlignment="1">
      <alignment vertical="top"/>
    </xf>
    <xf numFmtId="3" fontId="50" fillId="0" borderId="0" xfId="0" applyNumberFormat="1" applyFont="1" applyBorder="1" applyAlignment="1">
      <alignment vertical="top" wrapText="1"/>
    </xf>
    <xf numFmtId="3" fontId="50" fillId="0" borderId="0" xfId="0" applyNumberFormat="1" applyFont="1" applyBorder="1" applyAlignment="1" applyProtection="1">
      <alignment vertical="top"/>
      <protection locked="0"/>
    </xf>
    <xf numFmtId="3" fontId="50" fillId="0" borderId="0" xfId="0" applyNumberFormat="1" applyFont="1" applyBorder="1" applyAlignment="1">
      <alignment vertical="top"/>
    </xf>
    <xf numFmtId="0" fontId="7" fillId="0" borderId="0" xfId="46" applyFont="1" applyFill="1" applyAlignment="1">
      <alignment horizontal="left"/>
    </xf>
    <xf numFmtId="0" fontId="49" fillId="0" borderId="0" xfId="46" applyFont="1" applyFill="1" applyBorder="1" applyAlignment="1">
      <alignment horizontal="left" vertical="top" wrapText="1"/>
    </xf>
    <xf numFmtId="0" fontId="49" fillId="0" borderId="0" xfId="46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 applyProtection="1">
      <alignment vertical="top"/>
      <protection locked="0"/>
    </xf>
    <xf numFmtId="3" fontId="51" fillId="0" borderId="0" xfId="0" applyNumberFormat="1" applyFont="1" applyFill="1" applyAlignment="1" applyProtection="1">
      <alignment vertical="top"/>
      <protection locked="0"/>
    </xf>
    <xf numFmtId="0" fontId="52" fillId="0" borderId="0" xfId="0" applyFont="1" applyFill="1" applyAlignment="1">
      <alignment vertical="top"/>
    </xf>
    <xf numFmtId="3" fontId="52" fillId="0" borderId="0" xfId="0" applyNumberFormat="1" applyFont="1" applyFill="1" applyAlignment="1">
      <alignment vertical="top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164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vertical="top"/>
    </xf>
    <xf numFmtId="3" fontId="47" fillId="39" borderId="21" xfId="0" applyNumberFormat="1" applyFont="1" applyFill="1" applyBorder="1" applyAlignment="1">
      <alignment vertical="top" wrapText="1"/>
    </xf>
    <xf numFmtId="0" fontId="36" fillId="0" borderId="0" xfId="0" applyFont="1" applyFill="1"/>
    <xf numFmtId="0" fontId="47" fillId="0" borderId="0" xfId="0" applyFont="1" applyFill="1"/>
    <xf numFmtId="0" fontId="41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vertical="top" wrapText="1"/>
    </xf>
    <xf numFmtId="164" fontId="36" fillId="0" borderId="1" xfId="44" applyFont="1" applyFill="1" applyBorder="1" applyAlignment="1">
      <alignment vertical="top" wrapText="1"/>
    </xf>
    <xf numFmtId="3" fontId="37" fillId="0" borderId="0" xfId="0" applyNumberFormat="1" applyFont="1" applyFill="1"/>
    <xf numFmtId="3" fontId="35" fillId="0" borderId="1" xfId="0" applyNumberFormat="1" applyFont="1" applyFill="1" applyBorder="1" applyAlignment="1" applyProtection="1">
      <alignment horizontal="center" vertical="top"/>
      <protection locked="0"/>
    </xf>
    <xf numFmtId="3" fontId="3" fillId="0" borderId="1" xfId="38" applyNumberFormat="1" applyFont="1" applyFill="1" applyBorder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horizontal="center" vertical="top"/>
    </xf>
    <xf numFmtId="43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3" fontId="37" fillId="0" borderId="8" xfId="0" applyNumberFormat="1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/>
    <xf numFmtId="3" fontId="53" fillId="0" borderId="0" xfId="0" applyNumberFormat="1" applyFont="1" applyFill="1" applyBorder="1" applyAlignment="1">
      <alignment horizontal="center" vertical="top"/>
    </xf>
    <xf numFmtId="0" fontId="44" fillId="0" borderId="0" xfId="0" applyFont="1" applyFill="1"/>
    <xf numFmtId="0" fontId="44" fillId="0" borderId="0" xfId="0" applyFont="1" applyFill="1" applyAlignment="1" applyProtection="1">
      <alignment horizontal="center" vertical="top"/>
      <protection locked="0"/>
    </xf>
    <xf numFmtId="0" fontId="47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wrapText="1"/>
    </xf>
    <xf numFmtId="164" fontId="36" fillId="0" borderId="1" xfId="44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 indent="1"/>
    </xf>
    <xf numFmtId="0" fontId="36" fillId="0" borderId="1" xfId="0" applyFont="1" applyBorder="1" applyAlignment="1">
      <alignment horizontal="left" vertical="top" wrapText="1" indent="1"/>
    </xf>
    <xf numFmtId="0" fontId="44" fillId="0" borderId="1" xfId="0" applyFont="1" applyBorder="1" applyAlignment="1">
      <alignment wrapText="1"/>
    </xf>
    <xf numFmtId="164" fontId="47" fillId="0" borderId="1" xfId="44" applyFont="1" applyBorder="1" applyAlignment="1">
      <alignment wrapText="1"/>
    </xf>
    <xf numFmtId="164" fontId="36" fillId="0" borderId="1" xfId="44" applyFont="1" applyBorder="1" applyAlignment="1">
      <alignment horizontal="left" wrapText="1"/>
    </xf>
    <xf numFmtId="0" fontId="44" fillId="0" borderId="1" xfId="0" applyFont="1" applyBorder="1" applyAlignment="1">
      <alignment horizontal="left" wrapText="1" indent="2"/>
    </xf>
    <xf numFmtId="0" fontId="36" fillId="0" borderId="1" xfId="0" applyFont="1" applyBorder="1" applyAlignment="1">
      <alignment horizontal="left" wrapText="1" indent="2"/>
    </xf>
    <xf numFmtId="164" fontId="44" fillId="0" borderId="1" xfId="44" applyFont="1" applyBorder="1" applyAlignment="1">
      <alignment wrapText="1"/>
    </xf>
    <xf numFmtId="164" fontId="44" fillId="0" borderId="1" xfId="44" applyFont="1" applyBorder="1" applyAlignment="1">
      <alignment horizontal="left" wrapText="1"/>
    </xf>
    <xf numFmtId="0" fontId="54" fillId="0" borderId="1" xfId="0" applyFont="1" applyBorder="1" applyAlignment="1">
      <alignment vertical="top" wrapText="1"/>
    </xf>
    <xf numFmtId="165" fontId="32" fillId="0" borderId="0" xfId="44" applyNumberFormat="1" applyFont="1" applyFill="1" applyAlignment="1">
      <alignment vertical="top"/>
    </xf>
    <xf numFmtId="165" fontId="33" fillId="0" borderId="0" xfId="44" applyNumberFormat="1" applyFont="1" applyFill="1" applyAlignment="1">
      <alignment vertical="top"/>
    </xf>
    <xf numFmtId="165" fontId="32" fillId="0" borderId="0" xfId="44" applyNumberFormat="1" applyFont="1" applyFill="1" applyAlignment="1">
      <alignment horizontal="center" vertical="top"/>
    </xf>
    <xf numFmtId="165" fontId="32" fillId="0" borderId="0" xfId="44" applyNumberFormat="1" applyFont="1" applyFill="1" applyAlignment="1">
      <alignment horizontal="right" vertical="top"/>
    </xf>
    <xf numFmtId="165" fontId="33" fillId="0" borderId="1" xfId="44" applyNumberFormat="1" applyFont="1" applyFill="1" applyBorder="1" applyAlignment="1">
      <alignment horizontal="center" vertical="center" wrapText="1"/>
    </xf>
    <xf numFmtId="165" fontId="32" fillId="0" borderId="1" xfId="44" applyNumberFormat="1" applyFont="1" applyFill="1" applyBorder="1" applyAlignment="1">
      <alignment horizontal="center" vertical="top"/>
    </xf>
    <xf numFmtId="165" fontId="33" fillId="0" borderId="1" xfId="44" applyNumberFormat="1" applyFont="1" applyFill="1" applyBorder="1" applyAlignment="1">
      <alignment horizontal="center" vertical="top"/>
    </xf>
    <xf numFmtId="165" fontId="33" fillId="0" borderId="1" xfId="44" applyNumberFormat="1" applyFont="1" applyFill="1" applyBorder="1" applyAlignment="1" applyProtection="1">
      <alignment vertical="top"/>
      <protection locked="0"/>
    </xf>
    <xf numFmtId="165" fontId="32" fillId="0" borderId="1" xfId="44" applyNumberFormat="1" applyFont="1" applyFill="1" applyBorder="1" applyAlignment="1">
      <alignment vertical="top"/>
    </xf>
    <xf numFmtId="165" fontId="32" fillId="0" borderId="1" xfId="44" applyNumberFormat="1" applyFont="1" applyFill="1" applyBorder="1" applyAlignment="1" applyProtection="1">
      <alignment vertical="top"/>
      <protection locked="0"/>
    </xf>
    <xf numFmtId="165" fontId="33" fillId="0" borderId="1" xfId="44" applyNumberFormat="1" applyFont="1" applyFill="1" applyBorder="1" applyAlignment="1">
      <alignment vertical="top"/>
    </xf>
    <xf numFmtId="165" fontId="32" fillId="0" borderId="0" xfId="44" applyNumberFormat="1" applyFont="1" applyFill="1" applyAlignment="1" applyProtection="1">
      <alignment vertical="top"/>
      <protection locked="0"/>
    </xf>
    <xf numFmtId="165" fontId="32" fillId="0" borderId="7" xfId="44" applyNumberFormat="1" applyFont="1" applyFill="1" applyBorder="1" applyAlignment="1" applyProtection="1">
      <alignment vertical="top"/>
      <protection locked="0"/>
    </xf>
    <xf numFmtId="165" fontId="32" fillId="0" borderId="0" xfId="44" applyNumberFormat="1" applyFont="1" applyFill="1" applyBorder="1" applyAlignment="1">
      <alignment vertical="top"/>
    </xf>
    <xf numFmtId="165" fontId="37" fillId="0" borderId="0" xfId="44" applyNumberFormat="1" applyFont="1" applyFill="1" applyAlignment="1">
      <alignment vertical="top"/>
    </xf>
    <xf numFmtId="165" fontId="38" fillId="0" borderId="8" xfId="44" applyNumberFormat="1" applyFont="1" applyFill="1" applyBorder="1" applyAlignment="1" applyProtection="1">
      <alignment horizontal="center" vertical="top"/>
      <protection locked="0"/>
    </xf>
    <xf numFmtId="165" fontId="32" fillId="0" borderId="8" xfId="44" applyNumberFormat="1" applyFont="1" applyFill="1" applyBorder="1" applyAlignment="1">
      <alignment vertical="top"/>
    </xf>
    <xf numFmtId="165" fontId="38" fillId="0" borderId="0" xfId="44" applyNumberFormat="1" applyFont="1" applyFill="1" applyAlignment="1" applyProtection="1">
      <alignment vertical="top"/>
      <protection locked="0"/>
    </xf>
    <xf numFmtId="165" fontId="37" fillId="0" borderId="8" xfId="44" applyNumberFormat="1" applyFont="1" applyFill="1" applyBorder="1" applyAlignment="1" applyProtection="1">
      <alignment vertical="top"/>
      <protection locked="0"/>
    </xf>
    <xf numFmtId="165" fontId="37" fillId="0" borderId="0" xfId="44" applyNumberFormat="1" applyFont="1" applyFill="1" applyAlignment="1" applyProtection="1">
      <alignment vertical="top"/>
      <protection locked="0"/>
    </xf>
    <xf numFmtId="165" fontId="32" fillId="0" borderId="0" xfId="44" applyNumberFormat="1" applyFont="1" applyFill="1" applyBorder="1" applyAlignment="1" applyProtection="1">
      <alignment vertical="top"/>
      <protection locked="0"/>
    </xf>
    <xf numFmtId="165" fontId="32" fillId="0" borderId="0" xfId="0" applyNumberFormat="1" applyFont="1" applyFill="1" applyAlignment="1">
      <alignment vertical="top"/>
    </xf>
    <xf numFmtId="0" fontId="36" fillId="0" borderId="0" xfId="0" applyFont="1" applyFill="1"/>
    <xf numFmtId="43" fontId="32" fillId="0" borderId="0" xfId="0" applyNumberFormat="1" applyFont="1" applyFill="1" applyAlignment="1" applyProtection="1">
      <alignment vertical="top"/>
      <protection locked="0"/>
    </xf>
    <xf numFmtId="0" fontId="41" fillId="0" borderId="0" xfId="0" applyFont="1" applyFill="1" applyAlignment="1">
      <alignment horizontal="right" wrapText="1"/>
    </xf>
    <xf numFmtId="0" fontId="36" fillId="0" borderId="0" xfId="0" applyFont="1" applyFill="1"/>
    <xf numFmtId="0" fontId="42" fillId="0" borderId="0" xfId="0" applyFont="1" applyFill="1" applyAlignment="1">
      <alignment horizontal="center" wrapText="1"/>
    </xf>
    <xf numFmtId="0" fontId="47" fillId="0" borderId="0" xfId="0" applyFont="1" applyFill="1"/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 applyProtection="1">
      <alignment horizontal="center" vertical="top"/>
      <protection locked="0"/>
    </xf>
    <xf numFmtId="0" fontId="33" fillId="0" borderId="8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3" fontId="8" fillId="0" borderId="4" xfId="38" applyNumberFormat="1" applyFont="1" applyBorder="1" applyAlignment="1">
      <alignment horizontal="center" vertical="center" wrapText="1"/>
    </xf>
    <xf numFmtId="3" fontId="8" fillId="0" borderId="5" xfId="38" applyNumberFormat="1" applyFont="1" applyBorder="1" applyAlignment="1">
      <alignment horizontal="center" vertical="center" wrapText="1"/>
    </xf>
    <xf numFmtId="3" fontId="48" fillId="0" borderId="4" xfId="0" applyNumberFormat="1" applyFont="1" applyBorder="1" applyAlignment="1">
      <alignment horizontal="center" vertical="top"/>
    </xf>
    <xf numFmtId="3" fontId="48" fillId="0" borderId="5" xfId="0" applyNumberFormat="1" applyFont="1" applyBorder="1" applyAlignment="1">
      <alignment horizontal="center" vertical="top"/>
    </xf>
    <xf numFmtId="3" fontId="48" fillId="0" borderId="3" xfId="0" applyNumberFormat="1" applyFont="1" applyBorder="1" applyAlignment="1">
      <alignment horizontal="center" vertical="top"/>
    </xf>
    <xf numFmtId="3" fontId="48" fillId="0" borderId="23" xfId="0" applyNumberFormat="1" applyFont="1" applyBorder="1" applyAlignment="1">
      <alignment horizontal="center" vertical="top"/>
    </xf>
    <xf numFmtId="3" fontId="48" fillId="0" borderId="7" xfId="0" applyNumberFormat="1" applyFont="1" applyBorder="1" applyAlignment="1">
      <alignment horizontal="center" vertical="top"/>
    </xf>
    <xf numFmtId="3" fontId="48" fillId="0" borderId="4" xfId="0" applyNumberFormat="1" applyFont="1" applyBorder="1" applyAlignment="1">
      <alignment horizontal="center" vertical="center"/>
    </xf>
    <xf numFmtId="3" fontId="48" fillId="0" borderId="5" xfId="0" applyNumberFormat="1" applyFont="1" applyBorder="1" applyAlignment="1">
      <alignment horizontal="center" vertical="center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6"/>
    <cellStyle name="Обычный_деньги" xfId="36"/>
    <cellStyle name="Обычный_Формы фин.отчетности по ПП №241" xfId="37"/>
    <cellStyle name="Обычный_Формы ФО для НПФ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2\&#1086;&#1090;&#1095;&#1077;&#1090;&#1085;&#1086;&#1089;&#1090;&#1100;%20&#1074;%20&#1082;&#1092;&#1085;\2015\06%20&#1048;&#1102;&#1085;&#1100;\&#1080;&#1102;&#1085;&#1100;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ussenova/Documents/KASE/2%20&#1082;&#1074;%202016/&#1043;&#1086;&#1076;&#1086;&#1074;&#1072;&#1103;%202015/&#1050;&#1086;&#1087;&#1080;&#1103;%202015&#1075;%20%20&#1074;%20&#1088;&#1072;&#1084;&#1082;&#1072;&#1093;%20&#1083;&#1080;&#1089;&#1090;&#1080;&#1085;&#1075;&#1072;%20&#1089;&#1076;&#1072;&#1077;&#1084;%20&#1087;&#1086;&#1089;&#1083;&#1077;%20&#1072;&#1091;&#1076;&#1080;&#1090;&#1072;%20&#1082;&#1072;&#1082;%20&#1075;&#1086;&#1076;&#1086;&#1074;&#1086;&#1081;%20&#1086;&#1090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\Documents%20and%20Settings\z.makhanbetova\&#1052;&#1086;&#1080;%20&#1076;&#1086;&#1082;&#1091;&#1084;&#1077;&#1085;&#1090;&#1099;\1%20&#1054;&#1090;&#1095;&#1077;&#1090;&#1099;\2012\&#1072;&#1092;&#1085;\&#1084;&#1072;&#1081;%2012\&#1084;&#1072;&#1081;%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tabayeva/&#1056;&#1072;&#1073;&#1086;&#1095;&#1080;&#1081;%20&#1089;&#1090;&#1086;&#1083;/&#1050;&#1086;&#1087;&#1080;&#1103;%20&#1084;&#1072;&#1088;&#1090;%2015%20&#1089;&#1074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kabayeva/&#1056;&#1072;&#1073;&#1086;&#1095;&#1080;&#1081;%20&#1089;&#1090;&#1086;&#1083;/&#1056;&#1072;&#1073;&#1086;&#1095;&#1080;&#1077;%20&#1076;&#1086;&#1082;&#1091;&#1084;&#1077;&#1085;&#1090;&#1099;/&#1054;&#1090;&#1095;&#1077;&#1090;&#1099;%20&#1074;%20&#1085;&#1072;&#1094;%20&#1073;&#1072;&#1085;&#1082;/&#1054;&#1090;&#1095;&#1077;&#1090;&#1099;%202016%20&#1075;&#1086;&#1076;&#1072;/6.%20&#1048;&#1102;&#1085;&#1100;%202016/&#1048;&#1102;&#1085;&#1100;_2016_&#1089;&#1074;&#1086;&#107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kabayeva/&#1052;&#1086;&#1080;%20&#1076;&#1086;&#1082;&#1091;&#1084;&#1077;&#1085;&#1090;&#1099;/&#1044;&#1086;&#1082;&#1091;&#1084;&#1077;&#1085;&#1090;&#1099;%20&#1089;%20&#1041;&#1058;&#1040;/&#1086;&#1090;&#1095;&#1077;&#1090;&#1099;%20&#1074;%20&#1040;&#1060;&#1053;%20&#1041;&#1058;&#1040;/2014/01.12.14/&#1054;&#1090;&#1095;&#1077;&#1090;%20&#1074;%20&#1040;&#1060;&#1053;%20&#1085;&#1072;%2001%2012%2014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СК (2)"/>
      <sheetName val="займы полученные"/>
      <sheetName val="инвестиции"/>
      <sheetName val="счета меморандума"/>
      <sheetName val="30 ГОД"/>
      <sheetName val="31"/>
      <sheetName val="34"/>
      <sheetName val="35ГОД"/>
      <sheetName val="13-1"/>
      <sheetName val="16-1"/>
      <sheetName val="24"/>
      <sheetName val="25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2">
          <cell r="D82">
            <v>2718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ПУ"/>
      <sheetName val="ДДС"/>
      <sheetName val="СК"/>
      <sheetName val="баланс афн"/>
      <sheetName val="опу афн"/>
      <sheetName val="ддс афн"/>
      <sheetName val="Лист1"/>
      <sheetName val="СК НАЦ.банк"/>
      <sheetName val="ДДС (2)"/>
    </sheetNames>
    <sheetDataSet>
      <sheetData sheetId="0">
        <row r="39">
          <cell r="A39" t="str">
            <v>Председатель правления Ахметжанова Д.Д.</v>
          </cell>
        </row>
        <row r="41">
          <cell r="A41" t="str">
            <v>Главный бухгалтер Усенова М.О.</v>
          </cell>
        </row>
        <row r="43">
          <cell r="A43" t="str">
            <v>Исполнитель Усенова М.О.</v>
          </cell>
        </row>
      </sheetData>
      <sheetData sheetId="1"/>
      <sheetData sheetId="2"/>
      <sheetData sheetId="3"/>
      <sheetData sheetId="4">
        <row r="5">
          <cell r="A5" t="str">
            <v>по состоянию на 01 января 2016 года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30 ГОД"/>
      <sheetName val="31"/>
      <sheetName val="34"/>
      <sheetName val="35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займы полученные"/>
      <sheetName val="инвестиции"/>
      <sheetName val="счета меморандума"/>
      <sheetName val="30 ГОД"/>
      <sheetName val="31"/>
      <sheetName val="34"/>
      <sheetName val="35ГОД"/>
      <sheetName val="13-1"/>
      <sheetName val="16-1"/>
      <sheetName val="24"/>
      <sheetName val="25"/>
      <sheetName val="26"/>
      <sheetName val="осв без резервов"/>
      <sheetName val="пояснения по проч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СВ"/>
      <sheetName val="БухБаланс"/>
      <sheetName val="ОПУ"/>
      <sheetName val="ОДДС"/>
      <sheetName val="Изм.Собс.Кап"/>
      <sheetName val="2м"/>
      <sheetName val="4м"/>
      <sheetName val="6м"/>
      <sheetName val="8м"/>
      <sheetName val="9м"/>
      <sheetName val="11м"/>
      <sheetName val="13м"/>
      <sheetName val="14м"/>
      <sheetName val="15м"/>
      <sheetName val="16м"/>
      <sheetName val="17м"/>
      <sheetName val="18м"/>
      <sheetName val="19м"/>
      <sheetName val="20м"/>
      <sheetName val="22м"/>
      <sheetName val="23"/>
      <sheetName val="24"/>
      <sheetName val="25 ДЗ иКЗ"/>
      <sheetName val="поясн.по прочим"/>
      <sheetName val="26"/>
      <sheetName val="28"/>
      <sheetName val="29"/>
      <sheetName val="30"/>
      <sheetName val="31 АХД"/>
      <sheetName val="32"/>
      <sheetName val="33"/>
      <sheetName val="34"/>
      <sheetName val="36"/>
      <sheetName val="37"/>
      <sheetName val="38"/>
      <sheetName val="40"/>
    </sheetNames>
    <sheetDataSet>
      <sheetData sheetId="0"/>
      <sheetData sheetId="1"/>
      <sheetData sheetId="2">
        <row r="71">
          <cell r="C71">
            <v>890244</v>
          </cell>
          <cell r="D71">
            <v>719731</v>
          </cell>
        </row>
        <row r="76">
          <cell r="C76">
            <v>638695</v>
          </cell>
        </row>
        <row r="83">
          <cell r="A83" t="str">
            <v>Первый руководитель (на период его отсутствия – лицо, его замещающее)  Ахметжанова Д.Д. ________________</v>
          </cell>
        </row>
        <row r="85">
          <cell r="A85" t="str">
            <v>Главный бухгалтер             Усенова М.О.     ______________</v>
          </cell>
        </row>
        <row r="87">
          <cell r="A87" t="str">
            <v xml:space="preserve">Исполнитель                       Усенова М.О.  ____________  </v>
          </cell>
        </row>
        <row r="89">
          <cell r="A89" t="str">
            <v>Дата подписания отчета «8» июля 2016 года</v>
          </cell>
        </row>
        <row r="91">
          <cell r="A91" t="str">
            <v>Место для печати (при наличии)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5610"/>
      <sheetName val="Ф.1"/>
      <sheetName val="Ф.2"/>
      <sheetName val="Ф.3"/>
      <sheetName val="Ф.4"/>
      <sheetName val="1"/>
      <sheetName val="2"/>
      <sheetName val="3"/>
      <sheetName val="4"/>
      <sheetName val="5"/>
      <sheetName val="6."/>
      <sheetName val="7."/>
      <sheetName val="9."/>
      <sheetName val="10."/>
      <sheetName val="11."/>
      <sheetName val="12."/>
      <sheetName val="13."/>
      <sheetName val="14 "/>
      <sheetName val="15."/>
      <sheetName val="16."/>
      <sheetName val="17."/>
      <sheetName val="18."/>
      <sheetName val="19."/>
      <sheetName val="20."/>
      <sheetName val="21"/>
      <sheetName val="22"/>
      <sheetName val="23."/>
      <sheetName val="24."/>
      <sheetName val="25."/>
      <sheetName val="25-2"/>
      <sheetName val="25-3"/>
      <sheetName val="26-1"/>
      <sheetName val="26-2"/>
      <sheetName val="27."/>
      <sheetName val="28"/>
      <sheetName val="29"/>
      <sheetName val="30"/>
      <sheetName val="31."/>
      <sheetName val="33"/>
      <sheetName val="34."/>
      <sheetName val="7нов"/>
      <sheetName val="6"/>
      <sheetName val="7"/>
      <sheetName val="10"/>
      <sheetName val="9 нов"/>
      <sheetName val="9"/>
      <sheetName val="13"/>
      <sheetName val="14  нов"/>
      <sheetName val="14"/>
      <sheetName val="16"/>
      <sheetName val="18 нов"/>
      <sheetName val="18"/>
      <sheetName val="23"/>
      <sheetName val="24"/>
      <sheetName val="27"/>
      <sheetName val="35"/>
      <sheetName val="36"/>
    </sheetNames>
    <sheetDataSet>
      <sheetData sheetId="0"/>
      <sheetData sheetId="1">
        <row r="12">
          <cell r="E1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8"/>
  <sheetViews>
    <sheetView showGridLines="0" view="pageBreakPreview" zoomScale="115" zoomScaleSheetLayoutView="115" workbookViewId="0">
      <selection activeCell="B34" sqref="B34"/>
    </sheetView>
  </sheetViews>
  <sheetFormatPr defaultRowHeight="12.75" x14ac:dyDescent="0.2"/>
  <cols>
    <col min="1" max="1" width="63.42578125" style="293" customWidth="1"/>
    <col min="2" max="3" width="25" style="200" customWidth="1"/>
    <col min="4" max="4" width="11.42578125" style="267" customWidth="1"/>
    <col min="5" max="5" width="9.140625" style="293"/>
    <col min="6" max="6" width="11.5703125" style="293" bestFit="1" customWidth="1"/>
    <col min="7" max="7" width="10" style="293" bestFit="1" customWidth="1"/>
    <col min="8" max="16384" width="9.140625" style="293"/>
  </cols>
  <sheetData>
    <row r="1" spans="1:8" x14ac:dyDescent="0.2">
      <c r="A1" s="199" t="s">
        <v>0</v>
      </c>
    </row>
    <row r="3" spans="1:8" x14ac:dyDescent="0.2">
      <c r="A3" s="454" t="s">
        <v>1</v>
      </c>
      <c r="B3" s="455"/>
      <c r="C3" s="455"/>
    </row>
    <row r="6" spans="1:8" x14ac:dyDescent="0.2">
      <c r="A6" s="456" t="s">
        <v>2</v>
      </c>
      <c r="B6" s="457"/>
      <c r="C6" s="457"/>
    </row>
    <row r="7" spans="1:8" x14ac:dyDescent="0.2">
      <c r="A7" s="456" t="s">
        <v>3</v>
      </c>
      <c r="B7" s="457"/>
      <c r="C7" s="457"/>
    </row>
    <row r="8" spans="1:8" x14ac:dyDescent="0.2">
      <c r="A8" s="456" t="str">
        <f>'баланс афн'!A5:D5</f>
        <v>по состоянию на 01 октября 2016 года</v>
      </c>
      <c r="B8" s="457"/>
      <c r="C8" s="457"/>
    </row>
    <row r="9" spans="1:8" x14ac:dyDescent="0.2">
      <c r="A9" s="454" t="s">
        <v>4</v>
      </c>
      <c r="B9" s="455"/>
      <c r="C9" s="455"/>
    </row>
    <row r="10" spans="1:8" ht="15.75" customHeight="1" x14ac:dyDescent="0.2">
      <c r="A10" s="326" t="s">
        <v>5</v>
      </c>
      <c r="B10" s="327" t="s">
        <v>6</v>
      </c>
      <c r="C10" s="327" t="s">
        <v>129</v>
      </c>
    </row>
    <row r="11" spans="1:8" x14ac:dyDescent="0.2">
      <c r="A11" s="201">
        <v>1</v>
      </c>
      <c r="B11" s="201">
        <v>2</v>
      </c>
      <c r="C11" s="201">
        <v>3</v>
      </c>
    </row>
    <row r="12" spans="1:8" x14ac:dyDescent="0.2">
      <c r="A12" s="202" t="s">
        <v>7</v>
      </c>
      <c r="B12" s="203">
        <f>SUM(B13:B23)</f>
        <v>15541270</v>
      </c>
      <c r="C12" s="203">
        <v>14304343</v>
      </c>
      <c r="D12" s="267">
        <f>B12-C12</f>
        <v>1236927</v>
      </c>
    </row>
    <row r="13" spans="1:8" x14ac:dyDescent="0.2">
      <c r="A13" s="204" t="s">
        <v>8</v>
      </c>
      <c r="B13" s="205">
        <f>'баланс афн'!C10</f>
        <v>54964</v>
      </c>
      <c r="C13" s="205">
        <v>2526807</v>
      </c>
      <c r="D13" s="267">
        <f t="shared" ref="D13:D21" si="0">B13-C13</f>
        <v>-2471843</v>
      </c>
      <c r="E13" s="293">
        <v>5</v>
      </c>
      <c r="F13" s="293">
        <v>319919</v>
      </c>
      <c r="G13" s="266">
        <f>F13-C13</f>
        <v>-2206888</v>
      </c>
      <c r="H13" s="293" t="s">
        <v>336</v>
      </c>
    </row>
    <row r="14" spans="1:8" ht="25.5" x14ac:dyDescent="0.2">
      <c r="A14" s="204" t="s">
        <v>9</v>
      </c>
      <c r="B14" s="205">
        <f>'баланс афн'!C12+'баланс афн'!C13+'баланс афн'!C29</f>
        <v>6899680</v>
      </c>
      <c r="C14" s="205">
        <v>3896345</v>
      </c>
      <c r="D14" s="267">
        <f t="shared" si="0"/>
        <v>3003335</v>
      </c>
      <c r="E14" s="293">
        <v>7</v>
      </c>
    </row>
    <row r="15" spans="1:8" x14ac:dyDescent="0.2">
      <c r="A15" s="204" t="s">
        <v>10</v>
      </c>
      <c r="B15" s="205">
        <f>'баланс афн'!C14</f>
        <v>0</v>
      </c>
      <c r="C15" s="205">
        <v>131136</v>
      </c>
      <c r="D15" s="267">
        <f t="shared" si="0"/>
        <v>-131136</v>
      </c>
      <c r="E15" s="293">
        <v>6</v>
      </c>
    </row>
    <row r="16" spans="1:8" x14ac:dyDescent="0.2">
      <c r="A16" s="204" t="s">
        <v>11</v>
      </c>
      <c r="B16" s="205">
        <f>'баланс афн'!C11</f>
        <v>2834318</v>
      </c>
      <c r="C16" s="205">
        <v>4108087</v>
      </c>
      <c r="D16" s="267">
        <f t="shared" si="0"/>
        <v>-1273769</v>
      </c>
      <c r="E16" s="293">
        <v>6</v>
      </c>
    </row>
    <row r="17" spans="1:5" x14ac:dyDescent="0.2">
      <c r="A17" s="204" t="s">
        <v>12</v>
      </c>
      <c r="B17" s="205">
        <f>'баланс афн'!C22</f>
        <v>1935888</v>
      </c>
      <c r="C17" s="205">
        <v>1042715</v>
      </c>
      <c r="D17" s="267">
        <f t="shared" si="0"/>
        <v>893173</v>
      </c>
      <c r="E17" s="293">
        <v>9</v>
      </c>
    </row>
    <row r="18" spans="1:5" x14ac:dyDescent="0.2">
      <c r="A18" s="204" t="s">
        <v>13</v>
      </c>
      <c r="B18" s="205">
        <f>'баланс афн'!C17</f>
        <v>2139757</v>
      </c>
      <c r="C18" s="205">
        <v>1217935</v>
      </c>
      <c r="D18" s="267">
        <f t="shared" si="0"/>
        <v>921822</v>
      </c>
      <c r="E18" s="293">
        <v>10</v>
      </c>
    </row>
    <row r="19" spans="1:5" ht="25.5" x14ac:dyDescent="0.2">
      <c r="A19" s="204" t="s">
        <v>14</v>
      </c>
      <c r="B19" s="205">
        <f>'баланс афн'!C21+'баланс афн'!C18</f>
        <v>357903</v>
      </c>
      <c r="C19" s="205">
        <v>374444</v>
      </c>
      <c r="D19" s="267">
        <f t="shared" si="0"/>
        <v>-16541</v>
      </c>
      <c r="E19" s="293">
        <v>10</v>
      </c>
    </row>
    <row r="20" spans="1:5" x14ac:dyDescent="0.2">
      <c r="A20" s="204" t="s">
        <v>15</v>
      </c>
      <c r="B20" s="205">
        <f>'баланс афн'!C32</f>
        <v>300479</v>
      </c>
      <c r="C20" s="205">
        <v>327448</v>
      </c>
      <c r="D20" s="267">
        <f t="shared" si="0"/>
        <v>-26969</v>
      </c>
    </row>
    <row r="21" spans="1:5" x14ac:dyDescent="0.2">
      <c r="A21" s="204" t="s">
        <v>434</v>
      </c>
      <c r="B21" s="205">
        <f>'баланс афн'!C35</f>
        <v>113632</v>
      </c>
      <c r="C21" s="205">
        <f>'баланс афн'!D35</f>
        <v>120720</v>
      </c>
      <c r="D21" s="267">
        <f t="shared" si="0"/>
        <v>-7088</v>
      </c>
    </row>
    <row r="22" spans="1:5" x14ac:dyDescent="0.2">
      <c r="A22" s="204" t="s">
        <v>16</v>
      </c>
      <c r="B22" s="205">
        <f>'баланс афн'!C27+'баланс афн'!C28</f>
        <v>251094</v>
      </c>
      <c r="C22" s="205">
        <v>143742</v>
      </c>
      <c r="D22" s="267">
        <f>B22-C22</f>
        <v>107352</v>
      </c>
    </row>
    <row r="23" spans="1:5" x14ac:dyDescent="0.2">
      <c r="A23" s="204" t="s">
        <v>17</v>
      </c>
      <c r="B23" s="205">
        <f>'баланс афн'!C23+'баланс афн'!C24+'баланс афн'!C26+'баланс афн'!C36+'баланс афн'!C31</f>
        <v>653555</v>
      </c>
      <c r="C23" s="205">
        <f>535684-C21</f>
        <v>414964</v>
      </c>
      <c r="D23" s="267">
        <f>B23-C23</f>
        <v>238591</v>
      </c>
    </row>
    <row r="24" spans="1:5" x14ac:dyDescent="0.2">
      <c r="A24" s="202" t="s">
        <v>18</v>
      </c>
      <c r="B24" s="206">
        <f>SUM(B25:B29)</f>
        <v>6927724</v>
      </c>
      <c r="C24" s="206">
        <v>4913466</v>
      </c>
      <c r="D24" s="267">
        <f>B24-C24</f>
        <v>2014258</v>
      </c>
    </row>
    <row r="25" spans="1:5" x14ac:dyDescent="0.2">
      <c r="A25" s="204" t="s">
        <v>19</v>
      </c>
      <c r="B25" s="205">
        <f>'баланс афн'!C46+'баланс афн'!C47+'баланс афн'!C49</f>
        <v>1700222</v>
      </c>
      <c r="C25" s="205">
        <v>766996</v>
      </c>
      <c r="D25" s="267">
        <f t="shared" ref="D25:D34" si="1">B25-C25</f>
        <v>933226</v>
      </c>
      <c r="E25" s="293">
        <v>11</v>
      </c>
    </row>
    <row r="26" spans="1:5" x14ac:dyDescent="0.2">
      <c r="A26" s="204" t="s">
        <v>20</v>
      </c>
      <c r="B26" s="205">
        <f>'баланс афн'!C40</f>
        <v>3596151</v>
      </c>
      <c r="C26" s="205">
        <v>2600469</v>
      </c>
      <c r="D26" s="267">
        <f t="shared" si="1"/>
        <v>995682</v>
      </c>
      <c r="E26" s="293">
        <v>10</v>
      </c>
    </row>
    <row r="27" spans="1:5" x14ac:dyDescent="0.2">
      <c r="A27" s="204" t="s">
        <v>21</v>
      </c>
      <c r="B27" s="205">
        <f>'баланс афн'!C43+'баланс афн'!C44</f>
        <v>1347063</v>
      </c>
      <c r="C27" s="205">
        <v>1287605</v>
      </c>
      <c r="D27" s="267">
        <f t="shared" si="1"/>
        <v>59458</v>
      </c>
      <c r="E27" s="293">
        <v>10</v>
      </c>
    </row>
    <row r="28" spans="1:5" x14ac:dyDescent="0.2">
      <c r="A28" s="204" t="s">
        <v>22</v>
      </c>
      <c r="B28" s="205">
        <f>'баланс афн'!C56</f>
        <v>109315</v>
      </c>
      <c r="C28" s="205">
        <v>0</v>
      </c>
      <c r="D28" s="267">
        <f t="shared" si="1"/>
        <v>109315</v>
      </c>
    </row>
    <row r="29" spans="1:5" x14ac:dyDescent="0.2">
      <c r="A29" s="204" t="s">
        <v>23</v>
      </c>
      <c r="B29" s="205">
        <f>'баланс афн'!C50+'баланс афн'!C55+'баланс афн'!C58</f>
        <v>174973</v>
      </c>
      <c r="C29" s="205">
        <v>258396</v>
      </c>
      <c r="D29" s="267">
        <f t="shared" si="1"/>
        <v>-83423</v>
      </c>
    </row>
    <row r="30" spans="1:5" x14ac:dyDescent="0.2">
      <c r="A30" s="202" t="s">
        <v>24</v>
      </c>
      <c r="B30" s="206">
        <f>SUM(B31:B34)</f>
        <v>8613546</v>
      </c>
      <c r="C30" s="206">
        <v>9390877</v>
      </c>
      <c r="D30" s="267">
        <f t="shared" si="1"/>
        <v>-777331</v>
      </c>
    </row>
    <row r="31" spans="1:5" x14ac:dyDescent="0.2">
      <c r="A31" s="204" t="s">
        <v>25</v>
      </c>
      <c r="B31" s="205">
        <f>'баланс афн'!C62</f>
        <v>1500000</v>
      </c>
      <c r="C31" s="205">
        <v>1500000</v>
      </c>
      <c r="D31" s="267">
        <f t="shared" si="1"/>
        <v>0</v>
      </c>
    </row>
    <row r="32" spans="1:5" x14ac:dyDescent="0.2">
      <c r="A32" s="204" t="s">
        <v>26</v>
      </c>
      <c r="B32" s="205">
        <f>'баланс афн'!C67</f>
        <v>890244</v>
      </c>
      <c r="C32" s="205">
        <v>719731</v>
      </c>
      <c r="D32" s="267">
        <f t="shared" si="1"/>
        <v>170513</v>
      </c>
    </row>
    <row r="33" spans="1:6" x14ac:dyDescent="0.2">
      <c r="A33" s="204" t="s">
        <v>27</v>
      </c>
      <c r="B33" s="205">
        <f>'баланс афн'!C68</f>
        <v>-12855</v>
      </c>
      <c r="C33" s="205">
        <v>-38911</v>
      </c>
      <c r="D33" s="267">
        <f t="shared" si="1"/>
        <v>26056</v>
      </c>
    </row>
    <row r="34" spans="1:6" x14ac:dyDescent="0.2">
      <c r="A34" s="204" t="s">
        <v>28</v>
      </c>
      <c r="B34" s="205">
        <f>'баланс афн'!C69</f>
        <v>6236157</v>
      </c>
      <c r="C34" s="205">
        <v>7210057</v>
      </c>
      <c r="D34" s="267">
        <f t="shared" si="1"/>
        <v>-973900</v>
      </c>
    </row>
    <row r="35" spans="1:6" x14ac:dyDescent="0.2">
      <c r="A35" s="202" t="s">
        <v>29</v>
      </c>
      <c r="B35" s="203">
        <f>B24+B30</f>
        <v>15541270</v>
      </c>
      <c r="C35" s="203">
        <v>14304343</v>
      </c>
      <c r="D35" s="267">
        <f>B35-C35</f>
        <v>1236927</v>
      </c>
      <c r="F35" s="266">
        <f>11471420-125705-C24</f>
        <v>6432249</v>
      </c>
    </row>
    <row r="36" spans="1:6" x14ac:dyDescent="0.2">
      <c r="B36" s="207"/>
      <c r="C36" s="207"/>
      <c r="D36" s="207"/>
    </row>
    <row r="37" spans="1:6" x14ac:dyDescent="0.2">
      <c r="A37" s="208" t="s">
        <v>124</v>
      </c>
      <c r="B37" s="209">
        <f>('баланс афн'!C75-'баланс афн'!C35-'баланс афн'!C59)/1500</f>
        <v>5666.6093333333338</v>
      </c>
      <c r="C37" s="209">
        <v>6180.1046666666671</v>
      </c>
      <c r="D37" s="207"/>
    </row>
    <row r="38" spans="1:6" x14ac:dyDescent="0.2">
      <c r="A38" s="210"/>
      <c r="B38" s="211"/>
      <c r="C38" s="211"/>
      <c r="D38" s="207"/>
    </row>
    <row r="39" spans="1:6" x14ac:dyDescent="0.2">
      <c r="A39" s="289" t="s">
        <v>341</v>
      </c>
      <c r="B39" s="260"/>
      <c r="C39" s="135"/>
      <c r="D39" s="207">
        <f>B12-B35</f>
        <v>0</v>
      </c>
      <c r="F39" s="266">
        <f>C35-C12</f>
        <v>0</v>
      </c>
    </row>
    <row r="40" spans="1:6" x14ac:dyDescent="0.2">
      <c r="A40" s="213"/>
      <c r="B40" s="125"/>
      <c r="C40" s="135"/>
      <c r="D40" s="207">
        <f>B12-B35</f>
        <v>0</v>
      </c>
    </row>
    <row r="41" spans="1:6" x14ac:dyDescent="0.2">
      <c r="A41" s="213" t="s">
        <v>359</v>
      </c>
      <c r="B41" s="265"/>
      <c r="C41" s="214"/>
    </row>
    <row r="42" spans="1:6" x14ac:dyDescent="0.2">
      <c r="A42" s="213"/>
      <c r="B42" s="213"/>
      <c r="C42" s="214"/>
    </row>
    <row r="43" spans="1:6" x14ac:dyDescent="0.2">
      <c r="A43" s="213" t="s">
        <v>360</v>
      </c>
      <c r="B43" s="265"/>
      <c r="C43" s="214"/>
    </row>
    <row r="44" spans="1:6" x14ac:dyDescent="0.2">
      <c r="A44" s="213"/>
      <c r="B44" s="213"/>
      <c r="C44" s="127"/>
    </row>
    <row r="45" spans="1:6" x14ac:dyDescent="0.2">
      <c r="A45" s="213" t="s">
        <v>63</v>
      </c>
      <c r="B45" s="213"/>
      <c r="C45" s="127"/>
    </row>
    <row r="46" spans="1:6" x14ac:dyDescent="0.2">
      <c r="A46" s="215"/>
      <c r="B46" s="213"/>
      <c r="C46" s="127"/>
    </row>
    <row r="47" spans="1:6" x14ac:dyDescent="0.2">
      <c r="A47" s="215"/>
      <c r="B47" s="213"/>
      <c r="C47" s="127"/>
    </row>
    <row r="48" spans="1:6" x14ac:dyDescent="0.2">
      <c r="A48" s="215" t="s">
        <v>30</v>
      </c>
      <c r="B48" s="213"/>
      <c r="C48" s="127"/>
    </row>
  </sheetData>
  <mergeCells count="5">
    <mergeCell ref="A3:C3"/>
    <mergeCell ref="A6:C6"/>
    <mergeCell ref="A7:C7"/>
    <mergeCell ref="A8:C8"/>
    <mergeCell ref="A9:C9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4"/>
  <sheetViews>
    <sheetView view="pageBreakPreview" zoomScale="145" zoomScaleSheetLayoutView="145" workbookViewId="0">
      <selection activeCell="B23" sqref="B23"/>
    </sheetView>
  </sheetViews>
  <sheetFormatPr defaultRowHeight="12.75" x14ac:dyDescent="0.2"/>
  <cols>
    <col min="1" max="1" width="68.5703125" style="216" customWidth="1"/>
    <col min="2" max="2" width="21.85546875" style="42" customWidth="1"/>
    <col min="3" max="3" width="21.5703125" style="42" customWidth="1"/>
    <col min="4" max="4" width="14.28515625" style="42" customWidth="1"/>
    <col min="5" max="5" width="0" style="217" hidden="1" customWidth="1"/>
    <col min="6" max="6" width="18.5703125" style="218" hidden="1" customWidth="1"/>
    <col min="7" max="7" width="13.5703125" style="216" customWidth="1"/>
    <col min="8" max="8" width="11.85546875" style="293" bestFit="1" customWidth="1"/>
    <col min="9" max="16384" width="9.140625" style="293"/>
  </cols>
  <sheetData>
    <row r="1" spans="1:8" x14ac:dyDescent="0.2">
      <c r="C1" s="42" t="s">
        <v>93</v>
      </c>
    </row>
    <row r="2" spans="1:8" x14ac:dyDescent="0.2">
      <c r="A2" s="458" t="s">
        <v>94</v>
      </c>
      <c r="B2" s="458"/>
      <c r="C2" s="458"/>
    </row>
    <row r="3" spans="1:8" x14ac:dyDescent="0.2">
      <c r="A3" s="459" t="s">
        <v>3</v>
      </c>
      <c r="B3" s="459"/>
      <c r="C3" s="459"/>
      <c r="F3" s="219"/>
      <c r="G3" s="219"/>
    </row>
    <row r="4" spans="1:8" x14ac:dyDescent="0.2">
      <c r="A4" s="460" t="str">
        <f>баланс!A8</f>
        <v>по состоянию на 01 октября 2016 года</v>
      </c>
      <c r="B4" s="460"/>
      <c r="C4" s="460"/>
      <c r="F4" s="220"/>
      <c r="G4" s="220"/>
    </row>
    <row r="5" spans="1:8" ht="56.25" customHeight="1" x14ac:dyDescent="0.2">
      <c r="A5" s="221" t="s">
        <v>5</v>
      </c>
      <c r="B5" s="47" t="s">
        <v>35</v>
      </c>
      <c r="C5" s="47" t="s">
        <v>36</v>
      </c>
      <c r="D5" s="42" t="s">
        <v>95</v>
      </c>
      <c r="F5" s="220"/>
      <c r="G5" s="220"/>
    </row>
    <row r="6" spans="1:8" x14ac:dyDescent="0.2">
      <c r="A6" s="50">
        <v>1</v>
      </c>
      <c r="B6" s="50">
        <v>2</v>
      </c>
      <c r="C6" s="50">
        <v>3</v>
      </c>
    </row>
    <row r="7" spans="1:8" x14ac:dyDescent="0.2">
      <c r="A7" s="222" t="s">
        <v>96</v>
      </c>
      <c r="B7" s="223">
        <f>'опу афн'!D16+'опу афн'!D17-'опу афн'!D67</f>
        <v>4695286</v>
      </c>
      <c r="C7" s="224">
        <f>'опу афн'!F16+'опу афн'!F17-'опу афн'!F67</f>
        <v>1539239</v>
      </c>
      <c r="D7" s="225">
        <f>B7-C7</f>
        <v>3156047</v>
      </c>
      <c r="F7" s="218">
        <v>1.2</v>
      </c>
    </row>
    <row r="8" spans="1:8" x14ac:dyDescent="0.2">
      <c r="A8" s="222" t="s">
        <v>91</v>
      </c>
      <c r="B8" s="223">
        <f>-'опу афн'!D18</f>
        <v>-2901615</v>
      </c>
      <c r="C8" s="224">
        <f>-'опу афн'!F18</f>
        <v>-586170</v>
      </c>
      <c r="D8" s="225">
        <f t="shared" ref="D8:D29" si="0">B8-C8</f>
        <v>-2315445</v>
      </c>
      <c r="F8" s="218" t="s">
        <v>121</v>
      </c>
    </row>
    <row r="9" spans="1:8" x14ac:dyDescent="0.2">
      <c r="A9" s="226" t="s">
        <v>97</v>
      </c>
      <c r="B9" s="227">
        <f>B7+B8</f>
        <v>1793671</v>
      </c>
      <c r="C9" s="228">
        <f>C7+C8</f>
        <v>953069</v>
      </c>
      <c r="D9" s="225">
        <f t="shared" si="0"/>
        <v>840602</v>
      </c>
      <c r="F9" s="218" t="s">
        <v>122</v>
      </c>
    </row>
    <row r="10" spans="1:8" x14ac:dyDescent="0.2">
      <c r="A10" s="222" t="s">
        <v>98</v>
      </c>
      <c r="B10" s="223">
        <f>'опу афн'!D21-'опу афн'!D20</f>
        <v>-73860</v>
      </c>
      <c r="C10" s="224">
        <f>'опу афн'!F21-'опу афн'!F20</f>
        <v>894143</v>
      </c>
      <c r="D10" s="225">
        <f t="shared" si="0"/>
        <v>-968003</v>
      </c>
      <c r="F10" s="229" t="s">
        <v>99</v>
      </c>
    </row>
    <row r="11" spans="1:8" x14ac:dyDescent="0.2">
      <c r="A11" s="226" t="s">
        <v>100</v>
      </c>
      <c r="B11" s="227">
        <f>B9+B10</f>
        <v>1719811</v>
      </c>
      <c r="C11" s="228">
        <f>C9+C10</f>
        <v>1847212</v>
      </c>
      <c r="D11" s="225">
        <f t="shared" si="0"/>
        <v>-127401</v>
      </c>
      <c r="F11" s="218" t="s">
        <v>123</v>
      </c>
      <c r="H11" s="230"/>
    </row>
    <row r="12" spans="1:8" x14ac:dyDescent="0.2">
      <c r="A12" s="222" t="s">
        <v>101</v>
      </c>
      <c r="B12" s="274">
        <f>-('опу афн'!D52+'опу афн'!D53-'опу афн'!D55+'опу афн'!D57+'опу афн'!D62+'опу афн'!D64)</f>
        <v>-600526</v>
      </c>
      <c r="C12" s="262">
        <f>-('опу афн'!F52+'опу афн'!F53-'опу афн'!F55+'опу афн'!F57+'опу афн'!F62+'опу афн'!F64)</f>
        <v>-661684</v>
      </c>
      <c r="D12" s="225">
        <f t="shared" si="0"/>
        <v>61158</v>
      </c>
      <c r="F12" s="218" t="s">
        <v>102</v>
      </c>
      <c r="G12" s="231"/>
    </row>
    <row r="13" spans="1:8" x14ac:dyDescent="0.2">
      <c r="A13" s="222" t="s">
        <v>103</v>
      </c>
      <c r="B13" s="223">
        <f>'опу афн'!D54+'опу афн'!D63+'опу афн'!D65</f>
        <v>152975</v>
      </c>
      <c r="C13" s="224">
        <f>'опу афн'!F54+'опу афн'!F63+'опу афн'!F65</f>
        <v>-4211</v>
      </c>
      <c r="D13" s="225">
        <f t="shared" si="0"/>
        <v>157186</v>
      </c>
      <c r="F13" s="218" t="s">
        <v>104</v>
      </c>
      <c r="H13" s="230"/>
    </row>
    <row r="14" spans="1:8" x14ac:dyDescent="0.2">
      <c r="A14" s="226" t="s">
        <v>105</v>
      </c>
      <c r="B14" s="227">
        <f>B12+B13</f>
        <v>-447551</v>
      </c>
      <c r="C14" s="228">
        <f>C12+C13</f>
        <v>-665895</v>
      </c>
      <c r="D14" s="225">
        <f t="shared" si="0"/>
        <v>218344</v>
      </c>
      <c r="F14" s="232"/>
      <c r="G14" s="232"/>
    </row>
    <row r="15" spans="1:8" x14ac:dyDescent="0.2">
      <c r="A15" s="222" t="s">
        <v>106</v>
      </c>
      <c r="B15" s="223">
        <f>-'опу афн'!D66</f>
        <v>-357547</v>
      </c>
      <c r="C15" s="224">
        <f>-'опу афн'!F66</f>
        <v>-443346</v>
      </c>
      <c r="D15" s="225">
        <f t="shared" si="0"/>
        <v>85799</v>
      </c>
      <c r="E15" s="233"/>
      <c r="F15" s="234" t="s">
        <v>92</v>
      </c>
      <c r="G15" s="235"/>
    </row>
    <row r="16" spans="1:8" x14ac:dyDescent="0.2">
      <c r="A16" s="222" t="s">
        <v>107</v>
      </c>
      <c r="B16" s="223">
        <f>'опу афн'!D23</f>
        <v>45218</v>
      </c>
      <c r="C16" s="224">
        <f>'опу афн'!F23</f>
        <v>13694</v>
      </c>
      <c r="D16" s="225">
        <f t="shared" si="0"/>
        <v>31524</v>
      </c>
      <c r="F16" s="218">
        <v>8</v>
      </c>
    </row>
    <row r="17" spans="1:7" x14ac:dyDescent="0.2">
      <c r="A17" s="226" t="s">
        <v>108</v>
      </c>
      <c r="B17" s="227">
        <f>B15+B16</f>
        <v>-312329</v>
      </c>
      <c r="C17" s="228">
        <f>C15+C16</f>
        <v>-429652</v>
      </c>
      <c r="D17" s="225">
        <f t="shared" si="0"/>
        <v>117323</v>
      </c>
    </row>
    <row r="18" spans="1:7" x14ac:dyDescent="0.2">
      <c r="A18" s="222" t="s">
        <v>109</v>
      </c>
      <c r="B18" s="223">
        <f>-'опу афн'!D76</f>
        <v>-860631</v>
      </c>
      <c r="C18" s="224">
        <f>-'опу афн'!F76</f>
        <v>-575362</v>
      </c>
      <c r="D18" s="225">
        <f t="shared" si="0"/>
        <v>-285269</v>
      </c>
      <c r="F18" s="216">
        <v>40.1</v>
      </c>
    </row>
    <row r="19" spans="1:7" x14ac:dyDescent="0.2">
      <c r="A19" s="222" t="s">
        <v>110</v>
      </c>
      <c r="B19" s="223">
        <f>'опу афн'!D26+'опу афн'!D30+'опу афн'!D36</f>
        <v>1024967</v>
      </c>
      <c r="C19" s="224">
        <f>'опу афн'!F26+'опу афн'!F30+'опу афн'!F36</f>
        <v>100889</v>
      </c>
      <c r="D19" s="225">
        <f t="shared" si="0"/>
        <v>924078</v>
      </c>
      <c r="F19" s="218" t="s">
        <v>111</v>
      </c>
    </row>
    <row r="20" spans="1:7" x14ac:dyDescent="0.2">
      <c r="A20" s="222" t="s">
        <v>112</v>
      </c>
      <c r="B20" s="223">
        <f>'опу афн'!D44</f>
        <v>43268</v>
      </c>
      <c r="C20" s="224">
        <f>'опу афн'!F44</f>
        <v>1540347</v>
      </c>
      <c r="D20" s="225">
        <f t="shared" si="0"/>
        <v>-1497079</v>
      </c>
      <c r="F20" s="218">
        <v>14</v>
      </c>
    </row>
    <row r="21" spans="1:7" x14ac:dyDescent="0.2">
      <c r="A21" s="222" t="s">
        <v>113</v>
      </c>
      <c r="B21" s="223">
        <f>-'опу афн'!D74-B18-B22</f>
        <v>-361956</v>
      </c>
      <c r="C21" s="224">
        <f>-'опу афн'!F74-C18-C22</f>
        <v>-355878</v>
      </c>
      <c r="D21" s="225">
        <f t="shared" si="0"/>
        <v>-6078</v>
      </c>
      <c r="F21" s="216" t="s">
        <v>114</v>
      </c>
    </row>
    <row r="22" spans="1:7" x14ac:dyDescent="0.2">
      <c r="A22" s="222" t="s">
        <v>115</v>
      </c>
      <c r="B22" s="223">
        <f>-'опу афн'!D79</f>
        <v>-44569</v>
      </c>
      <c r="C22" s="224">
        <f>-'опу афн'!F79</f>
        <v>-49260</v>
      </c>
      <c r="D22" s="225">
        <f t="shared" si="0"/>
        <v>4691</v>
      </c>
      <c r="F22" s="216">
        <v>41</v>
      </c>
    </row>
    <row r="23" spans="1:7" x14ac:dyDescent="0.2">
      <c r="A23" s="222" t="s">
        <v>116</v>
      </c>
      <c r="B23" s="223">
        <f>'опу афн'!D24+'опу афн'!D45-'опу афн'!D68-'опу афн'!D73</f>
        <v>94721</v>
      </c>
      <c r="C23" s="224">
        <f>'опу афн'!F24+'опу афн'!F45-'опу афн'!F68-'опу афн'!F73-'опу афн'!F80</f>
        <v>259624</v>
      </c>
      <c r="D23" s="225">
        <f t="shared" si="0"/>
        <v>-164903</v>
      </c>
      <c r="F23" s="218" t="s">
        <v>332</v>
      </c>
    </row>
    <row r="24" spans="1:7" x14ac:dyDescent="0.2">
      <c r="A24" s="226" t="s">
        <v>117</v>
      </c>
      <c r="B24" s="227">
        <f>SUM(B18:B23)</f>
        <v>-104200</v>
      </c>
      <c r="C24" s="227">
        <f>SUM(C18:C23)</f>
        <v>920360</v>
      </c>
      <c r="D24" s="225">
        <f t="shared" si="0"/>
        <v>-1024560</v>
      </c>
    </row>
    <row r="25" spans="1:7" x14ac:dyDescent="0.2">
      <c r="A25" s="226" t="s">
        <v>38</v>
      </c>
      <c r="B25" s="227">
        <f>B24+B17+B14+B11</f>
        <v>855731</v>
      </c>
      <c r="C25" s="227">
        <f>C24+C17+C14+C11</f>
        <v>1672025</v>
      </c>
      <c r="D25" s="225">
        <f t="shared" si="0"/>
        <v>-816294</v>
      </c>
    </row>
    <row r="26" spans="1:7" x14ac:dyDescent="0.2">
      <c r="A26" s="222" t="s">
        <v>118</v>
      </c>
      <c r="B26" s="223">
        <f>-('опу афн'!D89+'опу афн'!D90)</f>
        <v>-39883</v>
      </c>
      <c r="C26" s="224">
        <f>-('опу афн'!F89+'опу афн'!F90)</f>
        <v>-6229</v>
      </c>
      <c r="D26" s="225">
        <f t="shared" si="0"/>
        <v>-33654</v>
      </c>
      <c r="F26" s="218">
        <v>47</v>
      </c>
    </row>
    <row r="27" spans="1:7" x14ac:dyDescent="0.2">
      <c r="A27" s="226" t="s">
        <v>119</v>
      </c>
      <c r="B27" s="227">
        <f>B25+B26</f>
        <v>815848</v>
      </c>
      <c r="C27" s="227">
        <f>C25+C26</f>
        <v>1665796</v>
      </c>
      <c r="D27" s="225">
        <f t="shared" si="0"/>
        <v>-849948</v>
      </c>
    </row>
    <row r="28" spans="1:7" x14ac:dyDescent="0.2">
      <c r="A28" s="236"/>
      <c r="B28" s="278">
        <f>'опу афн'!D91</f>
        <v>815848</v>
      </c>
      <c r="C28" s="278">
        <f>'опу афн'!F91</f>
        <v>1665796</v>
      </c>
      <c r="D28" s="225">
        <f t="shared" si="0"/>
        <v>-849948</v>
      </c>
      <c r="E28" s="237"/>
      <c r="G28" s="218"/>
    </row>
    <row r="29" spans="1:7" x14ac:dyDescent="0.2">
      <c r="A29" s="226" t="s">
        <v>120</v>
      </c>
      <c r="B29" s="238">
        <f>B27/1500</f>
        <v>543.89866666666671</v>
      </c>
      <c r="C29" s="239">
        <f>C27/1500</f>
        <v>1110.5306666666668</v>
      </c>
      <c r="D29" s="225">
        <f t="shared" si="0"/>
        <v>-566.63200000000006</v>
      </c>
    </row>
    <row r="30" spans="1:7" x14ac:dyDescent="0.2">
      <c r="A30" s="240"/>
      <c r="B30" s="277">
        <f>B28-B27</f>
        <v>0</v>
      </c>
      <c r="C30" s="277">
        <f>C28-C27</f>
        <v>0</v>
      </c>
      <c r="D30" s="237"/>
      <c r="E30" s="237"/>
    </row>
    <row r="31" spans="1:7" x14ac:dyDescent="0.2">
      <c r="A31" s="212" t="str">
        <f>баланс!A39</f>
        <v xml:space="preserve">Председатель Правления Ахметжанова Д. Д. </v>
      </c>
      <c r="B31" s="263">
        <f>'опу афн'!D91-ОПУ!B27</f>
        <v>0</v>
      </c>
      <c r="C31" s="241">
        <f>'опу афн'!F91-ОПУ!C27</f>
        <v>0</v>
      </c>
      <c r="D31" s="237"/>
      <c r="E31" s="237"/>
    </row>
    <row r="32" spans="1:7" x14ac:dyDescent="0.2">
      <c r="A32" s="212"/>
      <c r="B32" s="242"/>
      <c r="C32" s="242"/>
      <c r="D32" s="237"/>
      <c r="E32" s="237"/>
    </row>
    <row r="33" spans="1:7" x14ac:dyDescent="0.2">
      <c r="A33" s="212" t="str">
        <f>баланс!A41</f>
        <v>Главный бухгалтер Усенова М.О.</v>
      </c>
      <c r="B33" s="264"/>
      <c r="C33" s="243"/>
      <c r="D33" s="244"/>
      <c r="E33" s="237"/>
      <c r="F33" s="232"/>
    </row>
    <row r="34" spans="1:7" x14ac:dyDescent="0.2">
      <c r="B34" s="213"/>
      <c r="C34" s="243"/>
      <c r="D34" s="245"/>
      <c r="E34" s="237"/>
      <c r="F34" s="232"/>
    </row>
    <row r="35" spans="1:7" x14ac:dyDescent="0.2">
      <c r="A35" s="212" t="str">
        <f>баланс!A43</f>
        <v>Исполнитель Усенова М.О.</v>
      </c>
      <c r="B35" s="265"/>
      <c r="C35" s="243"/>
      <c r="D35" s="237"/>
      <c r="E35" s="237"/>
      <c r="F35" s="232"/>
    </row>
    <row r="36" spans="1:7" x14ac:dyDescent="0.2">
      <c r="A36" s="212" t="s">
        <v>90</v>
      </c>
      <c r="B36" s="213"/>
      <c r="C36" s="213"/>
      <c r="D36" s="353">
        <f>B27-'опу афн'!D91</f>
        <v>0</v>
      </c>
      <c r="E36" s="237"/>
      <c r="G36" s="231">
        <f>C27-'опу афн'!F91</f>
        <v>0</v>
      </c>
    </row>
    <row r="37" spans="1:7" x14ac:dyDescent="0.2">
      <c r="A37" s="212"/>
      <c r="B37" s="213"/>
      <c r="C37" s="213"/>
      <c r="D37" s="237"/>
      <c r="E37" s="237"/>
    </row>
    <row r="38" spans="1:7" x14ac:dyDescent="0.2">
      <c r="A38" s="212" t="s">
        <v>30</v>
      </c>
      <c r="B38" s="125"/>
      <c r="C38" s="125"/>
    </row>
    <row r="39" spans="1:7" x14ac:dyDescent="0.2">
      <c r="A39" s="212"/>
      <c r="B39" s="125"/>
      <c r="C39" s="125"/>
    </row>
    <row r="40" spans="1:7" x14ac:dyDescent="0.2">
      <c r="A40" s="212"/>
      <c r="B40" s="125"/>
      <c r="C40" s="125"/>
    </row>
    <row r="42" spans="1:7" x14ac:dyDescent="0.2">
      <c r="F42" s="232"/>
    </row>
    <row r="44" spans="1:7" x14ac:dyDescent="0.2">
      <c r="F44" s="232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9"/>
  <sheetViews>
    <sheetView view="pageBreakPreview" topLeftCell="A41" zoomScale="130" zoomScaleSheetLayoutView="130" workbookViewId="0">
      <selection activeCell="A51" sqref="A51"/>
    </sheetView>
  </sheetViews>
  <sheetFormatPr defaultRowHeight="12.75" x14ac:dyDescent="0.2"/>
  <cols>
    <col min="1" max="1" width="65.42578125" style="293" customWidth="1"/>
    <col min="2" max="3" width="18.7109375" style="293" customWidth="1"/>
    <col min="4" max="4" width="15.85546875" style="293" customWidth="1"/>
    <col min="5" max="5" width="7.140625" style="293" customWidth="1"/>
    <col min="6" max="6" width="11.85546875" style="293" hidden="1" customWidth="1"/>
    <col min="7" max="7" width="9.42578125" style="293" bestFit="1" customWidth="1"/>
    <col min="8" max="16384" width="9.140625" style="293"/>
  </cols>
  <sheetData>
    <row r="1" spans="1:6" x14ac:dyDescent="0.2">
      <c r="A1" s="199" t="s">
        <v>0</v>
      </c>
    </row>
    <row r="3" spans="1:6" x14ac:dyDescent="0.2">
      <c r="A3" s="454" t="s">
        <v>33</v>
      </c>
      <c r="B3" s="455"/>
      <c r="C3" s="455"/>
    </row>
    <row r="6" spans="1:6" x14ac:dyDescent="0.2">
      <c r="A6" s="456" t="s">
        <v>34</v>
      </c>
      <c r="B6" s="457"/>
      <c r="C6" s="457"/>
    </row>
    <row r="7" spans="1:6" x14ac:dyDescent="0.2">
      <c r="A7" s="456" t="s">
        <v>3</v>
      </c>
      <c r="B7" s="457"/>
      <c r="C7" s="457"/>
    </row>
    <row r="8" spans="1:6" x14ac:dyDescent="0.2">
      <c r="A8" s="456" t="str">
        <f>баланс!A8</f>
        <v>по состоянию на 01 октября 2016 года</v>
      </c>
      <c r="B8" s="457"/>
      <c r="C8" s="457"/>
    </row>
    <row r="9" spans="1:6" x14ac:dyDescent="0.2">
      <c r="A9" s="454" t="s">
        <v>4</v>
      </c>
      <c r="B9" s="455"/>
      <c r="C9" s="455"/>
    </row>
    <row r="10" spans="1:6" ht="63.75" x14ac:dyDescent="0.2">
      <c r="A10" s="201" t="s">
        <v>5</v>
      </c>
      <c r="B10" s="246" t="s">
        <v>35</v>
      </c>
      <c r="C10" s="246" t="s">
        <v>36</v>
      </c>
    </row>
    <row r="11" spans="1:6" x14ac:dyDescent="0.2">
      <c r="A11" s="247">
        <v>1</v>
      </c>
      <c r="B11" s="248">
        <v>2</v>
      </c>
      <c r="C11" s="248">
        <v>3</v>
      </c>
    </row>
    <row r="12" spans="1:6" x14ac:dyDescent="0.2">
      <c r="A12" s="249" t="s">
        <v>37</v>
      </c>
      <c r="B12" s="398">
        <f>SUM(B13:B16)</f>
        <v>1050159</v>
      </c>
      <c r="C12" s="398">
        <f>SUM(C13:C16)</f>
        <v>302655</v>
      </c>
    </row>
    <row r="13" spans="1:6" x14ac:dyDescent="0.2">
      <c r="A13" s="250" t="s">
        <v>38</v>
      </c>
      <c r="B13" s="251">
        <f>'ддс афн'!C9</f>
        <v>855731</v>
      </c>
      <c r="C13" s="251">
        <f>'ддс афн'!D9</f>
        <v>1102800</v>
      </c>
      <c r="D13" s="252">
        <f>B13-C13</f>
        <v>-247069</v>
      </c>
    </row>
    <row r="14" spans="1:6" x14ac:dyDescent="0.2">
      <c r="A14" s="250" t="s">
        <v>39</v>
      </c>
      <c r="B14" s="253"/>
      <c r="C14" s="253"/>
      <c r="D14" s="252">
        <f t="shared" ref="D14:D47" si="0">B14-C14</f>
        <v>0</v>
      </c>
    </row>
    <row r="15" spans="1:6" x14ac:dyDescent="0.2">
      <c r="A15" s="250" t="s">
        <v>40</v>
      </c>
      <c r="B15" s="254">
        <f>'ддс афн'!C22+'ддс афн'!C30+'ддс афн'!C33+'ддс афн'!C34+'ддс афн'!C35</f>
        <v>149859</v>
      </c>
      <c r="C15" s="254">
        <f>'ддс афн'!D22+('ддс афн'!D30+'ддс афн'!D31+'ддс афн'!D32+'ддс афн'!D33+'ддс афн'!D34+'ддс афн'!D35)</f>
        <v>-843698</v>
      </c>
      <c r="D15" s="252">
        <f t="shared" si="0"/>
        <v>993557</v>
      </c>
      <c r="F15" s="252" t="s">
        <v>335</v>
      </c>
    </row>
    <row r="16" spans="1:6" x14ac:dyDescent="0.2">
      <c r="A16" s="250" t="s">
        <v>115</v>
      </c>
      <c r="B16" s="254">
        <f>'ддс афн'!C11</f>
        <v>44569</v>
      </c>
      <c r="C16" s="254">
        <f>'ддс афн'!D11</f>
        <v>43553</v>
      </c>
      <c r="D16" s="252">
        <f t="shared" si="0"/>
        <v>1016</v>
      </c>
    </row>
    <row r="17" spans="1:7" x14ac:dyDescent="0.2">
      <c r="A17" s="250" t="s">
        <v>41</v>
      </c>
      <c r="B17" s="253"/>
      <c r="C17" s="253"/>
      <c r="D17" s="252">
        <f t="shared" si="0"/>
        <v>0</v>
      </c>
    </row>
    <row r="18" spans="1:7" x14ac:dyDescent="0.2">
      <c r="A18" s="250" t="s">
        <v>42</v>
      </c>
      <c r="B18" s="253"/>
      <c r="C18" s="253"/>
      <c r="D18" s="252">
        <f t="shared" si="0"/>
        <v>0</v>
      </c>
    </row>
    <row r="19" spans="1:7" x14ac:dyDescent="0.2">
      <c r="A19" s="255"/>
      <c r="B19" s="256"/>
      <c r="C19" s="256"/>
      <c r="D19" s="252">
        <f t="shared" si="0"/>
        <v>0</v>
      </c>
    </row>
    <row r="20" spans="1:7" x14ac:dyDescent="0.2">
      <c r="A20" s="249" t="s">
        <v>43</v>
      </c>
      <c r="B20" s="398">
        <f>SUM(B21:B25)</f>
        <v>-2737858</v>
      </c>
      <c r="C20" s="398">
        <f>SUM(C21:C25)</f>
        <v>-535904</v>
      </c>
      <c r="D20" s="252">
        <f t="shared" si="0"/>
        <v>-2201954</v>
      </c>
    </row>
    <row r="21" spans="1:7" ht="25.5" x14ac:dyDescent="0.2">
      <c r="A21" s="250" t="s">
        <v>9</v>
      </c>
      <c r="B21" s="254">
        <f>'ддс афн'!C20</f>
        <v>-2924557</v>
      </c>
      <c r="C21" s="254">
        <f>'ддс афн'!D20</f>
        <v>1291751</v>
      </c>
      <c r="D21" s="252">
        <f t="shared" si="0"/>
        <v>-4216308</v>
      </c>
      <c r="F21" s="293">
        <v>8</v>
      </c>
    </row>
    <row r="22" spans="1:7" x14ac:dyDescent="0.2">
      <c r="A22" s="250" t="s">
        <v>11</v>
      </c>
      <c r="B22" s="254">
        <f>'ддс афн'!C19</f>
        <v>1273769</v>
      </c>
      <c r="C22" s="254">
        <f>'ддс афн'!D19</f>
        <v>-1668977</v>
      </c>
      <c r="D22" s="252">
        <f t="shared" si="0"/>
        <v>2942746</v>
      </c>
      <c r="F22" s="293">
        <v>7</v>
      </c>
    </row>
    <row r="23" spans="1:7" x14ac:dyDescent="0.2">
      <c r="A23" s="250" t="s">
        <v>44</v>
      </c>
      <c r="B23" s="254">
        <f>'ддс афн'!C21</f>
        <v>131136</v>
      </c>
      <c r="C23" s="254">
        <f>'ддс афн'!D21</f>
        <v>70000</v>
      </c>
      <c r="D23" s="252">
        <f t="shared" si="0"/>
        <v>61136</v>
      </c>
      <c r="F23" s="293">
        <v>9</v>
      </c>
    </row>
    <row r="24" spans="1:7" x14ac:dyDescent="0.2">
      <c r="A24" s="250" t="s">
        <v>12</v>
      </c>
      <c r="B24" s="254">
        <f>'ддс афн'!C23</f>
        <v>-955505</v>
      </c>
      <c r="C24" s="254">
        <f>'ддс афн'!D23</f>
        <v>130224</v>
      </c>
      <c r="D24" s="252">
        <f t="shared" si="0"/>
        <v>-1085729</v>
      </c>
      <c r="F24" s="293">
        <v>11</v>
      </c>
    </row>
    <row r="25" spans="1:7" x14ac:dyDescent="0.2">
      <c r="A25" s="250" t="s">
        <v>17</v>
      </c>
      <c r="B25" s="254">
        <f>'ддс афн'!C25+'ддс афн'!C26+'ддс афн'!C27+'ддс афн'!C28</f>
        <v>-262701</v>
      </c>
      <c r="C25" s="254">
        <f>'ддс афн'!D25+'ддс афн'!D26+'ддс афн'!D27+'ддс афн'!D28</f>
        <v>-358902</v>
      </c>
      <c r="D25" s="252">
        <f t="shared" si="0"/>
        <v>96201</v>
      </c>
      <c r="F25" s="293" t="s">
        <v>333</v>
      </c>
    </row>
    <row r="26" spans="1:7" x14ac:dyDescent="0.2">
      <c r="A26" s="255"/>
      <c r="B26" s="256"/>
      <c r="C26" s="256"/>
      <c r="D26" s="252">
        <f t="shared" si="0"/>
        <v>0</v>
      </c>
    </row>
    <row r="27" spans="1:7" x14ac:dyDescent="0.2">
      <c r="A27" s="249" t="s">
        <v>45</v>
      </c>
      <c r="B27" s="398">
        <f>SUM(B28:B29)</f>
        <v>959116</v>
      </c>
      <c r="C27" s="398">
        <f>SUM(C28:C29)</f>
        <v>-159118</v>
      </c>
      <c r="D27" s="252">
        <f t="shared" si="0"/>
        <v>1118234</v>
      </c>
    </row>
    <row r="28" spans="1:7" x14ac:dyDescent="0.2">
      <c r="A28" s="250" t="s">
        <v>19</v>
      </c>
      <c r="B28" s="254">
        <f>'ддс афн'!C36+'ддс афн'!C37+'ддс афн'!C38</f>
        <v>933226</v>
      </c>
      <c r="C28" s="254">
        <f>'ддс афн'!D36+'ддс афн'!D37+'ддс афн'!D38</f>
        <v>-74330</v>
      </c>
      <c r="D28" s="252">
        <f t="shared" si="0"/>
        <v>1007556</v>
      </c>
      <c r="F28" s="293" t="s">
        <v>334</v>
      </c>
    </row>
    <row r="29" spans="1:7" x14ac:dyDescent="0.2">
      <c r="A29" s="250" t="s">
        <v>23</v>
      </c>
      <c r="B29" s="254">
        <f>'ддс афн'!C39+'ддс афн'!C41+'ддс афн'!C42</f>
        <v>25890</v>
      </c>
      <c r="C29" s="254">
        <f>'ддс афн'!D39+'ддс афн'!D41+'ддс афн'!D42</f>
        <v>-84788</v>
      </c>
      <c r="D29" s="252">
        <f t="shared" si="0"/>
        <v>110678</v>
      </c>
    </row>
    <row r="30" spans="1:7" x14ac:dyDescent="0.2">
      <c r="A30" s="255"/>
      <c r="B30" s="256"/>
      <c r="C30" s="256"/>
      <c r="D30" s="252">
        <f t="shared" si="0"/>
        <v>0</v>
      </c>
      <c r="F30" s="230"/>
    </row>
    <row r="31" spans="1:7" ht="25.5" x14ac:dyDescent="0.2">
      <c r="A31" s="249" t="s">
        <v>46</v>
      </c>
      <c r="B31" s="253"/>
      <c r="C31" s="253"/>
      <c r="D31" s="252">
        <f t="shared" si="0"/>
        <v>0</v>
      </c>
      <c r="G31" s="252">
        <f>B15+B20+B27</f>
        <v>-1628883</v>
      </c>
    </row>
    <row r="32" spans="1:7" x14ac:dyDescent="0.2">
      <c r="A32" s="250" t="s">
        <v>47</v>
      </c>
      <c r="B32" s="254">
        <f>-'ддс афн'!C44</f>
        <v>-39883</v>
      </c>
      <c r="C32" s="254">
        <f>-'ддс афн'!D44</f>
        <v>-4597</v>
      </c>
      <c r="D32" s="252">
        <f t="shared" si="0"/>
        <v>-35286</v>
      </c>
    </row>
    <row r="33" spans="1:4" x14ac:dyDescent="0.2">
      <c r="A33" s="250" t="s">
        <v>48</v>
      </c>
      <c r="B33" s="253"/>
      <c r="C33" s="253"/>
      <c r="D33" s="252">
        <f t="shared" si="0"/>
        <v>0</v>
      </c>
    </row>
    <row r="34" spans="1:4" x14ac:dyDescent="0.2">
      <c r="A34" s="249" t="s">
        <v>49</v>
      </c>
      <c r="B34" s="256">
        <f>SUM(B32:B33)</f>
        <v>-39883</v>
      </c>
      <c r="C34" s="256">
        <f>SUM(C32:C33)</f>
        <v>-4597</v>
      </c>
      <c r="D34" s="252">
        <f t="shared" si="0"/>
        <v>-35286</v>
      </c>
    </row>
    <row r="35" spans="1:4" x14ac:dyDescent="0.2">
      <c r="A35" s="249" t="s">
        <v>50</v>
      </c>
      <c r="B35" s="253"/>
      <c r="C35" s="253"/>
      <c r="D35" s="252">
        <f t="shared" si="0"/>
        <v>0</v>
      </c>
    </row>
    <row r="36" spans="1:4" x14ac:dyDescent="0.2">
      <c r="A36" s="250" t="s">
        <v>51</v>
      </c>
      <c r="B36" s="254">
        <f>'ддс афн'!C47</f>
        <v>-98955</v>
      </c>
      <c r="C36" s="254">
        <f>'ддс афн'!D47</f>
        <v>297552</v>
      </c>
      <c r="D36" s="252">
        <f t="shared" si="0"/>
        <v>-396507</v>
      </c>
    </row>
    <row r="37" spans="1:4" x14ac:dyDescent="0.2">
      <c r="A37" s="250" t="s">
        <v>52</v>
      </c>
      <c r="B37" s="254">
        <f>'ддс афн'!C48</f>
        <v>-10512</v>
      </c>
      <c r="C37" s="254">
        <f>'ддс афн'!D48</f>
        <v>-10533</v>
      </c>
      <c r="D37" s="252">
        <f t="shared" si="0"/>
        <v>21</v>
      </c>
    </row>
    <row r="38" spans="1:4" x14ac:dyDescent="0.2">
      <c r="A38" s="250" t="s">
        <v>53</v>
      </c>
      <c r="B38" s="254">
        <v>0</v>
      </c>
      <c r="C38" s="254">
        <v>0</v>
      </c>
      <c r="D38" s="252">
        <f t="shared" si="0"/>
        <v>0</v>
      </c>
    </row>
    <row r="39" spans="1:4" x14ac:dyDescent="0.2">
      <c r="A39" s="249" t="s">
        <v>54</v>
      </c>
      <c r="B39" s="256">
        <f>SUM(B36:B38)</f>
        <v>-109467</v>
      </c>
      <c r="C39" s="256">
        <f>SUM(C36:C38)</f>
        <v>287019</v>
      </c>
      <c r="D39" s="252">
        <f t="shared" si="0"/>
        <v>-396486</v>
      </c>
    </row>
    <row r="40" spans="1:4" x14ac:dyDescent="0.2">
      <c r="A40" s="249" t="s">
        <v>55</v>
      </c>
      <c r="B40" s="253"/>
      <c r="C40" s="253"/>
      <c r="D40" s="252">
        <f t="shared" si="0"/>
        <v>0</v>
      </c>
    </row>
    <row r="41" spans="1:4" x14ac:dyDescent="0.2">
      <c r="A41" s="250" t="s">
        <v>56</v>
      </c>
      <c r="B41" s="253"/>
      <c r="C41" s="253"/>
      <c r="D41" s="252">
        <f t="shared" si="0"/>
        <v>0</v>
      </c>
    </row>
    <row r="42" spans="1:4" x14ac:dyDescent="0.2">
      <c r="A42" s="250" t="s">
        <v>57</v>
      </c>
      <c r="B42" s="254">
        <f>'ддс афн'!C59+'ддс афн'!C58</f>
        <v>-1593170</v>
      </c>
      <c r="C42" s="254">
        <f>'ддс афн'!D59+'ддс афн'!D58</f>
        <v>2921</v>
      </c>
      <c r="D42" s="252">
        <f t="shared" si="0"/>
        <v>-1596091</v>
      </c>
    </row>
    <row r="43" spans="1:4" x14ac:dyDescent="0.2">
      <c r="A43" s="249" t="s">
        <v>58</v>
      </c>
      <c r="B43" s="256">
        <f>B12+B20+B27+B34+B39+B42</f>
        <v>-2471103</v>
      </c>
      <c r="C43" s="256">
        <f>C12+C20+C27+C34+C39+C42</f>
        <v>-107024</v>
      </c>
      <c r="D43" s="252">
        <f t="shared" si="0"/>
        <v>-2364079</v>
      </c>
    </row>
    <row r="44" spans="1:4" x14ac:dyDescent="0.2">
      <c r="A44" s="271"/>
      <c r="B44" s="272"/>
      <c r="C44" s="272"/>
      <c r="D44" s="252">
        <f t="shared" si="0"/>
        <v>0</v>
      </c>
    </row>
    <row r="45" spans="1:4" x14ac:dyDescent="0.2">
      <c r="A45" s="249" t="s">
        <v>59</v>
      </c>
      <c r="B45" s="254">
        <f>B47-B46</f>
        <v>-2471103</v>
      </c>
      <c r="C45" s="254">
        <f>C47-C46</f>
        <v>-107024</v>
      </c>
      <c r="D45" s="252">
        <f>B45-C45</f>
        <v>-2364079</v>
      </c>
    </row>
    <row r="46" spans="1:4" x14ac:dyDescent="0.2">
      <c r="A46" s="249" t="s">
        <v>60</v>
      </c>
      <c r="B46" s="256">
        <f>'ддс афн'!C62</f>
        <v>2526067</v>
      </c>
      <c r="C46" s="256">
        <f>'ддс афн'!D62</f>
        <v>191343</v>
      </c>
      <c r="D46" s="252">
        <f>B46-C46</f>
        <v>2334724</v>
      </c>
    </row>
    <row r="47" spans="1:4" x14ac:dyDescent="0.2">
      <c r="A47" s="249" t="s">
        <v>61</v>
      </c>
      <c r="B47" s="256">
        <f>'ддс афн'!C63</f>
        <v>54964</v>
      </c>
      <c r="C47" s="256">
        <f>'ддс афн'!D63</f>
        <v>84319</v>
      </c>
      <c r="D47" s="252">
        <f t="shared" si="0"/>
        <v>-29355</v>
      </c>
    </row>
    <row r="48" spans="1:4" x14ac:dyDescent="0.2">
      <c r="B48" s="257"/>
      <c r="C48" s="257"/>
      <c r="D48" s="257"/>
    </row>
    <row r="49" spans="1:4" x14ac:dyDescent="0.2">
      <c r="B49" s="258">
        <f>B43-B45</f>
        <v>0</v>
      </c>
      <c r="C49" s="258">
        <f>C43-C45</f>
        <v>0</v>
      </c>
      <c r="D49" s="291"/>
    </row>
    <row r="50" spans="1:4" x14ac:dyDescent="0.2">
      <c r="A50" s="125" t="str">
        <f>СК!A47</f>
        <v xml:space="preserve">Председатель Правления Ахметжанова Д. Д. </v>
      </c>
      <c r="B50" s="273">
        <f>B47-B46-B45</f>
        <v>0</v>
      </c>
      <c r="C50" s="129">
        <f>C47-C46-C45</f>
        <v>0</v>
      </c>
      <c r="D50" s="129">
        <f>D47-D46-D45</f>
        <v>0</v>
      </c>
    </row>
    <row r="51" spans="1:4" x14ac:dyDescent="0.2">
      <c r="A51" s="125"/>
      <c r="B51" s="287"/>
      <c r="C51" s="129"/>
      <c r="D51" s="292"/>
    </row>
    <row r="52" spans="1:4" x14ac:dyDescent="0.2">
      <c r="A52" s="125" t="str">
        <f>баланс!A41</f>
        <v>Главный бухгалтер Усенова М.О.</v>
      </c>
      <c r="B52" s="268"/>
      <c r="C52" s="118"/>
      <c r="D52" s="269"/>
    </row>
    <row r="53" spans="1:4" x14ac:dyDescent="0.2">
      <c r="A53" s="125"/>
      <c r="B53" s="259"/>
      <c r="C53" s="118"/>
      <c r="D53" s="270"/>
    </row>
    <row r="54" spans="1:4" x14ac:dyDescent="0.2">
      <c r="A54" s="125" t="str">
        <f>баланс!A43</f>
        <v>Исполнитель Усенова М.О.</v>
      </c>
      <c r="B54" s="268"/>
      <c r="C54" s="118"/>
      <c r="D54" s="269"/>
    </row>
    <row r="55" spans="1:4" x14ac:dyDescent="0.2">
      <c r="A55" s="125"/>
      <c r="B55" s="125"/>
      <c r="C55" s="126"/>
      <c r="D55" s="127"/>
    </row>
    <row r="56" spans="1:4" x14ac:dyDescent="0.2">
      <c r="A56" s="125" t="s">
        <v>63</v>
      </c>
      <c r="B56" s="125"/>
      <c r="C56" s="126"/>
      <c r="D56" s="127"/>
    </row>
    <row r="57" spans="1:4" x14ac:dyDescent="0.2">
      <c r="A57" s="261"/>
      <c r="B57" s="125"/>
      <c r="C57" s="126"/>
      <c r="D57" s="127"/>
    </row>
    <row r="58" spans="1:4" x14ac:dyDescent="0.2">
      <c r="A58" s="261"/>
      <c r="B58" s="125"/>
      <c r="C58" s="126"/>
      <c r="D58" s="127"/>
    </row>
    <row r="59" spans="1:4" x14ac:dyDescent="0.2">
      <c r="A59" s="261" t="s">
        <v>30</v>
      </c>
      <c r="B59" s="125"/>
      <c r="C59" s="126"/>
      <c r="D59" s="127"/>
    </row>
  </sheetData>
  <mergeCells count="5">
    <mergeCell ref="A3:C3"/>
    <mergeCell ref="A6:C6"/>
    <mergeCell ref="A7:C7"/>
    <mergeCell ref="A8:C8"/>
    <mergeCell ref="A9:C9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1"/>
  <sheetViews>
    <sheetView tabSelected="1" view="pageBreakPreview" topLeftCell="A10" zoomScale="130" zoomScaleNormal="100" zoomScaleSheetLayoutView="130" workbookViewId="0">
      <selection activeCell="C16" sqref="C16"/>
    </sheetView>
  </sheetViews>
  <sheetFormatPr defaultRowHeight="12.75" x14ac:dyDescent="0.2"/>
  <cols>
    <col min="1" max="1" width="65.42578125" style="399" customWidth="1"/>
    <col min="2" max="3" width="18.7109375" style="399" customWidth="1"/>
    <col min="4" max="4" width="15.85546875" style="399" customWidth="1"/>
    <col min="5" max="5" width="7.140625" style="399" customWidth="1"/>
    <col min="6" max="6" width="11.85546875" style="399" hidden="1" customWidth="1"/>
    <col min="7" max="256" width="9.140625" style="399"/>
    <col min="257" max="257" width="65.42578125" style="399" customWidth="1"/>
    <col min="258" max="259" width="18.7109375" style="399" customWidth="1"/>
    <col min="260" max="260" width="15.85546875" style="399" customWidth="1"/>
    <col min="261" max="261" width="7.140625" style="399" customWidth="1"/>
    <col min="262" max="262" width="0" style="399" hidden="1" customWidth="1"/>
    <col min="263" max="512" width="9.140625" style="399"/>
    <col min="513" max="513" width="65.42578125" style="399" customWidth="1"/>
    <col min="514" max="515" width="18.7109375" style="399" customWidth="1"/>
    <col min="516" max="516" width="15.85546875" style="399" customWidth="1"/>
    <col min="517" max="517" width="7.140625" style="399" customWidth="1"/>
    <col min="518" max="518" width="0" style="399" hidden="1" customWidth="1"/>
    <col min="519" max="768" width="9.140625" style="399"/>
    <col min="769" max="769" width="65.42578125" style="399" customWidth="1"/>
    <col min="770" max="771" width="18.7109375" style="399" customWidth="1"/>
    <col min="772" max="772" width="15.85546875" style="399" customWidth="1"/>
    <col min="773" max="773" width="7.140625" style="399" customWidth="1"/>
    <col min="774" max="774" width="0" style="399" hidden="1" customWidth="1"/>
    <col min="775" max="1024" width="9.140625" style="399"/>
    <col min="1025" max="1025" width="65.42578125" style="399" customWidth="1"/>
    <col min="1026" max="1027" width="18.7109375" style="399" customWidth="1"/>
    <col min="1028" max="1028" width="15.85546875" style="399" customWidth="1"/>
    <col min="1029" max="1029" width="7.140625" style="399" customWidth="1"/>
    <col min="1030" max="1030" width="0" style="399" hidden="1" customWidth="1"/>
    <col min="1031" max="1280" width="9.140625" style="399"/>
    <col min="1281" max="1281" width="65.42578125" style="399" customWidth="1"/>
    <col min="1282" max="1283" width="18.7109375" style="399" customWidth="1"/>
    <col min="1284" max="1284" width="15.85546875" style="399" customWidth="1"/>
    <col min="1285" max="1285" width="7.140625" style="399" customWidth="1"/>
    <col min="1286" max="1286" width="0" style="399" hidden="1" customWidth="1"/>
    <col min="1287" max="1536" width="9.140625" style="399"/>
    <col min="1537" max="1537" width="65.42578125" style="399" customWidth="1"/>
    <col min="1538" max="1539" width="18.7109375" style="399" customWidth="1"/>
    <col min="1540" max="1540" width="15.85546875" style="399" customWidth="1"/>
    <col min="1541" max="1541" width="7.140625" style="399" customWidth="1"/>
    <col min="1542" max="1542" width="0" style="399" hidden="1" customWidth="1"/>
    <col min="1543" max="1792" width="9.140625" style="399"/>
    <col min="1793" max="1793" width="65.42578125" style="399" customWidth="1"/>
    <col min="1794" max="1795" width="18.7109375" style="399" customWidth="1"/>
    <col min="1796" max="1796" width="15.85546875" style="399" customWidth="1"/>
    <col min="1797" max="1797" width="7.140625" style="399" customWidth="1"/>
    <col min="1798" max="1798" width="0" style="399" hidden="1" customWidth="1"/>
    <col min="1799" max="2048" width="9.140625" style="399"/>
    <col min="2049" max="2049" width="65.42578125" style="399" customWidth="1"/>
    <col min="2050" max="2051" width="18.7109375" style="399" customWidth="1"/>
    <col min="2052" max="2052" width="15.85546875" style="399" customWidth="1"/>
    <col min="2053" max="2053" width="7.140625" style="399" customWidth="1"/>
    <col min="2054" max="2054" width="0" style="399" hidden="1" customWidth="1"/>
    <col min="2055" max="2304" width="9.140625" style="399"/>
    <col min="2305" max="2305" width="65.42578125" style="399" customWidth="1"/>
    <col min="2306" max="2307" width="18.7109375" style="399" customWidth="1"/>
    <col min="2308" max="2308" width="15.85546875" style="399" customWidth="1"/>
    <col min="2309" max="2309" width="7.140625" style="399" customWidth="1"/>
    <col min="2310" max="2310" width="0" style="399" hidden="1" customWidth="1"/>
    <col min="2311" max="2560" width="9.140625" style="399"/>
    <col min="2561" max="2561" width="65.42578125" style="399" customWidth="1"/>
    <col min="2562" max="2563" width="18.7109375" style="399" customWidth="1"/>
    <col min="2564" max="2564" width="15.85546875" style="399" customWidth="1"/>
    <col min="2565" max="2565" width="7.140625" style="399" customWidth="1"/>
    <col min="2566" max="2566" width="0" style="399" hidden="1" customWidth="1"/>
    <col min="2567" max="2816" width="9.140625" style="399"/>
    <col min="2817" max="2817" width="65.42578125" style="399" customWidth="1"/>
    <col min="2818" max="2819" width="18.7109375" style="399" customWidth="1"/>
    <col min="2820" max="2820" width="15.85546875" style="399" customWidth="1"/>
    <col min="2821" max="2821" width="7.140625" style="399" customWidth="1"/>
    <col min="2822" max="2822" width="0" style="399" hidden="1" customWidth="1"/>
    <col min="2823" max="3072" width="9.140625" style="399"/>
    <col min="3073" max="3073" width="65.42578125" style="399" customWidth="1"/>
    <col min="3074" max="3075" width="18.7109375" style="399" customWidth="1"/>
    <col min="3076" max="3076" width="15.85546875" style="399" customWidth="1"/>
    <col min="3077" max="3077" width="7.140625" style="399" customWidth="1"/>
    <col min="3078" max="3078" width="0" style="399" hidden="1" customWidth="1"/>
    <col min="3079" max="3328" width="9.140625" style="399"/>
    <col min="3329" max="3329" width="65.42578125" style="399" customWidth="1"/>
    <col min="3330" max="3331" width="18.7109375" style="399" customWidth="1"/>
    <col min="3332" max="3332" width="15.85546875" style="399" customWidth="1"/>
    <col min="3333" max="3333" width="7.140625" style="399" customWidth="1"/>
    <col min="3334" max="3334" width="0" style="399" hidden="1" customWidth="1"/>
    <col min="3335" max="3584" width="9.140625" style="399"/>
    <col min="3585" max="3585" width="65.42578125" style="399" customWidth="1"/>
    <col min="3586" max="3587" width="18.7109375" style="399" customWidth="1"/>
    <col min="3588" max="3588" width="15.85546875" style="399" customWidth="1"/>
    <col min="3589" max="3589" width="7.140625" style="399" customWidth="1"/>
    <col min="3590" max="3590" width="0" style="399" hidden="1" customWidth="1"/>
    <col min="3591" max="3840" width="9.140625" style="399"/>
    <col min="3841" max="3841" width="65.42578125" style="399" customWidth="1"/>
    <col min="3842" max="3843" width="18.7109375" style="399" customWidth="1"/>
    <col min="3844" max="3844" width="15.85546875" style="399" customWidth="1"/>
    <col min="3845" max="3845" width="7.140625" style="399" customWidth="1"/>
    <col min="3846" max="3846" width="0" style="399" hidden="1" customWidth="1"/>
    <col min="3847" max="4096" width="9.140625" style="399"/>
    <col min="4097" max="4097" width="65.42578125" style="399" customWidth="1"/>
    <col min="4098" max="4099" width="18.7109375" style="399" customWidth="1"/>
    <col min="4100" max="4100" width="15.85546875" style="399" customWidth="1"/>
    <col min="4101" max="4101" width="7.140625" style="399" customWidth="1"/>
    <col min="4102" max="4102" width="0" style="399" hidden="1" customWidth="1"/>
    <col min="4103" max="4352" width="9.140625" style="399"/>
    <col min="4353" max="4353" width="65.42578125" style="399" customWidth="1"/>
    <col min="4354" max="4355" width="18.7109375" style="399" customWidth="1"/>
    <col min="4356" max="4356" width="15.85546875" style="399" customWidth="1"/>
    <col min="4357" max="4357" width="7.140625" style="399" customWidth="1"/>
    <col min="4358" max="4358" width="0" style="399" hidden="1" customWidth="1"/>
    <col min="4359" max="4608" width="9.140625" style="399"/>
    <col min="4609" max="4609" width="65.42578125" style="399" customWidth="1"/>
    <col min="4610" max="4611" width="18.7109375" style="399" customWidth="1"/>
    <col min="4612" max="4612" width="15.85546875" style="399" customWidth="1"/>
    <col min="4613" max="4613" width="7.140625" style="399" customWidth="1"/>
    <col min="4614" max="4614" width="0" style="399" hidden="1" customWidth="1"/>
    <col min="4615" max="4864" width="9.140625" style="399"/>
    <col min="4865" max="4865" width="65.42578125" style="399" customWidth="1"/>
    <col min="4866" max="4867" width="18.7109375" style="399" customWidth="1"/>
    <col min="4868" max="4868" width="15.85546875" style="399" customWidth="1"/>
    <col min="4869" max="4869" width="7.140625" style="399" customWidth="1"/>
    <col min="4870" max="4870" width="0" style="399" hidden="1" customWidth="1"/>
    <col min="4871" max="5120" width="9.140625" style="399"/>
    <col min="5121" max="5121" width="65.42578125" style="399" customWidth="1"/>
    <col min="5122" max="5123" width="18.7109375" style="399" customWidth="1"/>
    <col min="5124" max="5124" width="15.85546875" style="399" customWidth="1"/>
    <col min="5125" max="5125" width="7.140625" style="399" customWidth="1"/>
    <col min="5126" max="5126" width="0" style="399" hidden="1" customWidth="1"/>
    <col min="5127" max="5376" width="9.140625" style="399"/>
    <col min="5377" max="5377" width="65.42578125" style="399" customWidth="1"/>
    <col min="5378" max="5379" width="18.7109375" style="399" customWidth="1"/>
    <col min="5380" max="5380" width="15.85546875" style="399" customWidth="1"/>
    <col min="5381" max="5381" width="7.140625" style="399" customWidth="1"/>
    <col min="5382" max="5382" width="0" style="399" hidden="1" customWidth="1"/>
    <col min="5383" max="5632" width="9.140625" style="399"/>
    <col min="5633" max="5633" width="65.42578125" style="399" customWidth="1"/>
    <col min="5634" max="5635" width="18.7109375" style="399" customWidth="1"/>
    <col min="5636" max="5636" width="15.85546875" style="399" customWidth="1"/>
    <col min="5637" max="5637" width="7.140625" style="399" customWidth="1"/>
    <col min="5638" max="5638" width="0" style="399" hidden="1" customWidth="1"/>
    <col min="5639" max="5888" width="9.140625" style="399"/>
    <col min="5889" max="5889" width="65.42578125" style="399" customWidth="1"/>
    <col min="5890" max="5891" width="18.7109375" style="399" customWidth="1"/>
    <col min="5892" max="5892" width="15.85546875" style="399" customWidth="1"/>
    <col min="5893" max="5893" width="7.140625" style="399" customWidth="1"/>
    <col min="5894" max="5894" width="0" style="399" hidden="1" customWidth="1"/>
    <col min="5895" max="6144" width="9.140625" style="399"/>
    <col min="6145" max="6145" width="65.42578125" style="399" customWidth="1"/>
    <col min="6146" max="6147" width="18.7109375" style="399" customWidth="1"/>
    <col min="6148" max="6148" width="15.85546875" style="399" customWidth="1"/>
    <col min="6149" max="6149" width="7.140625" style="399" customWidth="1"/>
    <col min="6150" max="6150" width="0" style="399" hidden="1" customWidth="1"/>
    <col min="6151" max="6400" width="9.140625" style="399"/>
    <col min="6401" max="6401" width="65.42578125" style="399" customWidth="1"/>
    <col min="6402" max="6403" width="18.7109375" style="399" customWidth="1"/>
    <col min="6404" max="6404" width="15.85546875" style="399" customWidth="1"/>
    <col min="6405" max="6405" width="7.140625" style="399" customWidth="1"/>
    <col min="6406" max="6406" width="0" style="399" hidden="1" customWidth="1"/>
    <col min="6407" max="6656" width="9.140625" style="399"/>
    <col min="6657" max="6657" width="65.42578125" style="399" customWidth="1"/>
    <col min="6658" max="6659" width="18.7109375" style="399" customWidth="1"/>
    <col min="6660" max="6660" width="15.85546875" style="399" customWidth="1"/>
    <col min="6661" max="6661" width="7.140625" style="399" customWidth="1"/>
    <col min="6662" max="6662" width="0" style="399" hidden="1" customWidth="1"/>
    <col min="6663" max="6912" width="9.140625" style="399"/>
    <col min="6913" max="6913" width="65.42578125" style="399" customWidth="1"/>
    <col min="6914" max="6915" width="18.7109375" style="399" customWidth="1"/>
    <col min="6916" max="6916" width="15.85546875" style="399" customWidth="1"/>
    <col min="6917" max="6917" width="7.140625" style="399" customWidth="1"/>
    <col min="6918" max="6918" width="0" style="399" hidden="1" customWidth="1"/>
    <col min="6919" max="7168" width="9.140625" style="399"/>
    <col min="7169" max="7169" width="65.42578125" style="399" customWidth="1"/>
    <col min="7170" max="7171" width="18.7109375" style="399" customWidth="1"/>
    <col min="7172" max="7172" width="15.85546875" style="399" customWidth="1"/>
    <col min="7173" max="7173" width="7.140625" style="399" customWidth="1"/>
    <col min="7174" max="7174" width="0" style="399" hidden="1" customWidth="1"/>
    <col min="7175" max="7424" width="9.140625" style="399"/>
    <col min="7425" max="7425" width="65.42578125" style="399" customWidth="1"/>
    <col min="7426" max="7427" width="18.7109375" style="399" customWidth="1"/>
    <col min="7428" max="7428" width="15.85546875" style="399" customWidth="1"/>
    <col min="7429" max="7429" width="7.140625" style="399" customWidth="1"/>
    <col min="7430" max="7430" width="0" style="399" hidden="1" customWidth="1"/>
    <col min="7431" max="7680" width="9.140625" style="399"/>
    <col min="7681" max="7681" width="65.42578125" style="399" customWidth="1"/>
    <col min="7682" max="7683" width="18.7109375" style="399" customWidth="1"/>
    <col min="7684" max="7684" width="15.85546875" style="399" customWidth="1"/>
    <col min="7685" max="7685" width="7.140625" style="399" customWidth="1"/>
    <col min="7686" max="7686" width="0" style="399" hidden="1" customWidth="1"/>
    <col min="7687" max="7936" width="9.140625" style="399"/>
    <col min="7937" max="7937" width="65.42578125" style="399" customWidth="1"/>
    <col min="7938" max="7939" width="18.7109375" style="399" customWidth="1"/>
    <col min="7940" max="7940" width="15.85546875" style="399" customWidth="1"/>
    <col min="7941" max="7941" width="7.140625" style="399" customWidth="1"/>
    <col min="7942" max="7942" width="0" style="399" hidden="1" customWidth="1"/>
    <col min="7943" max="8192" width="9.140625" style="399"/>
    <col min="8193" max="8193" width="65.42578125" style="399" customWidth="1"/>
    <col min="8194" max="8195" width="18.7109375" style="399" customWidth="1"/>
    <col min="8196" max="8196" width="15.85546875" style="399" customWidth="1"/>
    <col min="8197" max="8197" width="7.140625" style="399" customWidth="1"/>
    <col min="8198" max="8198" width="0" style="399" hidden="1" customWidth="1"/>
    <col min="8199" max="8448" width="9.140625" style="399"/>
    <col min="8449" max="8449" width="65.42578125" style="399" customWidth="1"/>
    <col min="8450" max="8451" width="18.7109375" style="399" customWidth="1"/>
    <col min="8452" max="8452" width="15.85546875" style="399" customWidth="1"/>
    <col min="8453" max="8453" width="7.140625" style="399" customWidth="1"/>
    <col min="8454" max="8454" width="0" style="399" hidden="1" customWidth="1"/>
    <col min="8455" max="8704" width="9.140625" style="399"/>
    <col min="8705" max="8705" width="65.42578125" style="399" customWidth="1"/>
    <col min="8706" max="8707" width="18.7109375" style="399" customWidth="1"/>
    <col min="8708" max="8708" width="15.85546875" style="399" customWidth="1"/>
    <col min="8709" max="8709" width="7.140625" style="399" customWidth="1"/>
    <col min="8710" max="8710" width="0" style="399" hidden="1" customWidth="1"/>
    <col min="8711" max="8960" width="9.140625" style="399"/>
    <col min="8961" max="8961" width="65.42578125" style="399" customWidth="1"/>
    <col min="8962" max="8963" width="18.7109375" style="399" customWidth="1"/>
    <col min="8964" max="8964" width="15.85546875" style="399" customWidth="1"/>
    <col min="8965" max="8965" width="7.140625" style="399" customWidth="1"/>
    <col min="8966" max="8966" width="0" style="399" hidden="1" customWidth="1"/>
    <col min="8967" max="9216" width="9.140625" style="399"/>
    <col min="9217" max="9217" width="65.42578125" style="399" customWidth="1"/>
    <col min="9218" max="9219" width="18.7109375" style="399" customWidth="1"/>
    <col min="9220" max="9220" width="15.85546875" style="399" customWidth="1"/>
    <col min="9221" max="9221" width="7.140625" style="399" customWidth="1"/>
    <col min="9222" max="9222" width="0" style="399" hidden="1" customWidth="1"/>
    <col min="9223" max="9472" width="9.140625" style="399"/>
    <col min="9473" max="9473" width="65.42578125" style="399" customWidth="1"/>
    <col min="9474" max="9475" width="18.7109375" style="399" customWidth="1"/>
    <col min="9476" max="9476" width="15.85546875" style="399" customWidth="1"/>
    <col min="9477" max="9477" width="7.140625" style="399" customWidth="1"/>
    <col min="9478" max="9478" width="0" style="399" hidden="1" customWidth="1"/>
    <col min="9479" max="9728" width="9.140625" style="399"/>
    <col min="9729" max="9729" width="65.42578125" style="399" customWidth="1"/>
    <col min="9730" max="9731" width="18.7109375" style="399" customWidth="1"/>
    <col min="9732" max="9732" width="15.85546875" style="399" customWidth="1"/>
    <col min="9733" max="9733" width="7.140625" style="399" customWidth="1"/>
    <col min="9734" max="9734" width="0" style="399" hidden="1" customWidth="1"/>
    <col min="9735" max="9984" width="9.140625" style="399"/>
    <col min="9985" max="9985" width="65.42578125" style="399" customWidth="1"/>
    <col min="9986" max="9987" width="18.7109375" style="399" customWidth="1"/>
    <col min="9988" max="9988" width="15.85546875" style="399" customWidth="1"/>
    <col min="9989" max="9989" width="7.140625" style="399" customWidth="1"/>
    <col min="9990" max="9990" width="0" style="399" hidden="1" customWidth="1"/>
    <col min="9991" max="10240" width="9.140625" style="399"/>
    <col min="10241" max="10241" width="65.42578125" style="399" customWidth="1"/>
    <col min="10242" max="10243" width="18.7109375" style="399" customWidth="1"/>
    <col min="10244" max="10244" width="15.85546875" style="399" customWidth="1"/>
    <col min="10245" max="10245" width="7.140625" style="399" customWidth="1"/>
    <col min="10246" max="10246" width="0" style="399" hidden="1" customWidth="1"/>
    <col min="10247" max="10496" width="9.140625" style="399"/>
    <col min="10497" max="10497" width="65.42578125" style="399" customWidth="1"/>
    <col min="10498" max="10499" width="18.7109375" style="399" customWidth="1"/>
    <col min="10500" max="10500" width="15.85546875" style="399" customWidth="1"/>
    <col min="10501" max="10501" width="7.140625" style="399" customWidth="1"/>
    <col min="10502" max="10502" width="0" style="399" hidden="1" customWidth="1"/>
    <col min="10503" max="10752" width="9.140625" style="399"/>
    <col min="10753" max="10753" width="65.42578125" style="399" customWidth="1"/>
    <col min="10754" max="10755" width="18.7109375" style="399" customWidth="1"/>
    <col min="10756" max="10756" width="15.85546875" style="399" customWidth="1"/>
    <col min="10757" max="10757" width="7.140625" style="399" customWidth="1"/>
    <col min="10758" max="10758" width="0" style="399" hidden="1" customWidth="1"/>
    <col min="10759" max="11008" width="9.140625" style="399"/>
    <col min="11009" max="11009" width="65.42578125" style="399" customWidth="1"/>
    <col min="11010" max="11011" width="18.7109375" style="399" customWidth="1"/>
    <col min="11012" max="11012" width="15.85546875" style="399" customWidth="1"/>
    <col min="11013" max="11013" width="7.140625" style="399" customWidth="1"/>
    <col min="11014" max="11014" width="0" style="399" hidden="1" customWidth="1"/>
    <col min="11015" max="11264" width="9.140625" style="399"/>
    <col min="11265" max="11265" width="65.42578125" style="399" customWidth="1"/>
    <col min="11266" max="11267" width="18.7109375" style="399" customWidth="1"/>
    <col min="11268" max="11268" width="15.85546875" style="399" customWidth="1"/>
    <col min="11269" max="11269" width="7.140625" style="399" customWidth="1"/>
    <col min="11270" max="11270" width="0" style="399" hidden="1" customWidth="1"/>
    <col min="11271" max="11520" width="9.140625" style="399"/>
    <col min="11521" max="11521" width="65.42578125" style="399" customWidth="1"/>
    <col min="11522" max="11523" width="18.7109375" style="399" customWidth="1"/>
    <col min="11524" max="11524" width="15.85546875" style="399" customWidth="1"/>
    <col min="11525" max="11525" width="7.140625" style="399" customWidth="1"/>
    <col min="11526" max="11526" width="0" style="399" hidden="1" customWidth="1"/>
    <col min="11527" max="11776" width="9.140625" style="399"/>
    <col min="11777" max="11777" width="65.42578125" style="399" customWidth="1"/>
    <col min="11778" max="11779" width="18.7109375" style="399" customWidth="1"/>
    <col min="11780" max="11780" width="15.85546875" style="399" customWidth="1"/>
    <col min="11781" max="11781" width="7.140625" style="399" customWidth="1"/>
    <col min="11782" max="11782" width="0" style="399" hidden="1" customWidth="1"/>
    <col min="11783" max="12032" width="9.140625" style="399"/>
    <col min="12033" max="12033" width="65.42578125" style="399" customWidth="1"/>
    <col min="12034" max="12035" width="18.7109375" style="399" customWidth="1"/>
    <col min="12036" max="12036" width="15.85546875" style="399" customWidth="1"/>
    <col min="12037" max="12037" width="7.140625" style="399" customWidth="1"/>
    <col min="12038" max="12038" width="0" style="399" hidden="1" customWidth="1"/>
    <col min="12039" max="12288" width="9.140625" style="399"/>
    <col min="12289" max="12289" width="65.42578125" style="399" customWidth="1"/>
    <col min="12290" max="12291" width="18.7109375" style="399" customWidth="1"/>
    <col min="12292" max="12292" width="15.85546875" style="399" customWidth="1"/>
    <col min="12293" max="12293" width="7.140625" style="399" customWidth="1"/>
    <col min="12294" max="12294" width="0" style="399" hidden="1" customWidth="1"/>
    <col min="12295" max="12544" width="9.140625" style="399"/>
    <col min="12545" max="12545" width="65.42578125" style="399" customWidth="1"/>
    <col min="12546" max="12547" width="18.7109375" style="399" customWidth="1"/>
    <col min="12548" max="12548" width="15.85546875" style="399" customWidth="1"/>
    <col min="12549" max="12549" width="7.140625" style="399" customWidth="1"/>
    <col min="12550" max="12550" width="0" style="399" hidden="1" customWidth="1"/>
    <col min="12551" max="12800" width="9.140625" style="399"/>
    <col min="12801" max="12801" width="65.42578125" style="399" customWidth="1"/>
    <col min="12802" max="12803" width="18.7109375" style="399" customWidth="1"/>
    <col min="12804" max="12804" width="15.85546875" style="399" customWidth="1"/>
    <col min="12805" max="12805" width="7.140625" style="399" customWidth="1"/>
    <col min="12806" max="12806" width="0" style="399" hidden="1" customWidth="1"/>
    <col min="12807" max="13056" width="9.140625" style="399"/>
    <col min="13057" max="13057" width="65.42578125" style="399" customWidth="1"/>
    <col min="13058" max="13059" width="18.7109375" style="399" customWidth="1"/>
    <col min="13060" max="13060" width="15.85546875" style="399" customWidth="1"/>
    <col min="13061" max="13061" width="7.140625" style="399" customWidth="1"/>
    <col min="13062" max="13062" width="0" style="399" hidden="1" customWidth="1"/>
    <col min="13063" max="13312" width="9.140625" style="399"/>
    <col min="13313" max="13313" width="65.42578125" style="399" customWidth="1"/>
    <col min="13314" max="13315" width="18.7109375" style="399" customWidth="1"/>
    <col min="13316" max="13316" width="15.85546875" style="399" customWidth="1"/>
    <col min="13317" max="13317" width="7.140625" style="399" customWidth="1"/>
    <col min="13318" max="13318" width="0" style="399" hidden="1" customWidth="1"/>
    <col min="13319" max="13568" width="9.140625" style="399"/>
    <col min="13569" max="13569" width="65.42578125" style="399" customWidth="1"/>
    <col min="13570" max="13571" width="18.7109375" style="399" customWidth="1"/>
    <col min="13572" max="13572" width="15.85546875" style="399" customWidth="1"/>
    <col min="13573" max="13573" width="7.140625" style="399" customWidth="1"/>
    <col min="13574" max="13574" width="0" style="399" hidden="1" customWidth="1"/>
    <col min="13575" max="13824" width="9.140625" style="399"/>
    <col min="13825" max="13825" width="65.42578125" style="399" customWidth="1"/>
    <col min="13826" max="13827" width="18.7109375" style="399" customWidth="1"/>
    <col min="13828" max="13828" width="15.85546875" style="399" customWidth="1"/>
    <col min="13829" max="13829" width="7.140625" style="399" customWidth="1"/>
    <col min="13830" max="13830" width="0" style="399" hidden="1" customWidth="1"/>
    <col min="13831" max="14080" width="9.140625" style="399"/>
    <col min="14081" max="14081" width="65.42578125" style="399" customWidth="1"/>
    <col min="14082" max="14083" width="18.7109375" style="399" customWidth="1"/>
    <col min="14084" max="14084" width="15.85546875" style="399" customWidth="1"/>
    <col min="14085" max="14085" width="7.140625" style="399" customWidth="1"/>
    <col min="14086" max="14086" width="0" style="399" hidden="1" customWidth="1"/>
    <col min="14087" max="14336" width="9.140625" style="399"/>
    <col min="14337" max="14337" width="65.42578125" style="399" customWidth="1"/>
    <col min="14338" max="14339" width="18.7109375" style="399" customWidth="1"/>
    <col min="14340" max="14340" width="15.85546875" style="399" customWidth="1"/>
    <col min="14341" max="14341" width="7.140625" style="399" customWidth="1"/>
    <col min="14342" max="14342" width="0" style="399" hidden="1" customWidth="1"/>
    <col min="14343" max="14592" width="9.140625" style="399"/>
    <col min="14593" max="14593" width="65.42578125" style="399" customWidth="1"/>
    <col min="14594" max="14595" width="18.7109375" style="399" customWidth="1"/>
    <col min="14596" max="14596" width="15.85546875" style="399" customWidth="1"/>
    <col min="14597" max="14597" width="7.140625" style="399" customWidth="1"/>
    <col min="14598" max="14598" width="0" style="399" hidden="1" customWidth="1"/>
    <col min="14599" max="14848" width="9.140625" style="399"/>
    <col min="14849" max="14849" width="65.42578125" style="399" customWidth="1"/>
    <col min="14850" max="14851" width="18.7109375" style="399" customWidth="1"/>
    <col min="14852" max="14852" width="15.85546875" style="399" customWidth="1"/>
    <col min="14853" max="14853" width="7.140625" style="399" customWidth="1"/>
    <col min="14854" max="14854" width="0" style="399" hidden="1" customWidth="1"/>
    <col min="14855" max="15104" width="9.140625" style="399"/>
    <col min="15105" max="15105" width="65.42578125" style="399" customWidth="1"/>
    <col min="15106" max="15107" width="18.7109375" style="399" customWidth="1"/>
    <col min="15108" max="15108" width="15.85546875" style="399" customWidth="1"/>
    <col min="15109" max="15109" width="7.140625" style="399" customWidth="1"/>
    <col min="15110" max="15110" width="0" style="399" hidden="1" customWidth="1"/>
    <col min="15111" max="15360" width="9.140625" style="399"/>
    <col min="15361" max="15361" width="65.42578125" style="399" customWidth="1"/>
    <col min="15362" max="15363" width="18.7109375" style="399" customWidth="1"/>
    <col min="15364" max="15364" width="15.85546875" style="399" customWidth="1"/>
    <col min="15365" max="15365" width="7.140625" style="399" customWidth="1"/>
    <col min="15366" max="15366" width="0" style="399" hidden="1" customWidth="1"/>
    <col min="15367" max="15616" width="9.140625" style="399"/>
    <col min="15617" max="15617" width="65.42578125" style="399" customWidth="1"/>
    <col min="15618" max="15619" width="18.7109375" style="399" customWidth="1"/>
    <col min="15620" max="15620" width="15.85546875" style="399" customWidth="1"/>
    <col min="15621" max="15621" width="7.140625" style="399" customWidth="1"/>
    <col min="15622" max="15622" width="0" style="399" hidden="1" customWidth="1"/>
    <col min="15623" max="15872" width="9.140625" style="399"/>
    <col min="15873" max="15873" width="65.42578125" style="399" customWidth="1"/>
    <col min="15874" max="15875" width="18.7109375" style="399" customWidth="1"/>
    <col min="15876" max="15876" width="15.85546875" style="399" customWidth="1"/>
    <col min="15877" max="15877" width="7.140625" style="399" customWidth="1"/>
    <col min="15878" max="15878" width="0" style="399" hidden="1" customWidth="1"/>
    <col min="15879" max="16128" width="9.140625" style="399"/>
    <col min="16129" max="16129" width="65.42578125" style="399" customWidth="1"/>
    <col min="16130" max="16131" width="18.7109375" style="399" customWidth="1"/>
    <col min="16132" max="16132" width="15.85546875" style="399" customWidth="1"/>
    <col min="16133" max="16133" width="7.140625" style="399" customWidth="1"/>
    <col min="16134" max="16134" width="0" style="399" hidden="1" customWidth="1"/>
    <col min="16135" max="16384" width="9.140625" style="399"/>
  </cols>
  <sheetData>
    <row r="1" spans="1:7" x14ac:dyDescent="0.2">
      <c r="A1" s="199" t="s">
        <v>0</v>
      </c>
      <c r="C1" s="399" t="s">
        <v>436</v>
      </c>
    </row>
    <row r="3" spans="1:7" x14ac:dyDescent="0.2">
      <c r="A3" s="454"/>
      <c r="B3" s="455"/>
      <c r="C3" s="455"/>
    </row>
    <row r="6" spans="1:7" x14ac:dyDescent="0.2">
      <c r="A6" s="456" t="s">
        <v>34</v>
      </c>
      <c r="B6" s="457"/>
      <c r="C6" s="457"/>
    </row>
    <row r="7" spans="1:7" x14ac:dyDescent="0.2">
      <c r="A7" s="456" t="s">
        <v>3</v>
      </c>
      <c r="B7" s="457"/>
      <c r="C7" s="457"/>
    </row>
    <row r="8" spans="1:7" x14ac:dyDescent="0.2">
      <c r="A8" s="456" t="str">
        <f>баланс!A8</f>
        <v>по состоянию на 01 октября 2016 года</v>
      </c>
      <c r="B8" s="457"/>
      <c r="C8" s="457"/>
    </row>
    <row r="9" spans="1:7" x14ac:dyDescent="0.2">
      <c r="A9" s="454" t="s">
        <v>4</v>
      </c>
      <c r="B9" s="455"/>
      <c r="C9" s="455"/>
    </row>
    <row r="10" spans="1:7" ht="63.75" x14ac:dyDescent="0.2">
      <c r="A10" s="401" t="s">
        <v>5</v>
      </c>
      <c r="B10" s="401" t="s">
        <v>35</v>
      </c>
      <c r="C10" s="401" t="s">
        <v>36</v>
      </c>
    </row>
    <row r="11" spans="1:7" x14ac:dyDescent="0.2">
      <c r="A11" s="401">
        <v>1</v>
      </c>
      <c r="B11" s="401">
        <v>2</v>
      </c>
      <c r="C11" s="401">
        <v>3</v>
      </c>
    </row>
    <row r="12" spans="1:7" x14ac:dyDescent="0.2">
      <c r="A12" s="415" t="s">
        <v>393</v>
      </c>
      <c r="B12" s="416"/>
      <c r="C12" s="402"/>
    </row>
    <row r="13" spans="1:7" x14ac:dyDescent="0.2">
      <c r="A13" s="417" t="s">
        <v>394</v>
      </c>
      <c r="B13" s="418">
        <f>ОПУ!B25</f>
        <v>855731</v>
      </c>
      <c r="C13" s="418">
        <f>ОПУ!C25</f>
        <v>1672025</v>
      </c>
      <c r="D13" s="252">
        <f>B13-C13</f>
        <v>-816294</v>
      </c>
    </row>
    <row r="14" spans="1:7" x14ac:dyDescent="0.2">
      <c r="A14" s="419" t="s">
        <v>39</v>
      </c>
      <c r="B14" s="418"/>
      <c r="C14" s="418"/>
      <c r="D14" s="252">
        <f t="shared" ref="D14:D46" si="0">B14-C14</f>
        <v>0</v>
      </c>
    </row>
    <row r="15" spans="1:7" ht="25.5" x14ac:dyDescent="0.2">
      <c r="A15" s="420" t="s">
        <v>395</v>
      </c>
      <c r="B15" s="418">
        <f>'опу афн'!D20-'опу афн'!D21</f>
        <v>73860</v>
      </c>
      <c r="C15" s="418">
        <v>-724127</v>
      </c>
      <c r="D15" s="252">
        <f t="shared" si="0"/>
        <v>797987</v>
      </c>
      <c r="F15" s="252" t="s">
        <v>335</v>
      </c>
      <c r="G15" s="252"/>
    </row>
    <row r="16" spans="1:7" x14ac:dyDescent="0.2">
      <c r="A16" s="421" t="s">
        <v>396</v>
      </c>
      <c r="B16" s="418">
        <f>ОПУ!B12+ОПУ!B13</f>
        <v>-447551</v>
      </c>
      <c r="C16" s="418">
        <f>-854956-C15</f>
        <v>-130829</v>
      </c>
      <c r="D16" s="252">
        <f t="shared" si="0"/>
        <v>-316722</v>
      </c>
    </row>
    <row r="17" spans="1:6" x14ac:dyDescent="0.2">
      <c r="A17" s="420" t="s">
        <v>397</v>
      </c>
      <c r="B17" s="418"/>
      <c r="C17" s="418"/>
      <c r="D17" s="252">
        <f t="shared" si="0"/>
        <v>0</v>
      </c>
    </row>
    <row r="18" spans="1:6" x14ac:dyDescent="0.2">
      <c r="A18" s="421" t="s">
        <v>398</v>
      </c>
      <c r="B18" s="418">
        <f>ОПУ!B22</f>
        <v>-44569</v>
      </c>
      <c r="C18" s="418">
        <v>49260</v>
      </c>
      <c r="D18" s="252">
        <f t="shared" si="0"/>
        <v>-93829</v>
      </c>
    </row>
    <row r="19" spans="1:6" ht="25.5" x14ac:dyDescent="0.2">
      <c r="A19" s="421" t="s">
        <v>399</v>
      </c>
      <c r="B19" s="418"/>
      <c r="C19" s="418"/>
      <c r="D19" s="252">
        <f t="shared" si="0"/>
        <v>0</v>
      </c>
    </row>
    <row r="20" spans="1:6" x14ac:dyDescent="0.2">
      <c r="A20" s="421" t="s">
        <v>400</v>
      </c>
      <c r="B20" s="418"/>
      <c r="C20" s="418"/>
      <c r="D20" s="252">
        <f t="shared" si="0"/>
        <v>0</v>
      </c>
    </row>
    <row r="21" spans="1:6" ht="25.5" x14ac:dyDescent="0.2">
      <c r="A21" s="421" t="s">
        <v>401</v>
      </c>
      <c r="B21" s="418"/>
      <c r="C21" s="418"/>
      <c r="D21" s="252">
        <f t="shared" si="0"/>
        <v>0</v>
      </c>
      <c r="F21" s="399">
        <v>8</v>
      </c>
    </row>
    <row r="22" spans="1:6" ht="25.5" x14ac:dyDescent="0.2">
      <c r="A22" s="421" t="s">
        <v>402</v>
      </c>
      <c r="B22" s="418"/>
      <c r="C22" s="418"/>
      <c r="D22" s="252">
        <f t="shared" si="0"/>
        <v>0</v>
      </c>
      <c r="F22" s="399">
        <v>7</v>
      </c>
    </row>
    <row r="23" spans="1:6" x14ac:dyDescent="0.2">
      <c r="A23" s="421" t="s">
        <v>403</v>
      </c>
      <c r="B23" s="418"/>
      <c r="C23" s="418"/>
      <c r="D23" s="252">
        <f t="shared" si="0"/>
        <v>0</v>
      </c>
      <c r="F23" s="399">
        <v>9</v>
      </c>
    </row>
    <row r="24" spans="1:6" x14ac:dyDescent="0.2">
      <c r="A24" s="421" t="s">
        <v>404</v>
      </c>
      <c r="B24" s="418"/>
      <c r="C24" s="418"/>
      <c r="D24" s="252">
        <f t="shared" si="0"/>
        <v>0</v>
      </c>
      <c r="F24" s="399">
        <v>11</v>
      </c>
    </row>
    <row r="25" spans="1:6" s="400" customFormat="1" ht="25.5" x14ac:dyDescent="0.2">
      <c r="A25" s="422" t="s">
        <v>405</v>
      </c>
      <c r="B25" s="423">
        <f>B13+B15+B16+B18</f>
        <v>437471</v>
      </c>
      <c r="C25" s="423">
        <f>C13+C15+C16+C18</f>
        <v>866329</v>
      </c>
      <c r="D25" s="411">
        <f t="shared" si="0"/>
        <v>-428858</v>
      </c>
      <c r="F25" s="400" t="s">
        <v>333</v>
      </c>
    </row>
    <row r="26" spans="1:6" x14ac:dyDescent="0.2">
      <c r="A26" s="417"/>
      <c r="B26" s="424"/>
      <c r="C26" s="424"/>
      <c r="D26" s="252">
        <f t="shared" si="0"/>
        <v>0</v>
      </c>
    </row>
    <row r="27" spans="1:6" x14ac:dyDescent="0.2">
      <c r="A27" s="419" t="s">
        <v>406</v>
      </c>
      <c r="B27" s="424"/>
      <c r="C27" s="424"/>
      <c r="D27" s="252">
        <f t="shared" si="0"/>
        <v>0</v>
      </c>
    </row>
    <row r="28" spans="1:6" x14ac:dyDescent="0.2">
      <c r="A28" s="419" t="s">
        <v>407</v>
      </c>
      <c r="B28" s="424">
        <f>SUM(B29:B32)</f>
        <v>-1262244</v>
      </c>
      <c r="C28" s="424">
        <f>SUM(C29:C32)</f>
        <v>105733</v>
      </c>
      <c r="D28" s="252">
        <f t="shared" si="0"/>
        <v>-1367977</v>
      </c>
      <c r="F28" s="399" t="s">
        <v>334</v>
      </c>
    </row>
    <row r="29" spans="1:6" x14ac:dyDescent="0.2">
      <c r="A29" s="420" t="s">
        <v>408</v>
      </c>
      <c r="B29" s="418">
        <f>'баланс афн'!F14*-1</f>
        <v>131136</v>
      </c>
      <c r="C29" s="418">
        <v>70000</v>
      </c>
      <c r="D29" s="252">
        <f t="shared" si="0"/>
        <v>61136</v>
      </c>
    </row>
    <row r="30" spans="1:6" x14ac:dyDescent="0.2">
      <c r="A30" s="420" t="s">
        <v>409</v>
      </c>
      <c r="B30" s="418">
        <f>-баланс!D17</f>
        <v>-893173</v>
      </c>
      <c r="C30" s="418">
        <v>31506</v>
      </c>
      <c r="D30" s="252">
        <f t="shared" si="0"/>
        <v>-924679</v>
      </c>
      <c r="F30" s="230"/>
    </row>
    <row r="31" spans="1:6" x14ac:dyDescent="0.2">
      <c r="A31" s="420" t="s">
        <v>410</v>
      </c>
      <c r="B31" s="418">
        <f>-'баланс афн'!F24</f>
        <v>-154264</v>
      </c>
      <c r="C31" s="418">
        <f>-[1]баланс!$E$25</f>
        <v>0</v>
      </c>
      <c r="D31" s="252">
        <f t="shared" si="0"/>
        <v>-154264</v>
      </c>
    </row>
    <row r="32" spans="1:6" x14ac:dyDescent="0.2">
      <c r="A32" s="420" t="s">
        <v>17</v>
      </c>
      <c r="B32" s="418">
        <f>-(баланс!D22+баланс!D23)</f>
        <v>-345943</v>
      </c>
      <c r="C32" s="418">
        <v>4227</v>
      </c>
      <c r="D32" s="252">
        <f t="shared" si="0"/>
        <v>-350170</v>
      </c>
    </row>
    <row r="33" spans="1:4" x14ac:dyDescent="0.2">
      <c r="A33" s="419" t="s">
        <v>411</v>
      </c>
      <c r="B33" s="418">
        <f>SUM(B34:B35)</f>
        <v>959118</v>
      </c>
      <c r="C33" s="418">
        <f>SUM(C34:C35)</f>
        <v>-41287</v>
      </c>
      <c r="D33" s="252">
        <f t="shared" si="0"/>
        <v>1000405</v>
      </c>
    </row>
    <row r="34" spans="1:4" x14ac:dyDescent="0.2">
      <c r="A34" s="420" t="s">
        <v>19</v>
      </c>
      <c r="B34" s="418">
        <f>баланс!D25</f>
        <v>933226</v>
      </c>
      <c r="C34" s="418">
        <v>39875</v>
      </c>
      <c r="D34" s="252">
        <f t="shared" si="0"/>
        <v>893351</v>
      </c>
    </row>
    <row r="35" spans="1:4" x14ac:dyDescent="0.2">
      <c r="A35" s="420" t="s">
        <v>23</v>
      </c>
      <c r="B35" s="418">
        <f>баланс!D28+баланс!D29</f>
        <v>25892</v>
      </c>
      <c r="C35" s="418">
        <v>-81162</v>
      </c>
      <c r="D35" s="252">
        <f t="shared" si="0"/>
        <v>107054</v>
      </c>
    </row>
    <row r="36" spans="1:4" ht="25.5" x14ac:dyDescent="0.2">
      <c r="A36" s="417" t="s">
        <v>412</v>
      </c>
      <c r="B36" s="418">
        <f>B28+B33</f>
        <v>-303126</v>
      </c>
      <c r="C36" s="418">
        <f>C28+C33</f>
        <v>64446</v>
      </c>
      <c r="D36" s="252">
        <f t="shared" si="0"/>
        <v>-367572</v>
      </c>
    </row>
    <row r="37" spans="1:4" x14ac:dyDescent="0.2">
      <c r="A37" s="417" t="s">
        <v>413</v>
      </c>
      <c r="B37" s="418">
        <v>81207</v>
      </c>
      <c r="C37" s="418">
        <v>-6229</v>
      </c>
      <c r="D37" s="252">
        <f t="shared" si="0"/>
        <v>87436</v>
      </c>
    </row>
    <row r="38" spans="1:4" s="400" customFormat="1" ht="25.5" x14ac:dyDescent="0.2">
      <c r="A38" s="425" t="s">
        <v>414</v>
      </c>
      <c r="B38" s="423">
        <f>B36+B37</f>
        <v>-221919</v>
      </c>
      <c r="C38" s="423">
        <f>C36+C37</f>
        <v>58217</v>
      </c>
      <c r="D38" s="411">
        <f t="shared" si="0"/>
        <v>-280136</v>
      </c>
    </row>
    <row r="39" spans="1:4" x14ac:dyDescent="0.2">
      <c r="A39" s="426"/>
      <c r="B39" s="418"/>
      <c r="C39" s="418"/>
      <c r="D39" s="252"/>
    </row>
    <row r="40" spans="1:4" x14ac:dyDescent="0.2">
      <c r="A40" s="415" t="s">
        <v>415</v>
      </c>
      <c r="B40" s="403"/>
      <c r="C40" s="403"/>
      <c r="D40" s="252">
        <f t="shared" si="0"/>
        <v>0</v>
      </c>
    </row>
    <row r="41" spans="1:4" x14ac:dyDescent="0.2">
      <c r="A41" s="417" t="s">
        <v>416</v>
      </c>
      <c r="B41" s="418">
        <v>-14117</v>
      </c>
      <c r="C41" s="418">
        <v>-12816</v>
      </c>
      <c r="D41" s="252">
        <f t="shared" si="0"/>
        <v>-1301</v>
      </c>
    </row>
    <row r="42" spans="1:4" x14ac:dyDescent="0.2">
      <c r="A42" s="417" t="s">
        <v>417</v>
      </c>
      <c r="B42" s="418"/>
      <c r="C42" s="418"/>
      <c r="D42" s="252">
        <f t="shared" si="0"/>
        <v>0</v>
      </c>
    </row>
    <row r="43" spans="1:4" x14ac:dyDescent="0.2">
      <c r="A43" s="417" t="s">
        <v>418</v>
      </c>
      <c r="B43" s="418"/>
      <c r="C43" s="418">
        <v>-2153419</v>
      </c>
      <c r="D43" s="252">
        <f t="shared" si="0"/>
        <v>2153419</v>
      </c>
    </row>
    <row r="44" spans="1:4" x14ac:dyDescent="0.2">
      <c r="A44" s="417" t="s">
        <v>419</v>
      </c>
      <c r="B44" s="418">
        <f>-баланс!D16</f>
        <v>1273769</v>
      </c>
      <c r="C44" s="418"/>
      <c r="D44" s="252">
        <f t="shared" si="0"/>
        <v>1273769</v>
      </c>
    </row>
    <row r="45" spans="1:4" ht="25.5" x14ac:dyDescent="0.2">
      <c r="A45" s="417" t="s">
        <v>420</v>
      </c>
      <c r="B45" s="418">
        <f>-баланс!D14+549381+109928</f>
        <v>-2344026</v>
      </c>
      <c r="C45" s="418">
        <v>292553</v>
      </c>
      <c r="D45" s="252">
        <f t="shared" si="0"/>
        <v>-2636579</v>
      </c>
    </row>
    <row r="46" spans="1:4" ht="25.5" x14ac:dyDescent="0.2">
      <c r="A46" s="417" t="s">
        <v>421</v>
      </c>
      <c r="B46" s="418"/>
      <c r="C46" s="418">
        <v>865745</v>
      </c>
      <c r="D46" s="252">
        <f t="shared" si="0"/>
        <v>-865745</v>
      </c>
    </row>
    <row r="47" spans="1:4" x14ac:dyDescent="0.2">
      <c r="A47" s="417" t="s">
        <v>422</v>
      </c>
      <c r="B47" s="418"/>
      <c r="C47" s="418"/>
      <c r="D47" s="404"/>
    </row>
    <row r="48" spans="1:4" x14ac:dyDescent="0.2">
      <c r="A48" s="417" t="s">
        <v>423</v>
      </c>
      <c r="B48" s="418"/>
      <c r="C48" s="418"/>
      <c r="D48" s="291"/>
    </row>
    <row r="49" spans="1:4" x14ac:dyDescent="0.2">
      <c r="A49" s="417" t="s">
        <v>424</v>
      </c>
      <c r="B49" s="418"/>
      <c r="C49" s="418"/>
      <c r="D49" s="129">
        <f>D46-D45-D44</f>
        <v>497065</v>
      </c>
    </row>
    <row r="50" spans="1:4" x14ac:dyDescent="0.2">
      <c r="A50" s="417" t="s">
        <v>425</v>
      </c>
      <c r="B50" s="418"/>
      <c r="C50" s="418"/>
      <c r="D50" s="292"/>
    </row>
    <row r="51" spans="1:4" s="413" customFormat="1" ht="25.5" x14ac:dyDescent="0.2">
      <c r="A51" s="422" t="s">
        <v>426</v>
      </c>
      <c r="B51" s="427">
        <f>SUM(B41:B50)</f>
        <v>-1084374</v>
      </c>
      <c r="C51" s="427">
        <f>SUM(C41:C50)</f>
        <v>-1007937</v>
      </c>
      <c r="D51" s="412"/>
    </row>
    <row r="52" spans="1:4" x14ac:dyDescent="0.2">
      <c r="A52" s="417"/>
      <c r="B52" s="418"/>
      <c r="C52" s="418"/>
      <c r="D52" s="269"/>
    </row>
    <row r="53" spans="1:4" x14ac:dyDescent="0.2">
      <c r="A53" s="415" t="s">
        <v>427</v>
      </c>
      <c r="B53" s="418"/>
      <c r="C53" s="418"/>
      <c r="D53" s="127"/>
    </row>
    <row r="54" spans="1:4" x14ac:dyDescent="0.2">
      <c r="A54" s="417" t="s">
        <v>428</v>
      </c>
      <c r="B54" s="424">
        <v>-1603021</v>
      </c>
      <c r="C54" s="424"/>
      <c r="D54" s="127"/>
    </row>
    <row r="55" spans="1:4" s="452" customFormat="1" x14ac:dyDescent="0.2">
      <c r="A55" s="417" t="s">
        <v>57</v>
      </c>
      <c r="B55" s="424"/>
      <c r="C55" s="424">
        <v>-21628</v>
      </c>
      <c r="D55" s="127"/>
    </row>
    <row r="56" spans="1:4" s="413" customFormat="1" x14ac:dyDescent="0.2">
      <c r="A56" s="422" t="s">
        <v>429</v>
      </c>
      <c r="B56" s="428">
        <f>B54</f>
        <v>-1603021</v>
      </c>
      <c r="C56" s="428">
        <f>C54+C55</f>
        <v>-21628</v>
      </c>
      <c r="D56" s="414"/>
    </row>
    <row r="57" spans="1:4" ht="25.5" x14ac:dyDescent="0.2">
      <c r="A57" s="429" t="s">
        <v>430</v>
      </c>
      <c r="B57" s="418"/>
      <c r="C57" s="418"/>
      <c r="D57" s="127"/>
    </row>
    <row r="58" spans="1:4" ht="16.5" customHeight="1" x14ac:dyDescent="0.2">
      <c r="A58" s="417" t="s">
        <v>431</v>
      </c>
      <c r="B58" s="424">
        <f>B25+B38+B51+B56</f>
        <v>-2471843</v>
      </c>
      <c r="C58" s="424">
        <f>C25+C38+C51+C56</f>
        <v>-105019</v>
      </c>
    </row>
    <row r="59" spans="1:4" x14ac:dyDescent="0.2">
      <c r="A59" s="417" t="s">
        <v>432</v>
      </c>
      <c r="B59" s="424">
        <v>2526807</v>
      </c>
      <c r="C59" s="424">
        <v>191343</v>
      </c>
    </row>
    <row r="60" spans="1:4" x14ac:dyDescent="0.2">
      <c r="A60" s="417" t="s">
        <v>433</v>
      </c>
      <c r="B60" s="424">
        <f>B58++B59</f>
        <v>54964</v>
      </c>
      <c r="C60" s="424">
        <f>C58+C59</f>
        <v>86324</v>
      </c>
    </row>
    <row r="62" spans="1:4" x14ac:dyDescent="0.2">
      <c r="A62" s="125" t="str">
        <f>ДДС!A50</f>
        <v xml:space="preserve">Председатель Правления Ахметжанова Д. Д. </v>
      </c>
      <c r="B62" s="410"/>
      <c r="C62" s="230"/>
    </row>
    <row r="63" spans="1:4" x14ac:dyDescent="0.2">
      <c r="A63" s="125"/>
      <c r="B63" s="287"/>
    </row>
    <row r="64" spans="1:4" x14ac:dyDescent="0.2">
      <c r="A64" s="125" t="str">
        <f>[2]баланс!A41</f>
        <v>Главный бухгалтер Усенова М.О.</v>
      </c>
      <c r="B64" s="268"/>
    </row>
    <row r="65" spans="1:2" x14ac:dyDescent="0.2">
      <c r="A65" s="125"/>
      <c r="B65" s="259"/>
    </row>
    <row r="66" spans="1:2" x14ac:dyDescent="0.2">
      <c r="A66" s="125" t="str">
        <f>[2]баланс!A43</f>
        <v>Исполнитель Усенова М.О.</v>
      </c>
      <c r="B66" s="268"/>
    </row>
    <row r="67" spans="1:2" x14ac:dyDescent="0.2">
      <c r="A67" s="125"/>
      <c r="B67" s="125"/>
    </row>
    <row r="68" spans="1:2" x14ac:dyDescent="0.2">
      <c r="A68" s="125" t="s">
        <v>63</v>
      </c>
      <c r="B68" s="125"/>
    </row>
    <row r="69" spans="1:2" x14ac:dyDescent="0.2">
      <c r="A69" s="261"/>
      <c r="B69" s="125"/>
    </row>
    <row r="70" spans="1:2" x14ac:dyDescent="0.2">
      <c r="A70" s="261"/>
      <c r="B70" s="453"/>
    </row>
    <row r="71" spans="1:2" x14ac:dyDescent="0.2">
      <c r="A71" s="261" t="s">
        <v>30</v>
      </c>
      <c r="B71" s="453"/>
    </row>
  </sheetData>
  <mergeCells count="5">
    <mergeCell ref="A3:C3"/>
    <mergeCell ref="A6:C6"/>
    <mergeCell ref="A7:C7"/>
    <mergeCell ref="A8:C8"/>
    <mergeCell ref="A9:C9"/>
  </mergeCells>
  <pageMargins left="0.39370078740157483" right="0.39370078740157483" top="0.39370078740157483" bottom="0.39370078740157483" header="0" footer="0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"/>
  <sheetViews>
    <sheetView view="pageBreakPreview" zoomScale="85" zoomScaleNormal="115" zoomScaleSheetLayoutView="85" workbookViewId="0">
      <selection activeCell="G2" sqref="G2"/>
    </sheetView>
  </sheetViews>
  <sheetFormatPr defaultRowHeight="12.75" x14ac:dyDescent="0.2"/>
  <cols>
    <col min="1" max="1" width="48.5703125" style="42" customWidth="1"/>
    <col min="2" max="2" width="13.85546875" style="430" customWidth="1"/>
    <col min="3" max="3" width="14.140625" style="430" customWidth="1"/>
    <col min="4" max="4" width="17.85546875" style="430" customWidth="1"/>
    <col min="5" max="5" width="17.5703125" style="430" customWidth="1"/>
    <col min="6" max="6" width="19" style="430" customWidth="1"/>
    <col min="7" max="7" width="15.42578125" style="430" bestFit="1" customWidth="1"/>
    <col min="8" max="8" width="13" style="42" bestFit="1" customWidth="1"/>
    <col min="9" max="9" width="9.85546875" style="42" bestFit="1" customWidth="1"/>
    <col min="10" max="16384" width="9.140625" style="42"/>
  </cols>
  <sheetData>
    <row r="1" spans="1:7" x14ac:dyDescent="0.2">
      <c r="G1" s="431" t="s">
        <v>64</v>
      </c>
    </row>
    <row r="3" spans="1:7" x14ac:dyDescent="0.2">
      <c r="A3" s="458" t="s">
        <v>65</v>
      </c>
      <c r="B3" s="458"/>
      <c r="C3" s="458"/>
      <c r="D3" s="458"/>
      <c r="E3" s="458"/>
      <c r="F3" s="458"/>
      <c r="G3" s="458"/>
    </row>
    <row r="4" spans="1:7" x14ac:dyDescent="0.2">
      <c r="A4" s="459" t="s">
        <v>3</v>
      </c>
      <c r="B4" s="459"/>
      <c r="C4" s="459"/>
      <c r="D4" s="459"/>
      <c r="E4" s="459"/>
      <c r="F4" s="459"/>
      <c r="G4" s="459"/>
    </row>
    <row r="5" spans="1:7" x14ac:dyDescent="0.2">
      <c r="A5" s="459" t="str">
        <f>ДДС!A8</f>
        <v>по состоянию на 01 октября 2016 года</v>
      </c>
      <c r="B5" s="459"/>
      <c r="C5" s="459"/>
      <c r="D5" s="459"/>
      <c r="E5" s="459"/>
      <c r="F5" s="459"/>
      <c r="G5" s="459"/>
    </row>
    <row r="6" spans="1:7" x14ac:dyDescent="0.2">
      <c r="D6" s="432"/>
      <c r="E6" s="432"/>
      <c r="F6" s="432"/>
      <c r="G6" s="433" t="s">
        <v>4</v>
      </c>
    </row>
    <row r="7" spans="1:7" ht="61.5" customHeight="1" x14ac:dyDescent="0.2">
      <c r="A7" s="57"/>
      <c r="B7" s="434" t="s">
        <v>25</v>
      </c>
      <c r="C7" s="434" t="s">
        <v>66</v>
      </c>
      <c r="D7" s="434" t="s">
        <v>67</v>
      </c>
      <c r="E7" s="434" t="s">
        <v>27</v>
      </c>
      <c r="F7" s="434" t="s">
        <v>68</v>
      </c>
      <c r="G7" s="434" t="s">
        <v>69</v>
      </c>
    </row>
    <row r="8" spans="1:7" s="43" customFormat="1" ht="14.25" customHeight="1" x14ac:dyDescent="0.2">
      <c r="A8" s="50">
        <v>1</v>
      </c>
      <c r="B8" s="435">
        <v>2</v>
      </c>
      <c r="C8" s="435">
        <v>3</v>
      </c>
      <c r="D8" s="435">
        <v>4</v>
      </c>
      <c r="E8" s="435">
        <v>5</v>
      </c>
      <c r="F8" s="435">
        <v>6</v>
      </c>
      <c r="G8" s="435">
        <v>7</v>
      </c>
    </row>
    <row r="9" spans="1:7" s="43" customFormat="1" ht="14.25" customHeight="1" x14ac:dyDescent="0.2">
      <c r="A9" s="87" t="s">
        <v>70</v>
      </c>
      <c r="B9" s="436">
        <f>'СК афн'!B11</f>
        <v>1500000</v>
      </c>
      <c r="C9" s="436"/>
      <c r="D9" s="436">
        <v>681046</v>
      </c>
      <c r="E9" s="436">
        <v>48994</v>
      </c>
      <c r="F9" s="436">
        <f>4508076</f>
        <v>4508076</v>
      </c>
      <c r="G9" s="440">
        <f>B9-C9+D9+E9+F9</f>
        <v>6738116</v>
      </c>
    </row>
    <row r="10" spans="1:7" s="43" customFormat="1" ht="14.25" customHeight="1" x14ac:dyDescent="0.2">
      <c r="A10" s="279" t="s">
        <v>71</v>
      </c>
      <c r="B10" s="435"/>
      <c r="C10" s="435"/>
      <c r="D10" s="435"/>
      <c r="E10" s="435"/>
      <c r="F10" s="435"/>
      <c r="G10" s="438">
        <f t="shared" ref="G10:G26" si="0">B10-C10+D10+E10+F10</f>
        <v>0</v>
      </c>
    </row>
    <row r="11" spans="1:7" s="43" customFormat="1" ht="14.25" customHeight="1" x14ac:dyDescent="0.2">
      <c r="A11" s="279" t="s">
        <v>72</v>
      </c>
      <c r="B11" s="438">
        <f>B9+B10</f>
        <v>1500000</v>
      </c>
      <c r="C11" s="438">
        <f t="shared" ref="C11:E11" si="1">C9+C10</f>
        <v>0</v>
      </c>
      <c r="D11" s="438">
        <f t="shared" si="1"/>
        <v>681046</v>
      </c>
      <c r="E11" s="438">
        <f t="shared" si="1"/>
        <v>48994</v>
      </c>
      <c r="F11" s="438">
        <f>F9+F10</f>
        <v>4508076</v>
      </c>
      <c r="G11" s="438">
        <f>G9+G10</f>
        <v>6738116</v>
      </c>
    </row>
    <row r="12" spans="1:7" s="43" customFormat="1" ht="14.25" customHeight="1" x14ac:dyDescent="0.2">
      <c r="A12" s="279" t="s">
        <v>73</v>
      </c>
      <c r="B12" s="435"/>
      <c r="C12" s="435"/>
      <c r="D12" s="435"/>
      <c r="E12" s="435"/>
      <c r="F12" s="435"/>
      <c r="G12" s="438">
        <f t="shared" si="0"/>
        <v>0</v>
      </c>
    </row>
    <row r="13" spans="1:7" s="43" customFormat="1" ht="27.75" customHeight="1" x14ac:dyDescent="0.2">
      <c r="A13" s="281" t="s">
        <v>74</v>
      </c>
      <c r="B13" s="435"/>
      <c r="C13" s="435"/>
      <c r="D13" s="439"/>
      <c r="E13" s="435">
        <v>-87905</v>
      </c>
      <c r="F13" s="435"/>
      <c r="G13" s="438">
        <f t="shared" si="0"/>
        <v>-87905</v>
      </c>
    </row>
    <row r="14" spans="1:7" s="43" customFormat="1" ht="14.25" customHeight="1" x14ac:dyDescent="0.2">
      <c r="A14" s="95" t="s">
        <v>75</v>
      </c>
      <c r="B14" s="435"/>
      <c r="C14" s="435"/>
      <c r="D14" s="435"/>
      <c r="E14" s="435"/>
      <c r="F14" s="435"/>
      <c r="G14" s="438">
        <f t="shared" si="0"/>
        <v>0</v>
      </c>
    </row>
    <row r="15" spans="1:7" s="43" customFormat="1" ht="14.25" customHeight="1" x14ac:dyDescent="0.2">
      <c r="A15" s="282" t="s">
        <v>76</v>
      </c>
      <c r="B15" s="435"/>
      <c r="C15" s="435"/>
      <c r="D15" s="435"/>
      <c r="E15" s="435"/>
      <c r="F15" s="435"/>
      <c r="G15" s="438">
        <f t="shared" si="0"/>
        <v>0</v>
      </c>
    </row>
    <row r="16" spans="1:7" s="43" customFormat="1" ht="26.25" customHeight="1" x14ac:dyDescent="0.2">
      <c r="A16" s="282" t="s">
        <v>77</v>
      </c>
      <c r="B16" s="435"/>
      <c r="C16" s="435"/>
      <c r="D16" s="435"/>
      <c r="E16" s="435"/>
      <c r="F16" s="435"/>
      <c r="G16" s="438">
        <f t="shared" si="0"/>
        <v>0</v>
      </c>
    </row>
    <row r="17" spans="1:10" s="43" customFormat="1" ht="14.25" customHeight="1" x14ac:dyDescent="0.2">
      <c r="A17" s="279" t="s">
        <v>78</v>
      </c>
      <c r="B17" s="435"/>
      <c r="C17" s="435"/>
      <c r="D17" s="435"/>
      <c r="E17" s="435"/>
      <c r="F17" s="435">
        <v>2740666</v>
      </c>
      <c r="G17" s="438">
        <f t="shared" si="0"/>
        <v>2740666</v>
      </c>
    </row>
    <row r="18" spans="1:10" s="43" customFormat="1" ht="14.25" customHeight="1" x14ac:dyDescent="0.2">
      <c r="A18" s="283" t="s">
        <v>79</v>
      </c>
      <c r="B18" s="435"/>
      <c r="C18" s="435"/>
      <c r="D18" s="435"/>
      <c r="E18" s="435"/>
      <c r="F18" s="435">
        <v>2740666</v>
      </c>
      <c r="G18" s="438">
        <f t="shared" si="0"/>
        <v>2740666</v>
      </c>
    </row>
    <row r="19" spans="1:10" s="43" customFormat="1" ht="14.25" customHeight="1" x14ac:dyDescent="0.2">
      <c r="A19" s="283" t="s">
        <v>80</v>
      </c>
      <c r="B19" s="435"/>
      <c r="C19" s="435"/>
      <c r="D19" s="435"/>
      <c r="E19" s="435"/>
      <c r="F19" s="435"/>
      <c r="G19" s="438">
        <f t="shared" si="0"/>
        <v>0</v>
      </c>
    </row>
    <row r="20" spans="1:10" s="43" customFormat="1" ht="14.25" customHeight="1" x14ac:dyDescent="0.2">
      <c r="A20" s="283" t="s">
        <v>81</v>
      </c>
      <c r="B20" s="435"/>
      <c r="C20" s="435"/>
      <c r="D20" s="435"/>
      <c r="E20" s="435"/>
      <c r="F20" s="435"/>
      <c r="G20" s="438">
        <f t="shared" si="0"/>
        <v>0</v>
      </c>
    </row>
    <row r="21" spans="1:10" s="43" customFormat="1" ht="14.25" customHeight="1" x14ac:dyDescent="0.2">
      <c r="A21" s="283" t="s">
        <v>82</v>
      </c>
      <c r="B21" s="435"/>
      <c r="C21" s="435"/>
      <c r="D21" s="435"/>
      <c r="E21" s="435"/>
      <c r="F21" s="435"/>
      <c r="G21" s="438">
        <f t="shared" si="0"/>
        <v>0</v>
      </c>
    </row>
    <row r="22" spans="1:10" s="43" customFormat="1" ht="14.25" customHeight="1" x14ac:dyDescent="0.2">
      <c r="A22" s="284" t="s">
        <v>83</v>
      </c>
      <c r="B22" s="435"/>
      <c r="C22" s="435"/>
      <c r="D22" s="439">
        <f>D24+D25</f>
        <v>38685</v>
      </c>
      <c r="E22" s="435"/>
      <c r="F22" s="435">
        <f>-D22</f>
        <v>-38685</v>
      </c>
      <c r="G22" s="438">
        <f t="shared" si="0"/>
        <v>0</v>
      </c>
    </row>
    <row r="23" spans="1:10" s="43" customFormat="1" ht="14.25" customHeight="1" x14ac:dyDescent="0.2">
      <c r="A23" s="284" t="s">
        <v>31</v>
      </c>
      <c r="B23" s="435"/>
      <c r="C23" s="435"/>
      <c r="D23" s="435"/>
      <c r="E23" s="435"/>
      <c r="F23" s="435"/>
      <c r="G23" s="438">
        <f t="shared" si="0"/>
        <v>0</v>
      </c>
    </row>
    <row r="24" spans="1:10" s="43" customFormat="1" ht="19.5" customHeight="1" x14ac:dyDescent="0.2">
      <c r="A24" s="285" t="s">
        <v>84</v>
      </c>
      <c r="B24" s="435"/>
      <c r="C24" s="435"/>
      <c r="D24" s="435"/>
      <c r="E24" s="435"/>
      <c r="F24" s="435">
        <f>-E24</f>
        <v>0</v>
      </c>
      <c r="G24" s="438">
        <f t="shared" si="0"/>
        <v>0</v>
      </c>
    </row>
    <row r="25" spans="1:10" s="43" customFormat="1" ht="15.75" customHeight="1" x14ac:dyDescent="0.2">
      <c r="A25" s="285" t="s">
        <v>85</v>
      </c>
      <c r="B25" s="435"/>
      <c r="C25" s="435"/>
      <c r="D25" s="435">
        <v>38685</v>
      </c>
      <c r="E25" s="435"/>
      <c r="F25" s="435">
        <f>-D25</f>
        <v>-38685</v>
      </c>
      <c r="G25" s="438">
        <f t="shared" si="0"/>
        <v>0</v>
      </c>
    </row>
    <row r="26" spans="1:10" s="43" customFormat="1" ht="14.25" customHeight="1" x14ac:dyDescent="0.2">
      <c r="A26" s="279" t="s">
        <v>86</v>
      </c>
      <c r="B26" s="435"/>
      <c r="C26" s="435"/>
      <c r="D26" s="435"/>
      <c r="E26" s="435"/>
      <c r="F26" s="435"/>
      <c r="G26" s="438">
        <f t="shared" si="0"/>
        <v>0</v>
      </c>
    </row>
    <row r="27" spans="1:10" ht="15.75" customHeight="1" x14ac:dyDescent="0.2">
      <c r="A27" s="87" t="s">
        <v>87</v>
      </c>
      <c r="B27" s="437">
        <f>B11+B12+B20+B13+B22+B26+B18</f>
        <v>1500000</v>
      </c>
      <c r="C27" s="437"/>
      <c r="D27" s="437">
        <f>D11+D12+D20+D13+D22+D26+D18</f>
        <v>719731</v>
      </c>
      <c r="E27" s="437">
        <f>E11+E12+E20+E13+E22+E26+E18</f>
        <v>-38911</v>
      </c>
      <c r="F27" s="437">
        <f>F11+F12+F20+F13+F22+F26+F18</f>
        <v>7210057</v>
      </c>
      <c r="G27" s="437">
        <f>G11+G12+G20+G13+G22+G26+G18</f>
        <v>9390877</v>
      </c>
      <c r="H27" s="225"/>
      <c r="J27" s="451"/>
    </row>
    <row r="28" spans="1:10" ht="15" customHeight="1" x14ac:dyDescent="0.2">
      <c r="A28" s="279" t="s">
        <v>71</v>
      </c>
      <c r="B28" s="439"/>
      <c r="C28" s="439"/>
      <c r="D28" s="439"/>
      <c r="E28" s="439"/>
      <c r="F28" s="439"/>
      <c r="G28" s="438">
        <f>B28-C28+D28+E28+F28</f>
        <v>0</v>
      </c>
    </row>
    <row r="29" spans="1:10" ht="21" customHeight="1" x14ac:dyDescent="0.2">
      <c r="A29" s="87" t="s">
        <v>88</v>
      </c>
      <c r="B29" s="440">
        <f>B27+B28</f>
        <v>1500000</v>
      </c>
      <c r="C29" s="440">
        <f>C27+C28</f>
        <v>0</v>
      </c>
      <c r="D29" s="440">
        <f>D27+D28</f>
        <v>719731</v>
      </c>
      <c r="E29" s="440">
        <f>E27+E28</f>
        <v>-38911</v>
      </c>
      <c r="F29" s="440">
        <f>F27+F28</f>
        <v>7210057</v>
      </c>
      <c r="G29" s="440">
        <f>B29-C29+D29+E29+F29</f>
        <v>9390877</v>
      </c>
      <c r="H29" s="225">
        <f>F29-H27</f>
        <v>7210057</v>
      </c>
    </row>
    <row r="30" spans="1:10" ht="14.25" customHeight="1" x14ac:dyDescent="0.2">
      <c r="A30" s="279" t="s">
        <v>73</v>
      </c>
      <c r="B30" s="439"/>
      <c r="C30" s="439"/>
      <c r="D30" s="439"/>
      <c r="E30" s="438"/>
      <c r="F30" s="439"/>
      <c r="G30" s="438">
        <f>B30-C30+D30+E30+F30</f>
        <v>0</v>
      </c>
    </row>
    <row r="31" spans="1:10" ht="29.25" customHeight="1" x14ac:dyDescent="0.2">
      <c r="A31" s="279" t="s">
        <v>74</v>
      </c>
      <c r="B31" s="439"/>
      <c r="C31" s="439"/>
      <c r="D31" s="439"/>
      <c r="E31" s="441">
        <f>'СК афн'!D33</f>
        <v>26056</v>
      </c>
      <c r="F31" s="439"/>
      <c r="G31" s="438">
        <f>B31-C31+D31+E31+F31</f>
        <v>26056</v>
      </c>
    </row>
    <row r="32" spans="1:10" x14ac:dyDescent="0.2">
      <c r="A32" s="95" t="s">
        <v>75</v>
      </c>
      <c r="B32" s="439"/>
      <c r="C32" s="439"/>
      <c r="D32" s="439"/>
      <c r="E32" s="439"/>
      <c r="F32" s="439"/>
      <c r="G32" s="438">
        <f t="shared" ref="G32:G39" si="2">B32-C32+D32+E32+F32</f>
        <v>0</v>
      </c>
    </row>
    <row r="33" spans="1:7" x14ac:dyDescent="0.2">
      <c r="A33" s="282" t="s">
        <v>76</v>
      </c>
      <c r="B33" s="439"/>
      <c r="C33" s="439"/>
      <c r="D33" s="439"/>
      <c r="E33" s="439"/>
      <c r="F33" s="439"/>
      <c r="G33" s="438">
        <f t="shared" si="2"/>
        <v>0</v>
      </c>
    </row>
    <row r="34" spans="1:7" ht="25.5" x14ac:dyDescent="0.2">
      <c r="A34" s="282" t="s">
        <v>77</v>
      </c>
      <c r="B34" s="439"/>
      <c r="C34" s="439"/>
      <c r="D34" s="439"/>
      <c r="E34" s="439"/>
      <c r="F34" s="439"/>
      <c r="G34" s="438">
        <f t="shared" si="2"/>
        <v>0</v>
      </c>
    </row>
    <row r="35" spans="1:7" x14ac:dyDescent="0.2">
      <c r="A35" s="279" t="s">
        <v>78</v>
      </c>
      <c r="B35" s="439"/>
      <c r="C35" s="439"/>
      <c r="D35" s="439"/>
      <c r="E35" s="439"/>
      <c r="F35" s="439">
        <f>'баланс афн'!C72</f>
        <v>815848</v>
      </c>
      <c r="G35" s="438">
        <f t="shared" si="2"/>
        <v>815848</v>
      </c>
    </row>
    <row r="36" spans="1:7" x14ac:dyDescent="0.2">
      <c r="A36" s="283" t="s">
        <v>79</v>
      </c>
      <c r="B36" s="439"/>
      <c r="C36" s="439"/>
      <c r="D36" s="439"/>
      <c r="E36" s="439"/>
      <c r="F36" s="439">
        <f>F35</f>
        <v>815848</v>
      </c>
      <c r="G36" s="438">
        <f t="shared" si="2"/>
        <v>815848</v>
      </c>
    </row>
    <row r="37" spans="1:7" x14ac:dyDescent="0.2">
      <c r="A37" s="283" t="s">
        <v>80</v>
      </c>
      <c r="B37" s="439"/>
      <c r="C37" s="439"/>
      <c r="D37" s="439"/>
      <c r="E37" s="439"/>
      <c r="F37" s="439">
        <f>'СК афн'!E39+9</f>
        <v>1619235</v>
      </c>
      <c r="G37" s="438">
        <f t="shared" si="2"/>
        <v>1619235</v>
      </c>
    </row>
    <row r="38" spans="1:7" x14ac:dyDescent="0.2">
      <c r="A38" s="283" t="s">
        <v>81</v>
      </c>
      <c r="B38" s="439"/>
      <c r="C38" s="439"/>
      <c r="D38" s="439"/>
      <c r="E38" s="439"/>
      <c r="F38" s="439"/>
      <c r="G38" s="438">
        <f t="shared" si="2"/>
        <v>0</v>
      </c>
    </row>
    <row r="39" spans="1:7" x14ac:dyDescent="0.2">
      <c r="A39" s="283" t="s">
        <v>82</v>
      </c>
      <c r="B39" s="439"/>
      <c r="C39" s="439"/>
      <c r="D39" s="439"/>
      <c r="E39" s="439"/>
      <c r="F39" s="439"/>
      <c r="G39" s="438">
        <f t="shared" si="2"/>
        <v>0</v>
      </c>
    </row>
    <row r="40" spans="1:7" x14ac:dyDescent="0.2">
      <c r="A40" s="284" t="s">
        <v>83</v>
      </c>
      <c r="B40" s="439">
        <f>B42+B43</f>
        <v>0</v>
      </c>
      <c r="C40" s="439">
        <f>C42+C43</f>
        <v>0</v>
      </c>
      <c r="D40" s="439">
        <f>D42+D43</f>
        <v>170513</v>
      </c>
      <c r="E40" s="439">
        <f>E42+E43</f>
        <v>0</v>
      </c>
      <c r="F40" s="439">
        <f>F42+F43</f>
        <v>-170513</v>
      </c>
      <c r="G40" s="438">
        <f>B40-C40+D40+E40+F40</f>
        <v>0</v>
      </c>
    </row>
    <row r="41" spans="1:7" x14ac:dyDescent="0.2">
      <c r="A41" s="284" t="s">
        <v>31</v>
      </c>
      <c r="B41" s="442"/>
      <c r="C41" s="439"/>
      <c r="D41" s="439"/>
      <c r="E41" s="439"/>
      <c r="F41" s="439"/>
      <c r="G41" s="438">
        <f>B41-C41+D41+E41+F41</f>
        <v>0</v>
      </c>
    </row>
    <row r="42" spans="1:7" ht="18.75" customHeight="1" x14ac:dyDescent="0.2">
      <c r="A42" s="285" t="s">
        <v>84</v>
      </c>
      <c r="B42" s="442"/>
      <c r="C42" s="439"/>
      <c r="D42" s="439"/>
      <c r="E42" s="439">
        <v>0</v>
      </c>
      <c r="F42" s="439">
        <f>-E42</f>
        <v>0</v>
      </c>
      <c r="G42" s="438">
        <f>B42-C42+D42+E42+F42</f>
        <v>0</v>
      </c>
    </row>
    <row r="43" spans="1:7" x14ac:dyDescent="0.2">
      <c r="A43" s="285" t="s">
        <v>85</v>
      </c>
      <c r="B43" s="442"/>
      <c r="C43" s="439"/>
      <c r="D43" s="439">
        <f>'СК афн'!C45</f>
        <v>170513</v>
      </c>
      <c r="E43" s="439"/>
      <c r="F43" s="439">
        <f>-D43</f>
        <v>-170513</v>
      </c>
      <c r="G43" s="438">
        <f>B43-C43+D43+E43+F43</f>
        <v>0</v>
      </c>
    </row>
    <row r="44" spans="1:7" ht="18" customHeight="1" x14ac:dyDescent="0.2">
      <c r="A44" s="279" t="s">
        <v>86</v>
      </c>
      <c r="B44" s="442"/>
      <c r="C44" s="439"/>
      <c r="D44" s="439"/>
      <c r="E44" s="439"/>
      <c r="F44" s="439">
        <v>0</v>
      </c>
      <c r="G44" s="438">
        <f>B44-C44+D44+E44+F44</f>
        <v>0</v>
      </c>
    </row>
    <row r="45" spans="1:7" ht="18" customHeight="1" x14ac:dyDescent="0.2">
      <c r="A45" s="87" t="s">
        <v>89</v>
      </c>
      <c r="B45" s="440">
        <f>B29+B30+B31+B32+B33+B35+B40+B44</f>
        <v>1500000</v>
      </c>
      <c r="C45" s="440">
        <f>C29+C30+C31+C32+C33+C35+C40+C44</f>
        <v>0</v>
      </c>
      <c r="D45" s="440">
        <f>D29+D30+D31+D32+D33+D35+D40+D44</f>
        <v>890244</v>
      </c>
      <c r="E45" s="440">
        <f>E29+E30+E31+E32+E33+E35+E40+E44</f>
        <v>-12855</v>
      </c>
      <c r="F45" s="440">
        <f>F29+F30+F31+F32+F33+F35+F40+F44-F37</f>
        <v>6236157</v>
      </c>
      <c r="G45" s="440">
        <f>G29+G30+G31+G32+G33+G35+G40+G44-G37</f>
        <v>8613546</v>
      </c>
    </row>
    <row r="46" spans="1:7" ht="13.5" customHeight="1" x14ac:dyDescent="0.2">
      <c r="A46" s="286"/>
      <c r="B46" s="443"/>
      <c r="E46" s="444"/>
      <c r="F46" s="444"/>
      <c r="G46" s="444"/>
    </row>
    <row r="47" spans="1:7" x14ac:dyDescent="0.2">
      <c r="A47" s="125" t="str">
        <f>баланс!A39</f>
        <v xml:space="preserve">Председатель Правления Ахметжанова Д. Д. </v>
      </c>
      <c r="B47" s="445">
        <f>B44-B43-B42</f>
        <v>0</v>
      </c>
      <c r="C47" s="446"/>
      <c r="D47" s="447">
        <v>433683</v>
      </c>
      <c r="E47" s="447">
        <f>'баланс афн'!C68</f>
        <v>-12855</v>
      </c>
      <c r="F47" s="447">
        <f>'баланс афн'!C69</f>
        <v>6236157</v>
      </c>
      <c r="G47" s="447">
        <f>'баланс афн'!C73</f>
        <v>8613546</v>
      </c>
    </row>
    <row r="48" spans="1:7" x14ac:dyDescent="0.2">
      <c r="A48" s="125"/>
      <c r="B48" s="447"/>
      <c r="D48" s="447">
        <f>D47-D45</f>
        <v>-456561</v>
      </c>
      <c r="E48" s="447">
        <f>E47-E45</f>
        <v>0</v>
      </c>
      <c r="F48" s="447">
        <f>F47-F45</f>
        <v>0</v>
      </c>
      <c r="G48" s="447">
        <f>G47-G45</f>
        <v>0</v>
      </c>
    </row>
    <row r="49" spans="1:7" x14ac:dyDescent="0.2">
      <c r="A49" s="125" t="str">
        <f>баланс!A41</f>
        <v>Главный бухгалтер Усенова М.О.</v>
      </c>
      <c r="B49" s="448"/>
      <c r="C49" s="446"/>
      <c r="D49" s="449"/>
      <c r="E49" s="447"/>
      <c r="F49" s="447"/>
      <c r="G49" s="447"/>
    </row>
    <row r="50" spans="1:7" x14ac:dyDescent="0.2">
      <c r="A50" s="125"/>
      <c r="B50" s="449"/>
      <c r="D50" s="441"/>
      <c r="E50" s="449"/>
      <c r="F50" s="449"/>
      <c r="G50" s="449"/>
    </row>
    <row r="51" spans="1:7" x14ac:dyDescent="0.2">
      <c r="A51" s="125" t="str">
        <f>баланс!A43</f>
        <v>Исполнитель Усенова М.О.</v>
      </c>
      <c r="B51" s="448"/>
      <c r="C51" s="446"/>
      <c r="D51" s="441"/>
      <c r="E51" s="449"/>
      <c r="F51" s="449"/>
      <c r="G51" s="449"/>
    </row>
    <row r="52" spans="1:7" x14ac:dyDescent="0.2">
      <c r="A52" s="125"/>
      <c r="B52" s="450"/>
      <c r="D52" s="441"/>
      <c r="E52" s="449"/>
      <c r="F52" s="449"/>
      <c r="G52" s="449"/>
    </row>
    <row r="53" spans="1:7" x14ac:dyDescent="0.2">
      <c r="A53" s="125" t="s">
        <v>90</v>
      </c>
      <c r="B53" s="450"/>
      <c r="D53" s="441"/>
      <c r="E53" s="441"/>
      <c r="F53" s="441"/>
      <c r="G53" s="441"/>
    </row>
    <row r="54" spans="1:7" x14ac:dyDescent="0.2">
      <c r="A54" s="261"/>
      <c r="B54" s="450"/>
      <c r="D54" s="441"/>
      <c r="E54" s="441"/>
      <c r="F54" s="441"/>
      <c r="G54" s="441"/>
    </row>
    <row r="55" spans="1:7" x14ac:dyDescent="0.2">
      <c r="A55" s="261"/>
      <c r="B55" s="450"/>
      <c r="D55" s="441"/>
      <c r="E55" s="441"/>
      <c r="F55" s="441"/>
      <c r="G55" s="441"/>
    </row>
    <row r="56" spans="1:7" x14ac:dyDescent="0.2">
      <c r="A56" s="261" t="s">
        <v>30</v>
      </c>
      <c r="B56" s="450"/>
      <c r="D56" s="441"/>
      <c r="E56" s="441"/>
      <c r="F56" s="441"/>
      <c r="G56" s="441"/>
    </row>
    <row r="57" spans="1:7" x14ac:dyDescent="0.2">
      <c r="A57" s="288"/>
      <c r="B57" s="450"/>
      <c r="C57" s="441"/>
      <c r="D57" s="441"/>
      <c r="E57" s="441"/>
      <c r="F57" s="441"/>
      <c r="G57" s="441"/>
    </row>
    <row r="58" spans="1:7" x14ac:dyDescent="0.2">
      <c r="A58" s="288"/>
      <c r="B58" s="450"/>
      <c r="C58" s="441"/>
      <c r="D58" s="441"/>
      <c r="E58" s="441"/>
      <c r="F58" s="441"/>
      <c r="G58" s="441"/>
    </row>
    <row r="59" spans="1:7" x14ac:dyDescent="0.2">
      <c r="A59" s="289"/>
      <c r="B59" s="441"/>
      <c r="C59" s="441"/>
      <c r="D59" s="441"/>
      <c r="E59" s="441"/>
      <c r="F59" s="441"/>
      <c r="G59" s="441"/>
    </row>
    <row r="60" spans="1:7" x14ac:dyDescent="0.2">
      <c r="A60" s="289"/>
      <c r="B60" s="441"/>
      <c r="C60" s="441"/>
      <c r="D60" s="441"/>
      <c r="E60" s="441"/>
      <c r="F60" s="441"/>
      <c r="G60" s="441"/>
    </row>
    <row r="61" spans="1:7" x14ac:dyDescent="0.2">
      <c r="A61" s="290"/>
    </row>
    <row r="62" spans="1:7" x14ac:dyDescent="0.2">
      <c r="A62" s="290"/>
    </row>
    <row r="63" spans="1:7" x14ac:dyDescent="0.2">
      <c r="A63" s="290"/>
    </row>
    <row r="64" spans="1:7" x14ac:dyDescent="0.2">
      <c r="A64" s="290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36" zoomScaleNormal="100" workbookViewId="0">
      <selection activeCell="A63" sqref="A63:A64"/>
    </sheetView>
  </sheetViews>
  <sheetFormatPr defaultRowHeight="12.75" x14ac:dyDescent="0.2"/>
  <cols>
    <col min="1" max="1" width="81.85546875" style="42" customWidth="1"/>
    <col min="2" max="2" width="16.42578125" style="42" customWidth="1"/>
    <col min="3" max="3" width="16.42578125" style="44" customWidth="1"/>
    <col min="4" max="4" width="14.42578125" style="43" customWidth="1"/>
    <col min="5" max="5" width="8" style="9" customWidth="1"/>
    <col min="6" max="7" width="14.5703125" style="7" bestFit="1" customWidth="1"/>
    <col min="8" max="8" width="11.28515625" style="7" bestFit="1" customWidth="1"/>
    <col min="9" max="9" width="9.28515625" style="7" bestFit="1" customWidth="1"/>
    <col min="10" max="16384" width="9.140625" style="7"/>
  </cols>
  <sheetData>
    <row r="1" spans="1:8" x14ac:dyDescent="0.2">
      <c r="D1" s="294" t="s">
        <v>125</v>
      </c>
    </row>
    <row r="3" spans="1:8" x14ac:dyDescent="0.2">
      <c r="A3" s="458" t="s">
        <v>126</v>
      </c>
      <c r="B3" s="458"/>
      <c r="C3" s="458"/>
      <c r="D3" s="458"/>
    </row>
    <row r="4" spans="1:8" x14ac:dyDescent="0.2">
      <c r="A4" s="459" t="s">
        <v>127</v>
      </c>
      <c r="B4" s="459"/>
      <c r="C4" s="459"/>
      <c r="D4" s="459"/>
    </row>
    <row r="5" spans="1:8" x14ac:dyDescent="0.2">
      <c r="A5" s="459" t="s">
        <v>435</v>
      </c>
      <c r="B5" s="459"/>
      <c r="C5" s="459"/>
      <c r="D5" s="459"/>
    </row>
    <row r="6" spans="1:8" x14ac:dyDescent="0.2">
      <c r="D6" s="43" t="s">
        <v>4</v>
      </c>
    </row>
    <row r="7" spans="1:8" s="10" customFormat="1" ht="46.5" customHeight="1" x14ac:dyDescent="0.2">
      <c r="A7" s="47" t="s">
        <v>5</v>
      </c>
      <c r="B7" s="295" t="s">
        <v>128</v>
      </c>
      <c r="C7" s="49" t="s">
        <v>6</v>
      </c>
      <c r="D7" s="47" t="s">
        <v>129</v>
      </c>
      <c r="E7" s="13"/>
    </row>
    <row r="8" spans="1:8" x14ac:dyDescent="0.2">
      <c r="A8" s="50">
        <v>1</v>
      </c>
      <c r="B8" s="50">
        <v>2</v>
      </c>
      <c r="C8" s="51">
        <v>3</v>
      </c>
      <c r="D8" s="50">
        <v>4</v>
      </c>
    </row>
    <row r="9" spans="1:8" x14ac:dyDescent="0.2">
      <c r="A9" s="57" t="s">
        <v>7</v>
      </c>
      <c r="B9" s="50"/>
      <c r="C9" s="296"/>
      <c r="D9" s="296"/>
    </row>
    <row r="10" spans="1:8" x14ac:dyDescent="0.2">
      <c r="A10" s="69" t="s">
        <v>342</v>
      </c>
      <c r="B10" s="50">
        <v>1</v>
      </c>
      <c r="C10" s="298">
        <v>54964</v>
      </c>
      <c r="D10" s="297">
        <v>2526067</v>
      </c>
      <c r="E10" s="21"/>
      <c r="F10" s="408">
        <f>C10-D10</f>
        <v>-2471103</v>
      </c>
    </row>
    <row r="11" spans="1:8" x14ac:dyDescent="0.2">
      <c r="A11" s="69" t="s">
        <v>130</v>
      </c>
      <c r="B11" s="50">
        <v>2</v>
      </c>
      <c r="C11" s="298">
        <v>2834318</v>
      </c>
      <c r="D11" s="297">
        <v>4108087</v>
      </c>
      <c r="F11" s="408">
        <f t="shared" ref="F11:F74" si="0">C11-D11</f>
        <v>-1273769</v>
      </c>
    </row>
    <row r="12" spans="1:8" ht="25.5" x14ac:dyDescent="0.2">
      <c r="A12" s="281" t="s">
        <v>131</v>
      </c>
      <c r="B12" s="50">
        <v>3</v>
      </c>
      <c r="C12" s="298">
        <v>5199499</v>
      </c>
      <c r="D12" s="297">
        <v>2152357</v>
      </c>
      <c r="F12" s="408">
        <f t="shared" si="0"/>
        <v>3047142</v>
      </c>
    </row>
    <row r="13" spans="1:8" x14ac:dyDescent="0.2">
      <c r="A13" s="69" t="s">
        <v>132</v>
      </c>
      <c r="B13" s="50">
        <v>4</v>
      </c>
      <c r="C13" s="299">
        <v>822957</v>
      </c>
      <c r="D13" s="297">
        <v>945542</v>
      </c>
      <c r="F13" s="408">
        <f t="shared" si="0"/>
        <v>-122585</v>
      </c>
    </row>
    <row r="14" spans="1:8" x14ac:dyDescent="0.2">
      <c r="A14" s="69" t="s">
        <v>343</v>
      </c>
      <c r="B14" s="50">
        <v>5</v>
      </c>
      <c r="C14" s="298">
        <v>0</v>
      </c>
      <c r="D14" s="297">
        <v>131136</v>
      </c>
      <c r="F14" s="408">
        <f t="shared" si="0"/>
        <v>-131136</v>
      </c>
    </row>
    <row r="15" spans="1:8" x14ac:dyDescent="0.2">
      <c r="A15" s="62" t="s">
        <v>133</v>
      </c>
      <c r="B15" s="50">
        <v>6</v>
      </c>
      <c r="C15" s="298"/>
      <c r="D15" s="297"/>
      <c r="F15" s="408">
        <f t="shared" si="0"/>
        <v>0</v>
      </c>
    </row>
    <row r="16" spans="1:8" x14ac:dyDescent="0.2">
      <c r="A16" s="62" t="s">
        <v>134</v>
      </c>
      <c r="B16" s="50">
        <v>7</v>
      </c>
      <c r="C16" s="298"/>
      <c r="D16" s="297"/>
      <c r="F16" s="408">
        <f t="shared" si="0"/>
        <v>0</v>
      </c>
      <c r="G16" s="408"/>
      <c r="H16" s="409"/>
    </row>
    <row r="17" spans="1:9" x14ac:dyDescent="0.2">
      <c r="A17" s="62" t="s">
        <v>135</v>
      </c>
      <c r="B17" s="50">
        <v>8</v>
      </c>
      <c r="C17" s="298">
        <v>2139757</v>
      </c>
      <c r="D17" s="297">
        <v>1217935</v>
      </c>
      <c r="F17" s="408">
        <f t="shared" si="0"/>
        <v>921822</v>
      </c>
      <c r="H17" s="409"/>
    </row>
    <row r="18" spans="1:9" ht="25.5" x14ac:dyDescent="0.2">
      <c r="A18" s="102" t="s">
        <v>136</v>
      </c>
      <c r="B18" s="50">
        <v>9</v>
      </c>
      <c r="C18" s="298">
        <v>102455</v>
      </c>
      <c r="D18" s="297">
        <v>56704</v>
      </c>
      <c r="F18" s="408">
        <f t="shared" si="0"/>
        <v>45751</v>
      </c>
      <c r="H18" s="409"/>
    </row>
    <row r="19" spans="1:9" ht="25.5" x14ac:dyDescent="0.2">
      <c r="A19" s="102" t="s">
        <v>344</v>
      </c>
      <c r="B19" s="50">
        <v>10</v>
      </c>
      <c r="C19" s="298"/>
      <c r="D19" s="297"/>
      <c r="F19" s="408">
        <f t="shared" si="0"/>
        <v>0</v>
      </c>
    </row>
    <row r="20" spans="1:9" ht="25.5" x14ac:dyDescent="0.2">
      <c r="A20" s="102" t="s">
        <v>345</v>
      </c>
      <c r="B20" s="50">
        <v>11</v>
      </c>
      <c r="C20" s="298"/>
      <c r="D20" s="297"/>
      <c r="F20" s="408">
        <f t="shared" si="0"/>
        <v>0</v>
      </c>
    </row>
    <row r="21" spans="1:9" ht="25.5" x14ac:dyDescent="0.2">
      <c r="A21" s="102" t="s">
        <v>137</v>
      </c>
      <c r="B21" s="50">
        <v>12</v>
      </c>
      <c r="C21" s="298">
        <v>255448</v>
      </c>
      <c r="D21" s="297">
        <v>317740</v>
      </c>
      <c r="F21" s="408">
        <f t="shared" si="0"/>
        <v>-62292</v>
      </c>
      <c r="H21" s="409"/>
    </row>
    <row r="22" spans="1:9" ht="25.5" x14ac:dyDescent="0.2">
      <c r="A22" s="95" t="s">
        <v>138</v>
      </c>
      <c r="B22" s="50">
        <v>13</v>
      </c>
      <c r="C22" s="299">
        <v>1935888</v>
      </c>
      <c r="D22" s="297">
        <v>980383</v>
      </c>
      <c r="F22" s="408">
        <f t="shared" si="0"/>
        <v>955505</v>
      </c>
    </row>
    <row r="23" spans="1:9" x14ac:dyDescent="0.2">
      <c r="A23" s="95" t="s">
        <v>139</v>
      </c>
      <c r="B23" s="92">
        <v>14</v>
      </c>
      <c r="C23" s="299">
        <v>2498</v>
      </c>
      <c r="D23" s="297">
        <v>2098</v>
      </c>
      <c r="E23" s="28">
        <v>127041</v>
      </c>
      <c r="F23" s="408">
        <f t="shared" si="0"/>
        <v>400</v>
      </c>
    </row>
    <row r="24" spans="1:9" ht="27" customHeight="1" x14ac:dyDescent="0.2">
      <c r="A24" s="279" t="s">
        <v>140</v>
      </c>
      <c r="B24" s="50">
        <v>15</v>
      </c>
      <c r="C24" s="299">
        <v>607126</v>
      </c>
      <c r="D24" s="297">
        <v>452862</v>
      </c>
      <c r="F24" s="408">
        <f t="shared" si="0"/>
        <v>154264</v>
      </c>
      <c r="I24" s="22">
        <f>H24-C24</f>
        <v>-607126</v>
      </c>
    </row>
    <row r="25" spans="1:9" x14ac:dyDescent="0.2">
      <c r="A25" s="69" t="s">
        <v>141</v>
      </c>
      <c r="B25" s="50">
        <v>16</v>
      </c>
      <c r="C25" s="299"/>
      <c r="D25" s="297"/>
      <c r="F25" s="408">
        <f t="shared" si="0"/>
        <v>0</v>
      </c>
    </row>
    <row r="26" spans="1:9" x14ac:dyDescent="0.2">
      <c r="A26" s="300" t="s">
        <v>142</v>
      </c>
      <c r="B26" s="50">
        <v>17</v>
      </c>
      <c r="C26" s="299">
        <v>727</v>
      </c>
      <c r="D26" s="297">
        <v>3423</v>
      </c>
      <c r="E26" s="28">
        <v>1620</v>
      </c>
      <c r="F26" s="408">
        <f t="shared" si="0"/>
        <v>-2696</v>
      </c>
    </row>
    <row r="27" spans="1:9" x14ac:dyDescent="0.2">
      <c r="A27" s="69" t="s">
        <v>143</v>
      </c>
      <c r="B27" s="50">
        <v>18</v>
      </c>
      <c r="C27" s="299">
        <v>197524</v>
      </c>
      <c r="D27" s="297">
        <v>90172</v>
      </c>
      <c r="F27" s="408">
        <f t="shared" si="0"/>
        <v>107352</v>
      </c>
    </row>
    <row r="28" spans="1:9" x14ac:dyDescent="0.2">
      <c r="A28" s="301" t="s">
        <v>144</v>
      </c>
      <c r="B28" s="50">
        <v>19</v>
      </c>
      <c r="C28" s="299">
        <v>53570</v>
      </c>
      <c r="D28" s="297">
        <v>53570</v>
      </c>
      <c r="F28" s="408">
        <f t="shared" si="0"/>
        <v>0</v>
      </c>
    </row>
    <row r="29" spans="1:9" x14ac:dyDescent="0.2">
      <c r="A29" s="69" t="s">
        <v>145</v>
      </c>
      <c r="B29" s="50">
        <v>20</v>
      </c>
      <c r="C29" s="299">
        <v>877224</v>
      </c>
      <c r="D29" s="297">
        <v>778269</v>
      </c>
      <c r="F29" s="408">
        <f t="shared" si="0"/>
        <v>98955</v>
      </c>
    </row>
    <row r="30" spans="1:9" x14ac:dyDescent="0.2">
      <c r="A30" s="69" t="s">
        <v>146</v>
      </c>
      <c r="B30" s="50">
        <v>21</v>
      </c>
      <c r="C30" s="302"/>
      <c r="D30" s="297"/>
      <c r="F30" s="408">
        <f t="shared" si="0"/>
        <v>0</v>
      </c>
    </row>
    <row r="31" spans="1:9" s="333" customFormat="1" x14ac:dyDescent="0.2">
      <c r="A31" s="328" t="s">
        <v>346</v>
      </c>
      <c r="B31" s="329">
        <v>22</v>
      </c>
      <c r="C31" s="330">
        <v>43204</v>
      </c>
      <c r="D31" s="331"/>
      <c r="E31" s="332"/>
      <c r="F31" s="408">
        <f t="shared" si="0"/>
        <v>43204</v>
      </c>
    </row>
    <row r="32" spans="1:9" x14ac:dyDescent="0.2">
      <c r="A32" s="62" t="s">
        <v>147</v>
      </c>
      <c r="B32" s="50">
        <v>23</v>
      </c>
      <c r="C32" s="299">
        <v>300479</v>
      </c>
      <c r="D32" s="297">
        <v>327448</v>
      </c>
      <c r="F32" s="408">
        <f t="shared" si="0"/>
        <v>-26969</v>
      </c>
    </row>
    <row r="33" spans="1:10" x14ac:dyDescent="0.2">
      <c r="A33" s="62" t="s">
        <v>148</v>
      </c>
      <c r="B33" s="50">
        <v>24</v>
      </c>
      <c r="C33" s="298"/>
      <c r="D33" s="297"/>
      <c r="F33" s="408">
        <f t="shared" si="0"/>
        <v>0</v>
      </c>
    </row>
    <row r="34" spans="1:10" x14ac:dyDescent="0.2">
      <c r="A34" s="62" t="s">
        <v>149</v>
      </c>
      <c r="B34" s="50">
        <v>25</v>
      </c>
      <c r="C34" s="299"/>
      <c r="D34" s="297"/>
      <c r="F34" s="408">
        <f t="shared" si="0"/>
        <v>0</v>
      </c>
    </row>
    <row r="35" spans="1:10" x14ac:dyDescent="0.2">
      <c r="A35" s="62" t="s">
        <v>150</v>
      </c>
      <c r="B35" s="50">
        <v>26</v>
      </c>
      <c r="C35" s="299">
        <v>113632</v>
      </c>
      <c r="D35" s="297">
        <v>120720</v>
      </c>
      <c r="F35" s="408">
        <f t="shared" si="0"/>
        <v>-7088</v>
      </c>
    </row>
    <row r="36" spans="1:10" x14ac:dyDescent="0.2">
      <c r="A36" s="69" t="s">
        <v>17</v>
      </c>
      <c r="B36" s="50">
        <v>27</v>
      </c>
      <c r="C36" s="299"/>
      <c r="D36" s="297">
        <v>39823</v>
      </c>
      <c r="F36" s="408">
        <f t="shared" si="0"/>
        <v>-39823</v>
      </c>
    </row>
    <row r="37" spans="1:10" x14ac:dyDescent="0.2">
      <c r="A37" s="57" t="s">
        <v>151</v>
      </c>
      <c r="B37" s="303">
        <v>28</v>
      </c>
      <c r="C37" s="304">
        <v>15541270</v>
      </c>
      <c r="D37" s="304">
        <v>14304336</v>
      </c>
      <c r="F37" s="408">
        <f t="shared" si="0"/>
        <v>1236934</v>
      </c>
      <c r="J37" s="22"/>
    </row>
    <row r="38" spans="1:10" x14ac:dyDescent="0.2">
      <c r="A38" s="57"/>
      <c r="B38" s="303"/>
      <c r="C38" s="304"/>
      <c r="D38" s="304"/>
      <c r="F38" s="408">
        <f t="shared" si="0"/>
        <v>0</v>
      </c>
      <c r="J38" s="22"/>
    </row>
    <row r="39" spans="1:10" x14ac:dyDescent="0.2">
      <c r="A39" s="57" t="s">
        <v>18</v>
      </c>
      <c r="B39" s="303"/>
      <c r="C39" s="304"/>
      <c r="D39" s="304"/>
      <c r="F39" s="408">
        <f t="shared" si="0"/>
        <v>0</v>
      </c>
    </row>
    <row r="40" spans="1:10" x14ac:dyDescent="0.2">
      <c r="A40" s="62" t="s">
        <v>152</v>
      </c>
      <c r="B40" s="303">
        <v>29</v>
      </c>
      <c r="C40" s="299">
        <v>3596151</v>
      </c>
      <c r="D40" s="297">
        <v>2600469</v>
      </c>
      <c r="F40" s="408">
        <f t="shared" si="0"/>
        <v>995682</v>
      </c>
      <c r="H40" s="22"/>
    </row>
    <row r="41" spans="1:10" x14ac:dyDescent="0.2">
      <c r="A41" s="62" t="s">
        <v>347</v>
      </c>
      <c r="B41" s="303">
        <v>30</v>
      </c>
      <c r="C41" s="298"/>
      <c r="D41" s="297"/>
      <c r="F41" s="408">
        <f t="shared" si="0"/>
        <v>0</v>
      </c>
    </row>
    <row r="42" spans="1:10" x14ac:dyDescent="0.2">
      <c r="A42" s="62" t="s">
        <v>348</v>
      </c>
      <c r="B42" s="303">
        <v>31</v>
      </c>
      <c r="C42" s="297"/>
      <c r="D42" s="297"/>
      <c r="F42" s="408">
        <f t="shared" si="0"/>
        <v>0</v>
      </c>
    </row>
    <row r="43" spans="1:10" x14ac:dyDescent="0.2">
      <c r="A43" s="62" t="s">
        <v>153</v>
      </c>
      <c r="B43" s="303">
        <v>32</v>
      </c>
      <c r="C43" s="299">
        <v>383337</v>
      </c>
      <c r="D43" s="297">
        <v>274519</v>
      </c>
      <c r="F43" s="408">
        <f t="shared" si="0"/>
        <v>108818</v>
      </c>
    </row>
    <row r="44" spans="1:10" x14ac:dyDescent="0.2">
      <c r="A44" s="62" t="s">
        <v>154</v>
      </c>
      <c r="B44" s="303">
        <v>33</v>
      </c>
      <c r="C44" s="299">
        <v>963726</v>
      </c>
      <c r="D44" s="297">
        <v>1013086</v>
      </c>
      <c r="E44" s="21"/>
      <c r="F44" s="408">
        <f t="shared" si="0"/>
        <v>-49360</v>
      </c>
    </row>
    <row r="45" spans="1:10" x14ac:dyDescent="0.2">
      <c r="A45" s="62" t="s">
        <v>155</v>
      </c>
      <c r="B45" s="303">
        <v>34</v>
      </c>
      <c r="C45" s="299"/>
      <c r="D45" s="297"/>
      <c r="F45" s="408">
        <f t="shared" si="0"/>
        <v>0</v>
      </c>
    </row>
    <row r="46" spans="1:10" x14ac:dyDescent="0.2">
      <c r="A46" s="68" t="s">
        <v>349</v>
      </c>
      <c r="B46" s="303">
        <v>35</v>
      </c>
      <c r="C46" s="299">
        <v>1614219</v>
      </c>
      <c r="D46" s="297">
        <v>673840</v>
      </c>
      <c r="E46" s="9" t="s">
        <v>156</v>
      </c>
      <c r="F46" s="408">
        <f t="shared" si="0"/>
        <v>940379</v>
      </c>
      <c r="G46" s="408">
        <f>SUM(F46:F49)</f>
        <v>933226</v>
      </c>
    </row>
    <row r="47" spans="1:10" x14ac:dyDescent="0.2">
      <c r="A47" s="68" t="s">
        <v>350</v>
      </c>
      <c r="B47" s="303">
        <v>36</v>
      </c>
      <c r="C47" s="297">
        <v>42879</v>
      </c>
      <c r="D47" s="297">
        <v>44762</v>
      </c>
      <c r="E47" s="9" t="s">
        <v>157</v>
      </c>
      <c r="F47" s="408">
        <f t="shared" si="0"/>
        <v>-1883</v>
      </c>
    </row>
    <row r="48" spans="1:10" x14ac:dyDescent="0.2">
      <c r="A48" s="68" t="s">
        <v>158</v>
      </c>
      <c r="B48" s="303">
        <v>37</v>
      </c>
      <c r="C48" s="298"/>
      <c r="D48" s="297"/>
      <c r="F48" s="408">
        <f t="shared" si="0"/>
        <v>0</v>
      </c>
    </row>
    <row r="49" spans="1:8" x14ac:dyDescent="0.2">
      <c r="A49" s="68" t="s">
        <v>159</v>
      </c>
      <c r="B49" s="303">
        <v>38</v>
      </c>
      <c r="C49" s="298">
        <v>43124</v>
      </c>
      <c r="D49" s="297">
        <v>48394</v>
      </c>
      <c r="E49" s="9" t="s">
        <v>160</v>
      </c>
      <c r="F49" s="408">
        <f t="shared" si="0"/>
        <v>-5270</v>
      </c>
      <c r="H49" s="22"/>
    </row>
    <row r="50" spans="1:8" x14ac:dyDescent="0.2">
      <c r="A50" s="68" t="s">
        <v>161</v>
      </c>
      <c r="B50" s="303">
        <v>39</v>
      </c>
      <c r="C50" s="297">
        <v>103024</v>
      </c>
      <c r="D50" s="297">
        <v>137215</v>
      </c>
      <c r="F50" s="408">
        <f t="shared" si="0"/>
        <v>-34191</v>
      </c>
      <c r="G50" s="408">
        <f>SUM(F50:F58)</f>
        <v>25890</v>
      </c>
    </row>
    <row r="51" spans="1:8" x14ac:dyDescent="0.2">
      <c r="A51" s="68" t="s">
        <v>162</v>
      </c>
      <c r="B51" s="303">
        <v>40</v>
      </c>
      <c r="C51" s="298"/>
      <c r="D51" s="297"/>
      <c r="F51" s="408">
        <f t="shared" si="0"/>
        <v>0</v>
      </c>
    </row>
    <row r="52" spans="1:8" x14ac:dyDescent="0.2">
      <c r="A52" s="68" t="s">
        <v>351</v>
      </c>
      <c r="B52" s="303">
        <v>41</v>
      </c>
      <c r="C52" s="298"/>
      <c r="D52" s="297"/>
      <c r="F52" s="408">
        <f t="shared" si="0"/>
        <v>0</v>
      </c>
    </row>
    <row r="53" spans="1:8" x14ac:dyDescent="0.2">
      <c r="A53" s="68" t="s">
        <v>134</v>
      </c>
      <c r="B53" s="303">
        <v>42</v>
      </c>
      <c r="C53" s="297"/>
      <c r="D53" s="297"/>
      <c r="F53" s="408">
        <f t="shared" si="0"/>
        <v>0</v>
      </c>
    </row>
    <row r="54" spans="1:8" x14ac:dyDescent="0.2">
      <c r="A54" s="68" t="s">
        <v>163</v>
      </c>
      <c r="B54" s="303">
        <v>43</v>
      </c>
      <c r="C54" s="297"/>
      <c r="D54" s="297"/>
      <c r="F54" s="408">
        <f t="shared" si="0"/>
        <v>0</v>
      </c>
    </row>
    <row r="55" spans="1:8" x14ac:dyDescent="0.2">
      <c r="A55" s="62" t="s">
        <v>164</v>
      </c>
      <c r="B55" s="303">
        <v>44</v>
      </c>
      <c r="C55" s="299">
        <v>16621</v>
      </c>
      <c r="D55" s="297">
        <v>21956</v>
      </c>
      <c r="F55" s="408">
        <f t="shared" si="0"/>
        <v>-5335</v>
      </c>
    </row>
    <row r="56" spans="1:8" x14ac:dyDescent="0.2">
      <c r="A56" s="62" t="s">
        <v>165</v>
      </c>
      <c r="B56" s="303">
        <v>45</v>
      </c>
      <c r="C56" s="299">
        <v>109315</v>
      </c>
      <c r="D56" s="297">
        <v>0</v>
      </c>
      <c r="F56" s="408">
        <f t="shared" si="0"/>
        <v>109315</v>
      </c>
    </row>
    <row r="57" spans="1:8" x14ac:dyDescent="0.2">
      <c r="A57" s="305" t="s">
        <v>166</v>
      </c>
      <c r="B57" s="303">
        <v>46</v>
      </c>
      <c r="C57" s="297"/>
      <c r="D57" s="297"/>
      <c r="F57" s="408">
        <f t="shared" si="0"/>
        <v>0</v>
      </c>
    </row>
    <row r="58" spans="1:8" x14ac:dyDescent="0.2">
      <c r="A58" s="305" t="s">
        <v>23</v>
      </c>
      <c r="B58" s="303">
        <v>47</v>
      </c>
      <c r="C58" s="299">
        <v>55328</v>
      </c>
      <c r="D58" s="297">
        <v>99227</v>
      </c>
      <c r="E58" s="9">
        <v>335003</v>
      </c>
      <c r="F58" s="408">
        <f t="shared" si="0"/>
        <v>-43899</v>
      </c>
    </row>
    <row r="59" spans="1:8" x14ac:dyDescent="0.2">
      <c r="A59" s="306" t="s">
        <v>167</v>
      </c>
      <c r="B59" s="303">
        <v>48</v>
      </c>
      <c r="C59" s="304">
        <v>6927724</v>
      </c>
      <c r="D59" s="304">
        <v>4913468</v>
      </c>
      <c r="F59" s="408">
        <f t="shared" si="0"/>
        <v>2014256</v>
      </c>
    </row>
    <row r="60" spans="1:8" x14ac:dyDescent="0.2">
      <c r="A60" s="306"/>
      <c r="B60" s="303"/>
      <c r="C60" s="304"/>
      <c r="D60" s="304"/>
      <c r="F60" s="408">
        <f t="shared" si="0"/>
        <v>0</v>
      </c>
    </row>
    <row r="61" spans="1:8" x14ac:dyDescent="0.2">
      <c r="A61" s="57" t="s">
        <v>24</v>
      </c>
      <c r="B61" s="50"/>
      <c r="C61" s="307"/>
      <c r="D61" s="307"/>
      <c r="F61" s="408">
        <f t="shared" si="0"/>
        <v>0</v>
      </c>
    </row>
    <row r="62" spans="1:8" x14ac:dyDescent="0.2">
      <c r="A62" s="69" t="s">
        <v>168</v>
      </c>
      <c r="B62" s="92">
        <v>49</v>
      </c>
      <c r="C62" s="299">
        <v>1500000</v>
      </c>
      <c r="D62" s="297">
        <v>1500000</v>
      </c>
      <c r="F62" s="408">
        <f t="shared" si="0"/>
        <v>0</v>
      </c>
    </row>
    <row r="63" spans="1:8" x14ac:dyDescent="0.2">
      <c r="A63" s="67" t="s">
        <v>352</v>
      </c>
      <c r="B63" s="92">
        <v>50</v>
      </c>
      <c r="C63" s="299"/>
      <c r="D63" s="297"/>
      <c r="F63" s="408">
        <f t="shared" si="0"/>
        <v>0</v>
      </c>
    </row>
    <row r="64" spans="1:8" x14ac:dyDescent="0.2">
      <c r="A64" s="69" t="s">
        <v>353</v>
      </c>
      <c r="B64" s="92">
        <v>51</v>
      </c>
      <c r="C64" s="51"/>
      <c r="D64" s="50"/>
      <c r="E64" s="21"/>
      <c r="F64" s="408">
        <f t="shared" si="0"/>
        <v>0</v>
      </c>
      <c r="G64" s="22"/>
    </row>
    <row r="65" spans="1:9" x14ac:dyDescent="0.2">
      <c r="A65" s="69" t="s">
        <v>354</v>
      </c>
      <c r="B65" s="92">
        <v>52</v>
      </c>
      <c r="C65" s="51"/>
      <c r="D65" s="50"/>
      <c r="E65" s="21"/>
      <c r="F65" s="408">
        <f t="shared" si="0"/>
        <v>0</v>
      </c>
      <c r="G65" s="22"/>
    </row>
    <row r="66" spans="1:9" x14ac:dyDescent="0.2">
      <c r="A66" s="69" t="s">
        <v>337</v>
      </c>
      <c r="B66" s="92">
        <v>53</v>
      </c>
      <c r="C66" s="299"/>
      <c r="D66" s="297"/>
      <c r="E66" s="21"/>
      <c r="F66" s="408">
        <f t="shared" si="0"/>
        <v>0</v>
      </c>
    </row>
    <row r="67" spans="1:9" x14ac:dyDescent="0.2">
      <c r="A67" s="69" t="s">
        <v>338</v>
      </c>
      <c r="B67" s="92">
        <v>54</v>
      </c>
      <c r="C67" s="299">
        <v>890244</v>
      </c>
      <c r="D67" s="297">
        <v>719731</v>
      </c>
      <c r="E67" s="21"/>
      <c r="F67" s="408">
        <f t="shared" si="0"/>
        <v>170513</v>
      </c>
    </row>
    <row r="68" spans="1:9" x14ac:dyDescent="0.2">
      <c r="A68" s="69" t="s">
        <v>355</v>
      </c>
      <c r="B68" s="92">
        <v>55</v>
      </c>
      <c r="C68" s="299">
        <v>-12855</v>
      </c>
      <c r="D68" s="297">
        <v>-38911</v>
      </c>
      <c r="F68" s="408">
        <f t="shared" si="0"/>
        <v>26056</v>
      </c>
      <c r="G68" s="22"/>
    </row>
    <row r="69" spans="1:9" x14ac:dyDescent="0.2">
      <c r="A69" s="69" t="s">
        <v>356</v>
      </c>
      <c r="B69" s="92">
        <v>56</v>
      </c>
      <c r="C69" s="297">
        <v>6236157</v>
      </c>
      <c r="D69" s="297">
        <v>7210048</v>
      </c>
      <c r="F69" s="408">
        <f t="shared" si="0"/>
        <v>-973891</v>
      </c>
    </row>
    <row r="70" spans="1:9" x14ac:dyDescent="0.2">
      <c r="A70" s="69" t="s">
        <v>31</v>
      </c>
      <c r="B70" s="92"/>
      <c r="C70" s="297"/>
      <c r="D70" s="297"/>
      <c r="F70" s="408">
        <f t="shared" si="0"/>
        <v>0</v>
      </c>
      <c r="G70" s="22"/>
    </row>
    <row r="71" spans="1:9" x14ac:dyDescent="0.2">
      <c r="A71" s="83" t="s">
        <v>357</v>
      </c>
      <c r="B71" s="92">
        <v>56.1</v>
      </c>
      <c r="C71" s="298">
        <v>5420309</v>
      </c>
      <c r="D71" s="297">
        <v>4469383</v>
      </c>
      <c r="F71" s="408">
        <f t="shared" si="0"/>
        <v>950926</v>
      </c>
    </row>
    <row r="72" spans="1:9" x14ac:dyDescent="0.2">
      <c r="A72" s="83" t="s">
        <v>358</v>
      </c>
      <c r="B72" s="92">
        <v>56.2</v>
      </c>
      <c r="C72" s="308">
        <v>815848</v>
      </c>
      <c r="D72" s="297">
        <v>2740665</v>
      </c>
      <c r="F72" s="408">
        <f t="shared" si="0"/>
        <v>-1924817</v>
      </c>
    </row>
    <row r="73" spans="1:9" x14ac:dyDescent="0.2">
      <c r="A73" s="309" t="s">
        <v>169</v>
      </c>
      <c r="B73" s="92" t="s">
        <v>339</v>
      </c>
      <c r="C73" s="308">
        <v>8613546</v>
      </c>
      <c r="D73" s="308">
        <v>9390868</v>
      </c>
      <c r="F73" s="408">
        <f t="shared" si="0"/>
        <v>-777322</v>
      </c>
      <c r="G73" s="314"/>
      <c r="H73" s="22"/>
    </row>
    <row r="74" spans="1:9" x14ac:dyDescent="0.2">
      <c r="A74" s="309"/>
      <c r="B74" s="92"/>
      <c r="C74" s="308"/>
      <c r="D74" s="308"/>
      <c r="F74" s="408">
        <f t="shared" si="0"/>
        <v>0</v>
      </c>
      <c r="G74" s="314"/>
      <c r="H74" s="22"/>
    </row>
    <row r="75" spans="1:9" x14ac:dyDescent="0.2">
      <c r="A75" s="57" t="s">
        <v>170</v>
      </c>
      <c r="B75" s="50">
        <v>58</v>
      </c>
      <c r="C75" s="307">
        <v>15541270</v>
      </c>
      <c r="D75" s="307">
        <v>14304336</v>
      </c>
      <c r="F75" s="408">
        <f t="shared" ref="F75" si="1">C75-D75</f>
        <v>1236934</v>
      </c>
      <c r="G75" s="314"/>
    </row>
    <row r="76" spans="1:9" x14ac:dyDescent="0.2">
      <c r="A76" s="115"/>
      <c r="B76" s="310"/>
      <c r="C76" s="311"/>
      <c r="D76" s="136"/>
      <c r="F76" s="314"/>
      <c r="G76" s="314"/>
    </row>
    <row r="77" spans="1:9" x14ac:dyDescent="0.2">
      <c r="A77" s="121" t="s">
        <v>171</v>
      </c>
      <c r="C77" s="122"/>
      <c r="D77" s="269"/>
      <c r="F77" s="314"/>
      <c r="G77" s="314"/>
    </row>
    <row r="78" spans="1:9" x14ac:dyDescent="0.2">
      <c r="A78" s="121"/>
      <c r="C78" s="122"/>
      <c r="D78" s="269"/>
      <c r="I78" s="22"/>
    </row>
    <row r="79" spans="1:9" x14ac:dyDescent="0.2">
      <c r="A79" s="125" t="s">
        <v>340</v>
      </c>
      <c r="B79" s="125"/>
      <c r="C79" s="118">
        <f>C37-C75</f>
        <v>0</v>
      </c>
      <c r="D79" s="118">
        <f>D37-D75</f>
        <v>0</v>
      </c>
    </row>
    <row r="80" spans="1:9" x14ac:dyDescent="0.2">
      <c r="A80" s="125"/>
      <c r="B80" s="125"/>
      <c r="C80" s="118"/>
      <c r="D80" s="269"/>
      <c r="I80" s="22"/>
    </row>
    <row r="81" spans="1:9" x14ac:dyDescent="0.2">
      <c r="A81" s="125" t="s">
        <v>173</v>
      </c>
      <c r="B81" s="125"/>
      <c r="C81" s="118"/>
      <c r="D81" s="269"/>
    </row>
    <row r="82" spans="1:9" x14ac:dyDescent="0.2">
      <c r="A82" s="125"/>
      <c r="B82" s="125"/>
      <c r="C82" s="129"/>
      <c r="D82" s="133"/>
      <c r="I82" s="22"/>
    </row>
    <row r="83" spans="1:9" x14ac:dyDescent="0.2">
      <c r="A83" s="125" t="s">
        <v>32</v>
      </c>
      <c r="B83" s="125"/>
      <c r="C83" s="135"/>
      <c r="D83" s="136"/>
    </row>
    <row r="84" spans="1:9" x14ac:dyDescent="0.2">
      <c r="A84" s="125"/>
      <c r="B84" s="125"/>
      <c r="C84" s="135"/>
      <c r="D84" s="136"/>
    </row>
    <row r="85" spans="1:9" x14ac:dyDescent="0.2">
      <c r="A85" s="125" t="s">
        <v>174</v>
      </c>
      <c r="B85" s="125"/>
      <c r="C85" s="135"/>
      <c r="D85" s="311"/>
    </row>
    <row r="86" spans="1:9" x14ac:dyDescent="0.2">
      <c r="A86" s="125"/>
      <c r="B86" s="125"/>
      <c r="C86" s="135"/>
      <c r="D86" s="311"/>
    </row>
    <row r="87" spans="1:9" x14ac:dyDescent="0.2">
      <c r="A87" s="125"/>
      <c r="B87" s="125"/>
      <c r="C87" s="135"/>
      <c r="D87" s="136"/>
    </row>
    <row r="88" spans="1:9" x14ac:dyDescent="0.2">
      <c r="A88" s="125" t="s">
        <v>30</v>
      </c>
      <c r="B88" s="125"/>
      <c r="C88" s="135"/>
      <c r="D88" s="136"/>
    </row>
    <row r="89" spans="1:9" x14ac:dyDescent="0.2">
      <c r="A89" s="125"/>
      <c r="B89" s="125"/>
      <c r="C89" s="135"/>
      <c r="D89" s="312"/>
    </row>
    <row r="90" spans="1:9" x14ac:dyDescent="0.2">
      <c r="A90" s="125"/>
      <c r="B90" s="125"/>
      <c r="C90" s="135"/>
      <c r="D90" s="126"/>
    </row>
    <row r="91" spans="1:9" x14ac:dyDescent="0.2">
      <c r="A91" s="125"/>
      <c r="B91" s="125"/>
      <c r="C91" s="135"/>
      <c r="D91" s="126"/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0"/>
  <sheetViews>
    <sheetView topLeftCell="A4" zoomScaleNormal="100" workbookViewId="0">
      <selection activeCell="C87" sqref="C87:F91"/>
    </sheetView>
  </sheetViews>
  <sheetFormatPr defaultRowHeight="12.75" x14ac:dyDescent="0.2"/>
  <cols>
    <col min="1" max="1" width="57.85546875" style="7" customWidth="1"/>
    <col min="2" max="2" width="8.7109375" style="7" customWidth="1"/>
    <col min="3" max="3" width="19.28515625" style="10" customWidth="1"/>
    <col min="4" max="4" width="18.7109375" style="10" customWidth="1"/>
    <col min="5" max="5" width="17.140625" style="8" customWidth="1"/>
    <col min="6" max="6" width="24.7109375" style="8" bestFit="1" customWidth="1"/>
    <col min="7" max="7" width="10.5703125" style="8" hidden="1" customWidth="1"/>
    <col min="8" max="8" width="17.42578125" style="42" hidden="1" customWidth="1"/>
    <col min="9" max="9" width="6.5703125" style="42" hidden="1" customWidth="1"/>
    <col min="10" max="10" width="17.5703125" style="43" hidden="1" customWidth="1"/>
    <col min="11" max="11" width="19.28515625" style="43" hidden="1" customWidth="1"/>
    <col min="12" max="12" width="20.85546875" style="44" hidden="1" customWidth="1"/>
    <col min="13" max="13" width="22.7109375" style="44" hidden="1" customWidth="1"/>
    <col min="14" max="14" width="4.5703125" style="7" hidden="1" customWidth="1"/>
    <col min="15" max="15" width="5.28515625" style="7" hidden="1" customWidth="1"/>
    <col min="16" max="17" width="0" style="7" hidden="1" customWidth="1"/>
    <col min="18" max="18" width="9.140625" style="7"/>
    <col min="19" max="19" width="9.28515625" style="7" bestFit="1" customWidth="1"/>
    <col min="20" max="16384" width="9.140625" style="7"/>
  </cols>
  <sheetData>
    <row r="1" spans="1:30" ht="12.75" customHeight="1" x14ac:dyDescent="0.2">
      <c r="F1" s="41" t="s">
        <v>175</v>
      </c>
      <c r="G1" s="41"/>
      <c r="M1" s="45" t="s">
        <v>175</v>
      </c>
    </row>
    <row r="2" spans="1:30" ht="12.75" customHeight="1" x14ac:dyDescent="0.2"/>
    <row r="3" spans="1:30" ht="12.75" customHeight="1" x14ac:dyDescent="0.2">
      <c r="A3" s="461" t="s">
        <v>176</v>
      </c>
      <c r="B3" s="461"/>
      <c r="C3" s="461"/>
      <c r="D3" s="461"/>
      <c r="E3" s="461"/>
      <c r="F3" s="461"/>
      <c r="G3" s="4"/>
      <c r="H3" s="458" t="s">
        <v>176</v>
      </c>
      <c r="I3" s="458"/>
      <c r="J3" s="458"/>
      <c r="K3" s="458"/>
      <c r="L3" s="458"/>
      <c r="M3" s="458"/>
    </row>
    <row r="4" spans="1:30" ht="12.75" customHeight="1" x14ac:dyDescent="0.2">
      <c r="A4" s="462" t="s">
        <v>3</v>
      </c>
      <c r="B4" s="462"/>
      <c r="C4" s="462"/>
      <c r="D4" s="462"/>
      <c r="E4" s="462"/>
      <c r="F4" s="462"/>
      <c r="G4" s="5"/>
      <c r="H4" s="459" t="s">
        <v>3</v>
      </c>
      <c r="I4" s="459"/>
      <c r="J4" s="459"/>
      <c r="K4" s="459"/>
      <c r="L4" s="459"/>
      <c r="M4" s="459"/>
    </row>
    <row r="5" spans="1:30" ht="12.75" customHeight="1" x14ac:dyDescent="0.2">
      <c r="A5" s="462" t="str">
        <f>'баланс афн'!A5:D5</f>
        <v>по состоянию на 01 октября 2016 года</v>
      </c>
      <c r="B5" s="462"/>
      <c r="C5" s="462"/>
      <c r="D5" s="462"/>
      <c r="E5" s="462"/>
      <c r="F5" s="462"/>
      <c r="G5" s="5"/>
      <c r="H5" s="459">
        <f>[3]баланс!H5</f>
        <v>0</v>
      </c>
      <c r="I5" s="459"/>
      <c r="J5" s="459"/>
      <c r="K5" s="459"/>
      <c r="L5" s="459"/>
      <c r="M5" s="459"/>
    </row>
    <row r="6" spans="1:30" ht="12.75" customHeight="1" x14ac:dyDescent="0.2">
      <c r="F6" s="8" t="s">
        <v>4</v>
      </c>
      <c r="M6" s="44" t="s">
        <v>4</v>
      </c>
    </row>
    <row r="7" spans="1:30" ht="12.75" customHeight="1" x14ac:dyDescent="0.2"/>
    <row r="8" spans="1:30" ht="12.75" customHeight="1" x14ac:dyDescent="0.2"/>
    <row r="9" spans="1:30" ht="12.75" customHeight="1" x14ac:dyDescent="0.2"/>
    <row r="10" spans="1:30" ht="12.75" customHeight="1" x14ac:dyDescent="0.2">
      <c r="D10" s="8"/>
      <c r="K10" s="44"/>
    </row>
    <row r="11" spans="1:30" ht="12.75" customHeight="1" x14ac:dyDescent="0.2"/>
    <row r="12" spans="1:30" ht="36" customHeight="1" x14ac:dyDescent="0.2">
      <c r="A12" s="6" t="s">
        <v>5</v>
      </c>
      <c r="B12" s="6" t="s">
        <v>177</v>
      </c>
      <c r="C12" s="6" t="s">
        <v>178</v>
      </c>
      <c r="D12" s="12" t="s">
        <v>35</v>
      </c>
      <c r="E12" s="11" t="s">
        <v>179</v>
      </c>
      <c r="F12" s="11" t="s">
        <v>36</v>
      </c>
      <c r="G12" s="46"/>
      <c r="H12" s="47" t="s">
        <v>5</v>
      </c>
      <c r="I12" s="48" t="s">
        <v>177</v>
      </c>
      <c r="J12" s="47" t="s">
        <v>178</v>
      </c>
      <c r="K12" s="47" t="s">
        <v>35</v>
      </c>
      <c r="L12" s="49" t="s">
        <v>179</v>
      </c>
      <c r="M12" s="49" t="s">
        <v>36</v>
      </c>
      <c r="Y12" s="47" t="s">
        <v>5</v>
      </c>
      <c r="Z12" s="48" t="s">
        <v>177</v>
      </c>
      <c r="AA12" s="47" t="s">
        <v>178</v>
      </c>
      <c r="AB12" s="47" t="s">
        <v>35</v>
      </c>
      <c r="AC12" s="49" t="s">
        <v>179</v>
      </c>
      <c r="AD12" s="49" t="s">
        <v>36</v>
      </c>
    </row>
    <row r="13" spans="1:30" ht="12.75" customHeight="1" x14ac:dyDescent="0.2">
      <c r="A13" s="14">
        <v>1</v>
      </c>
      <c r="B13" s="14">
        <v>2</v>
      </c>
      <c r="C13" s="14">
        <v>3</v>
      </c>
      <c r="D13" s="14">
        <v>4</v>
      </c>
      <c r="E13" s="15">
        <v>5</v>
      </c>
      <c r="F13" s="15">
        <v>6</v>
      </c>
      <c r="G13" s="20"/>
      <c r="H13" s="50">
        <v>1</v>
      </c>
      <c r="I13" s="50">
        <v>2</v>
      </c>
      <c r="J13" s="50">
        <v>3</v>
      </c>
      <c r="K13" s="50">
        <v>4</v>
      </c>
      <c r="L13" s="51">
        <v>5</v>
      </c>
      <c r="M13" s="52">
        <v>6</v>
      </c>
      <c r="Y13" s="50">
        <v>1</v>
      </c>
      <c r="Z13" s="50">
        <v>2</v>
      </c>
      <c r="AA13" s="50">
        <v>3</v>
      </c>
      <c r="AB13" s="50">
        <v>4</v>
      </c>
      <c r="AC13" s="51">
        <v>5</v>
      </c>
      <c r="AD13" s="52">
        <v>6</v>
      </c>
    </row>
    <row r="14" spans="1:30" ht="12.75" customHeight="1" x14ac:dyDescent="0.2">
      <c r="A14" s="53" t="s">
        <v>180</v>
      </c>
      <c r="B14" s="14"/>
      <c r="C14" s="14"/>
      <c r="D14" s="14"/>
      <c r="E14" s="15"/>
      <c r="F14" s="15"/>
      <c r="G14" s="20"/>
      <c r="H14" s="54" t="s">
        <v>180</v>
      </c>
      <c r="I14" s="50"/>
      <c r="J14" s="50"/>
      <c r="K14" s="50"/>
      <c r="L14" s="51"/>
      <c r="M14" s="51"/>
      <c r="Y14" s="54" t="s">
        <v>180</v>
      </c>
      <c r="Z14" s="50"/>
      <c r="AA14" s="50"/>
      <c r="AB14" s="50"/>
      <c r="AC14" s="51"/>
      <c r="AD14" s="51"/>
    </row>
    <row r="15" spans="1:30" s="60" customFormat="1" ht="12.75" customHeight="1" x14ac:dyDescent="0.2">
      <c r="A15" s="16" t="s">
        <v>181</v>
      </c>
      <c r="B15" s="55"/>
      <c r="C15" s="56">
        <v>298967</v>
      </c>
      <c r="D15" s="56">
        <v>2105672</v>
      </c>
      <c r="E15" s="56">
        <v>168109</v>
      </c>
      <c r="F15" s="56">
        <v>1994596</v>
      </c>
      <c r="G15" s="17">
        <f>D15-F15</f>
        <v>111076</v>
      </c>
      <c r="H15" s="57" t="s">
        <v>181</v>
      </c>
      <c r="I15" s="58"/>
      <c r="J15" s="59">
        <v>157592</v>
      </c>
      <c r="K15" s="59">
        <v>868338</v>
      </c>
      <c r="L15" s="59">
        <v>517875</v>
      </c>
      <c r="M15" s="59">
        <v>1045343</v>
      </c>
      <c r="Y15" s="57" t="s">
        <v>181</v>
      </c>
      <c r="Z15" s="58"/>
      <c r="AA15" s="315">
        <f>AA22+AA23+AA24</f>
        <v>5095</v>
      </c>
      <c r="AB15" s="315">
        <f>AB22+AB23+AB24</f>
        <v>5095</v>
      </c>
      <c r="AC15" s="315">
        <v>179022</v>
      </c>
      <c r="AD15" s="315">
        <v>596729</v>
      </c>
    </row>
    <row r="16" spans="1:30" ht="12.75" customHeight="1" x14ac:dyDescent="0.2">
      <c r="A16" s="24" t="s">
        <v>182</v>
      </c>
      <c r="B16" s="14">
        <v>1</v>
      </c>
      <c r="C16" s="61">
        <v>559143</v>
      </c>
      <c r="D16" s="178">
        <v>4650390</v>
      </c>
      <c r="E16" s="61">
        <v>227700</v>
      </c>
      <c r="F16" s="184">
        <v>1557958</v>
      </c>
      <c r="G16" s="17">
        <f t="shared" ref="G16:G80" si="0">D16-F16</f>
        <v>3092432</v>
      </c>
      <c r="H16" s="62" t="s">
        <v>182</v>
      </c>
      <c r="I16" s="50">
        <v>1</v>
      </c>
      <c r="J16" s="63">
        <v>624285</v>
      </c>
      <c r="K16" s="64">
        <v>1766232</v>
      </c>
      <c r="L16" s="63">
        <v>442055</v>
      </c>
      <c r="M16" s="63">
        <v>1281062</v>
      </c>
      <c r="Y16" s="62" t="s">
        <v>182</v>
      </c>
      <c r="Z16" s="50">
        <v>1</v>
      </c>
      <c r="AA16" s="51">
        <f t="shared" ref="AA16:AA24" si="1">AB16-AI16</f>
        <v>0</v>
      </c>
      <c r="AB16" s="316">
        <f>'[4]10'!AB60</f>
        <v>0</v>
      </c>
      <c r="AC16" s="51">
        <v>240734</v>
      </c>
      <c r="AD16" s="316">
        <v>819617</v>
      </c>
    </row>
    <row r="17" spans="1:30" s="66" customFormat="1" ht="12.75" customHeight="1" x14ac:dyDescent="0.2">
      <c r="A17" s="24" t="s">
        <v>183</v>
      </c>
      <c r="B17" s="14">
        <v>2</v>
      </c>
      <c r="C17" s="61">
        <v>35920</v>
      </c>
      <c r="D17" s="181">
        <v>364088</v>
      </c>
      <c r="E17" s="61">
        <v>8057</v>
      </c>
      <c r="F17" s="185">
        <v>106242</v>
      </c>
      <c r="G17" s="17">
        <f t="shared" si="0"/>
        <v>257846</v>
      </c>
      <c r="H17" s="62" t="s">
        <v>183</v>
      </c>
      <c r="I17" s="50">
        <v>2</v>
      </c>
      <c r="J17" s="63">
        <v>10470</v>
      </c>
      <c r="K17" s="63">
        <v>45228</v>
      </c>
      <c r="L17" s="63">
        <v>415781</v>
      </c>
      <c r="M17" s="63">
        <v>2679950</v>
      </c>
      <c r="Y17" s="62" t="s">
        <v>183</v>
      </c>
      <c r="Z17" s="50">
        <f>Z16+1</f>
        <v>2</v>
      </c>
      <c r="AA17" s="51">
        <f t="shared" si="1"/>
        <v>0</v>
      </c>
      <c r="AB17" s="317">
        <f>'[4]10'!AE60</f>
        <v>0</v>
      </c>
      <c r="AC17" s="51">
        <v>8587</v>
      </c>
      <c r="AD17" s="316">
        <v>24871</v>
      </c>
    </row>
    <row r="18" spans="1:30" ht="12.75" customHeight="1" x14ac:dyDescent="0.2">
      <c r="A18" s="32" t="s">
        <v>91</v>
      </c>
      <c r="B18" s="14">
        <v>3</v>
      </c>
      <c r="C18" s="61">
        <v>353088</v>
      </c>
      <c r="D18" s="178">
        <v>2901615</v>
      </c>
      <c r="E18" s="61">
        <v>90493</v>
      </c>
      <c r="F18" s="184">
        <v>586170</v>
      </c>
      <c r="G18" s="17">
        <f t="shared" si="0"/>
        <v>2315445</v>
      </c>
      <c r="H18" s="67" t="s">
        <v>91</v>
      </c>
      <c r="I18" s="50">
        <v>3</v>
      </c>
      <c r="J18" s="63">
        <v>435731</v>
      </c>
      <c r="K18" s="64">
        <v>985280</v>
      </c>
      <c r="L18" s="63">
        <v>413945</v>
      </c>
      <c r="M18" s="63">
        <v>3050622</v>
      </c>
      <c r="Y18" s="67" t="s">
        <v>91</v>
      </c>
      <c r="Z18" s="50">
        <f t="shared" ref="Z18:Z24" si="2">Z17+1</f>
        <v>3</v>
      </c>
      <c r="AA18" s="51">
        <f t="shared" si="1"/>
        <v>0</v>
      </c>
      <c r="AB18" s="316">
        <f>'[4]10'!AH60</f>
        <v>0</v>
      </c>
      <c r="AC18" s="51">
        <v>47468</v>
      </c>
      <c r="AD18" s="316">
        <v>223005</v>
      </c>
    </row>
    <row r="19" spans="1:30" ht="12.75" customHeight="1" x14ac:dyDescent="0.2">
      <c r="A19" s="32" t="s">
        <v>184</v>
      </c>
      <c r="B19" s="14">
        <v>4</v>
      </c>
      <c r="C19" s="61">
        <v>241975</v>
      </c>
      <c r="D19" s="180">
        <v>2112863</v>
      </c>
      <c r="E19" s="15">
        <v>145264</v>
      </c>
      <c r="F19" s="187">
        <v>1078030</v>
      </c>
      <c r="G19" s="17">
        <f t="shared" si="0"/>
        <v>1034833</v>
      </c>
      <c r="H19" s="67" t="s">
        <v>184</v>
      </c>
      <c r="I19" s="50">
        <v>4</v>
      </c>
      <c r="J19" s="63">
        <v>199024</v>
      </c>
      <c r="K19" s="63">
        <v>826180</v>
      </c>
      <c r="L19" s="63">
        <v>443891</v>
      </c>
      <c r="M19" s="63">
        <v>910390</v>
      </c>
      <c r="Y19" s="67" t="s">
        <v>184</v>
      </c>
      <c r="Z19" s="50">
        <f t="shared" si="2"/>
        <v>4</v>
      </c>
      <c r="AA19" s="51">
        <f t="shared" si="1"/>
        <v>0</v>
      </c>
      <c r="AB19" s="51">
        <f>AB16-AB18+AB17</f>
        <v>0</v>
      </c>
      <c r="AC19" s="51">
        <v>201853</v>
      </c>
      <c r="AD19" s="51">
        <v>621483</v>
      </c>
    </row>
    <row r="20" spans="1:30" ht="12.75" customHeight="1" x14ac:dyDescent="0.2">
      <c r="A20" s="32" t="s">
        <v>185</v>
      </c>
      <c r="B20" s="14">
        <v>5</v>
      </c>
      <c r="C20" s="61">
        <v>34752</v>
      </c>
      <c r="D20" s="197">
        <v>995682</v>
      </c>
      <c r="E20" s="19">
        <v>15302</v>
      </c>
      <c r="F20" s="184">
        <v>-997736</v>
      </c>
      <c r="G20" s="17">
        <f t="shared" si="0"/>
        <v>1993418</v>
      </c>
      <c r="H20" s="67" t="s">
        <v>185</v>
      </c>
      <c r="I20" s="50">
        <v>5</v>
      </c>
      <c r="J20" s="63">
        <v>246362</v>
      </c>
      <c r="K20" s="64">
        <v>-115933</v>
      </c>
      <c r="L20" s="63">
        <v>-293816</v>
      </c>
      <c r="M20" s="63">
        <v>-873225</v>
      </c>
      <c r="R20" s="22"/>
      <c r="S20" s="275">
        <f>F21-F20</f>
        <v>894143</v>
      </c>
      <c r="T20" s="276"/>
      <c r="U20" s="275">
        <f>D21-D20</f>
        <v>-73860</v>
      </c>
      <c r="Y20" s="67" t="s">
        <v>185</v>
      </c>
      <c r="Z20" s="50">
        <f t="shared" si="2"/>
        <v>5</v>
      </c>
      <c r="AA20" s="51">
        <f t="shared" si="1"/>
        <v>0</v>
      </c>
      <c r="AB20" s="316">
        <f>[4]баланс!AA44-[4]баланс!AB44</f>
        <v>0</v>
      </c>
      <c r="AC20" s="51">
        <v>-91805</v>
      </c>
      <c r="AD20" s="316">
        <v>-167420</v>
      </c>
    </row>
    <row r="21" spans="1:30" ht="12.75" customHeight="1" x14ac:dyDescent="0.2">
      <c r="A21" s="30" t="s">
        <v>361</v>
      </c>
      <c r="B21" s="14">
        <v>6</v>
      </c>
      <c r="C21" s="61">
        <v>90068</v>
      </c>
      <c r="D21" s="197">
        <v>921822</v>
      </c>
      <c r="E21" s="19">
        <v>36019</v>
      </c>
      <c r="F21" s="184">
        <v>-103593</v>
      </c>
      <c r="G21" s="17">
        <f t="shared" si="0"/>
        <v>1025415</v>
      </c>
      <c r="H21" s="68" t="s">
        <v>186</v>
      </c>
      <c r="I21" s="50">
        <v>6</v>
      </c>
      <c r="J21" s="63">
        <v>203332</v>
      </c>
      <c r="K21" s="64">
        <v>-86332</v>
      </c>
      <c r="L21" s="63">
        <v>-223810</v>
      </c>
      <c r="M21" s="63">
        <v>-756590</v>
      </c>
      <c r="Y21" s="68" t="s">
        <v>186</v>
      </c>
      <c r="Z21" s="50">
        <f t="shared" si="2"/>
        <v>6</v>
      </c>
      <c r="AA21" s="51">
        <f t="shared" si="1"/>
        <v>0</v>
      </c>
      <c r="AB21" s="316">
        <f>[4]баланс!AA22-[4]баланс!AB22</f>
        <v>0</v>
      </c>
      <c r="AC21" s="51">
        <v>-99821</v>
      </c>
      <c r="AD21" s="316">
        <v>-146506</v>
      </c>
    </row>
    <row r="22" spans="1:30" ht="12.75" customHeight="1" x14ac:dyDescent="0.2">
      <c r="A22" s="32" t="s">
        <v>187</v>
      </c>
      <c r="B22" s="14">
        <v>7</v>
      </c>
      <c r="C22" s="61">
        <v>297291</v>
      </c>
      <c r="D22" s="180">
        <v>2039003</v>
      </c>
      <c r="E22" s="15">
        <v>165981</v>
      </c>
      <c r="F22" s="187">
        <v>1972173</v>
      </c>
      <c r="G22" s="17">
        <f t="shared" si="0"/>
        <v>66830</v>
      </c>
      <c r="H22" s="67" t="s">
        <v>187</v>
      </c>
      <c r="I22" s="50">
        <v>7</v>
      </c>
      <c r="J22" s="63">
        <v>155994</v>
      </c>
      <c r="K22" s="63">
        <v>855781</v>
      </c>
      <c r="L22" s="63">
        <v>513897</v>
      </c>
      <c r="M22" s="63">
        <v>1027025</v>
      </c>
      <c r="Y22" s="67" t="s">
        <v>187</v>
      </c>
      <c r="Z22" s="50">
        <f t="shared" si="2"/>
        <v>7</v>
      </c>
      <c r="AA22" s="51">
        <f t="shared" si="1"/>
        <v>0</v>
      </c>
      <c r="AB22" s="51">
        <f>AB19+AB21-AB20</f>
        <v>0</v>
      </c>
      <c r="AC22" s="51">
        <v>193837</v>
      </c>
      <c r="AD22" s="51">
        <v>642397</v>
      </c>
    </row>
    <row r="23" spans="1:30" ht="12.75" customHeight="1" x14ac:dyDescent="0.2">
      <c r="A23" s="18" t="s">
        <v>188</v>
      </c>
      <c r="B23" s="14">
        <v>8</v>
      </c>
      <c r="C23" s="61">
        <v>1676</v>
      </c>
      <c r="D23" s="178">
        <v>45218</v>
      </c>
      <c r="E23" s="19">
        <v>559</v>
      </c>
      <c r="F23" s="19">
        <v>13694</v>
      </c>
      <c r="G23" s="17">
        <f t="shared" si="0"/>
        <v>31524</v>
      </c>
      <c r="H23" s="69" t="s">
        <v>188</v>
      </c>
      <c r="I23" s="50">
        <v>8</v>
      </c>
      <c r="J23" s="63">
        <v>1598</v>
      </c>
      <c r="K23" s="64">
        <v>12557</v>
      </c>
      <c r="L23" s="63">
        <v>3978</v>
      </c>
      <c r="M23" s="63">
        <v>18318</v>
      </c>
      <c r="Y23" s="69" t="s">
        <v>188</v>
      </c>
      <c r="Z23" s="50">
        <f t="shared" si="2"/>
        <v>8</v>
      </c>
      <c r="AA23" s="51">
        <f t="shared" si="1"/>
        <v>0</v>
      </c>
      <c r="AB23" s="316">
        <f>'[4]14'!AA59</f>
        <v>0</v>
      </c>
      <c r="AC23" s="51">
        <v>1574</v>
      </c>
      <c r="AD23" s="316">
        <v>6804</v>
      </c>
    </row>
    <row r="24" spans="1:30" s="66" customFormat="1" ht="12.75" customHeight="1" x14ac:dyDescent="0.2">
      <c r="A24" s="24" t="s">
        <v>189</v>
      </c>
      <c r="B24" s="14">
        <v>9</v>
      </c>
      <c r="C24" s="61">
        <v>0</v>
      </c>
      <c r="D24" s="184">
        <v>21451</v>
      </c>
      <c r="E24" s="61">
        <v>1569</v>
      </c>
      <c r="F24" s="191">
        <v>8729</v>
      </c>
      <c r="G24" s="17">
        <f t="shared" si="0"/>
        <v>12722</v>
      </c>
      <c r="H24" s="70" t="s">
        <v>189</v>
      </c>
      <c r="I24" s="71">
        <v>9</v>
      </c>
      <c r="J24" s="72"/>
      <c r="K24" s="73"/>
      <c r="L24" s="72"/>
      <c r="M24" s="73"/>
      <c r="S24" s="66">
        <v>628044</v>
      </c>
      <c r="Y24" s="70" t="s">
        <v>189</v>
      </c>
      <c r="Z24" s="71">
        <f t="shared" si="2"/>
        <v>9</v>
      </c>
      <c r="AA24" s="51">
        <f t="shared" si="1"/>
        <v>5095</v>
      </c>
      <c r="AB24" s="316">
        <v>5095</v>
      </c>
      <c r="AC24" s="51">
        <v>-16389</v>
      </c>
      <c r="AD24" s="316">
        <v>-52472</v>
      </c>
    </row>
    <row r="25" spans="1:30" s="60" customFormat="1" ht="12.75" customHeight="1" x14ac:dyDescent="0.2">
      <c r="A25" s="16" t="s">
        <v>190</v>
      </c>
      <c r="B25" s="74"/>
      <c r="C25" s="56">
        <v>11414</v>
      </c>
      <c r="D25" s="188">
        <v>1068235</v>
      </c>
      <c r="E25" s="56">
        <v>575759</v>
      </c>
      <c r="F25" s="56">
        <v>1641236</v>
      </c>
      <c r="G25" s="17">
        <f t="shared" si="0"/>
        <v>-573001</v>
      </c>
      <c r="H25" s="57" t="s">
        <v>190</v>
      </c>
      <c r="I25" s="75"/>
      <c r="J25" s="59">
        <v>24627</v>
      </c>
      <c r="K25" s="59">
        <v>237206</v>
      </c>
      <c r="L25" s="59">
        <v>37578</v>
      </c>
      <c r="M25" s="59">
        <v>293853</v>
      </c>
      <c r="Y25" s="57" t="s">
        <v>190</v>
      </c>
      <c r="Z25" s="75"/>
      <c r="AA25" s="315">
        <f>AA26+AA30+AA36+AA44</f>
        <v>91726</v>
      </c>
      <c r="AB25" s="315">
        <f>AB26+AB30+AB36+AB44</f>
        <v>91726</v>
      </c>
      <c r="AC25" s="315">
        <v>24677</v>
      </c>
      <c r="AD25" s="315">
        <v>289471</v>
      </c>
    </row>
    <row r="26" spans="1:30" s="34" customFormat="1" ht="12.75" customHeight="1" x14ac:dyDescent="0.2">
      <c r="A26" s="18" t="s">
        <v>191</v>
      </c>
      <c r="B26" s="76">
        <v>10</v>
      </c>
      <c r="C26" s="61">
        <v>68758</v>
      </c>
      <c r="D26" s="179">
        <v>575123</v>
      </c>
      <c r="E26" s="23">
        <v>57784</v>
      </c>
      <c r="F26" s="23">
        <v>476939</v>
      </c>
      <c r="G26" s="17">
        <f t="shared" si="0"/>
        <v>98184</v>
      </c>
      <c r="H26" s="69" t="s">
        <v>191</v>
      </c>
      <c r="I26" s="77">
        <v>10</v>
      </c>
      <c r="J26" s="78">
        <v>50265</v>
      </c>
      <c r="K26" s="78">
        <v>288281</v>
      </c>
      <c r="L26" s="78">
        <v>61088</v>
      </c>
      <c r="M26" s="78">
        <v>315591</v>
      </c>
      <c r="Y26" s="69" t="s">
        <v>191</v>
      </c>
      <c r="Z26" s="77">
        <v>10</v>
      </c>
      <c r="AA26" s="318">
        <f>AA28+AA29</f>
        <v>159473</v>
      </c>
      <c r="AB26" s="318">
        <f>AB28+AB29</f>
        <v>159473</v>
      </c>
      <c r="AC26" s="318">
        <v>55665</v>
      </c>
      <c r="AD26" s="318">
        <v>156395</v>
      </c>
    </row>
    <row r="27" spans="1:30" ht="12.75" customHeight="1" x14ac:dyDescent="0.2">
      <c r="A27" s="33" t="s">
        <v>31</v>
      </c>
      <c r="B27" s="27"/>
      <c r="C27" s="61"/>
      <c r="D27" s="181"/>
      <c r="E27" s="61"/>
      <c r="F27" s="65"/>
      <c r="G27" s="17">
        <f t="shared" si="0"/>
        <v>0</v>
      </c>
      <c r="H27" s="79" t="s">
        <v>192</v>
      </c>
      <c r="I27" s="80"/>
      <c r="J27" s="81"/>
      <c r="K27" s="82"/>
      <c r="L27" s="81"/>
      <c r="M27" s="82"/>
      <c r="Y27" s="79" t="s">
        <v>192</v>
      </c>
      <c r="Z27" s="80"/>
      <c r="AA27" s="319"/>
      <c r="AB27" s="320"/>
      <c r="AC27" s="51"/>
      <c r="AD27" s="320"/>
    </row>
    <row r="28" spans="1:30" ht="12.75" customHeight="1" x14ac:dyDescent="0.2">
      <c r="A28" s="33" t="s">
        <v>193</v>
      </c>
      <c r="B28" s="76">
        <v>10.1</v>
      </c>
      <c r="C28" s="61">
        <v>48287</v>
      </c>
      <c r="D28" s="181">
        <v>410596</v>
      </c>
      <c r="E28" s="61">
        <v>46902</v>
      </c>
      <c r="F28" s="65">
        <v>435413</v>
      </c>
      <c r="G28" s="17">
        <f t="shared" si="0"/>
        <v>-24817</v>
      </c>
      <c r="H28" s="83" t="s">
        <v>193</v>
      </c>
      <c r="I28" s="77">
        <v>10.1</v>
      </c>
      <c r="J28" s="63">
        <v>40488</v>
      </c>
      <c r="K28" s="84">
        <v>240233</v>
      </c>
      <c r="L28" s="63">
        <v>55441</v>
      </c>
      <c r="M28" s="63">
        <v>276851</v>
      </c>
      <c r="S28" s="7" t="s">
        <v>194</v>
      </c>
      <c r="Y28" s="83" t="s">
        <v>193</v>
      </c>
      <c r="Z28" s="77">
        <v>10.1</v>
      </c>
      <c r="AA28" s="51">
        <f>AB28-AI28</f>
        <v>152115</v>
      </c>
      <c r="AB28" s="321">
        <v>152115</v>
      </c>
      <c r="AC28" s="51">
        <v>48225</v>
      </c>
      <c r="AD28" s="316">
        <v>133444</v>
      </c>
    </row>
    <row r="29" spans="1:30" ht="12.75" customHeight="1" x14ac:dyDescent="0.2">
      <c r="A29" s="33" t="s">
        <v>195</v>
      </c>
      <c r="B29" s="76">
        <v>10.199999999999999</v>
      </c>
      <c r="C29" s="61">
        <v>20471</v>
      </c>
      <c r="D29" s="181">
        <v>164527</v>
      </c>
      <c r="E29" s="61">
        <v>10882</v>
      </c>
      <c r="F29" s="65">
        <v>41526</v>
      </c>
      <c r="G29" s="17">
        <f t="shared" si="0"/>
        <v>123001</v>
      </c>
      <c r="H29" s="83" t="s">
        <v>195</v>
      </c>
      <c r="I29" s="77">
        <v>10.199999999999999</v>
      </c>
      <c r="J29" s="63">
        <v>9777</v>
      </c>
      <c r="K29" s="84">
        <v>48048</v>
      </c>
      <c r="L29" s="63">
        <v>5647</v>
      </c>
      <c r="M29" s="63">
        <v>38740</v>
      </c>
      <c r="S29" s="7">
        <v>611030</v>
      </c>
      <c r="Y29" s="83" t="s">
        <v>195</v>
      </c>
      <c r="Z29" s="77">
        <v>10.199999999999999</v>
      </c>
      <c r="AA29" s="51">
        <f>AB29-AI29</f>
        <v>7358</v>
      </c>
      <c r="AB29" s="321">
        <v>7358</v>
      </c>
      <c r="AC29" s="51">
        <v>7440</v>
      </c>
      <c r="AD29" s="316">
        <v>22951</v>
      </c>
    </row>
    <row r="30" spans="1:30" ht="12.75" customHeight="1" x14ac:dyDescent="0.2">
      <c r="A30" s="85" t="s">
        <v>362</v>
      </c>
      <c r="B30" s="86">
        <v>11</v>
      </c>
      <c r="C30" s="175">
        <v>0</v>
      </c>
      <c r="D30" s="182">
        <v>29401</v>
      </c>
      <c r="E30" s="175">
        <v>-1185</v>
      </c>
      <c r="F30" s="175">
        <v>-3741</v>
      </c>
      <c r="G30" s="17">
        <f t="shared" si="0"/>
        <v>33142</v>
      </c>
      <c r="H30" s="87" t="s">
        <v>196</v>
      </c>
      <c r="I30" s="88">
        <v>11</v>
      </c>
      <c r="J30" s="89">
        <v>-1340</v>
      </c>
      <c r="K30" s="89">
        <v>9895</v>
      </c>
      <c r="L30" s="89">
        <v>332</v>
      </c>
      <c r="M30" s="89">
        <v>37474</v>
      </c>
      <c r="Y30" s="87" t="s">
        <v>196</v>
      </c>
      <c r="Z30" s="88">
        <v>11</v>
      </c>
      <c r="AA30" s="322">
        <f>AA32+AA33</f>
        <v>-3988</v>
      </c>
      <c r="AB30" s="322">
        <f>AB32+AB33</f>
        <v>-3988</v>
      </c>
      <c r="AC30" s="322">
        <v>5252</v>
      </c>
      <c r="AD30" s="322">
        <v>8108</v>
      </c>
    </row>
    <row r="31" spans="1:30" ht="12.75" customHeight="1" x14ac:dyDescent="0.2">
      <c r="A31" s="90" t="s">
        <v>31</v>
      </c>
      <c r="B31" s="27"/>
      <c r="C31" s="61"/>
      <c r="D31" s="181"/>
      <c r="E31" s="61"/>
      <c r="F31" s="65"/>
      <c r="G31" s="17">
        <f t="shared" si="0"/>
        <v>0</v>
      </c>
      <c r="H31" s="91" t="s">
        <v>192</v>
      </c>
      <c r="I31" s="92"/>
      <c r="J31" s="63"/>
      <c r="K31" s="84"/>
      <c r="L31" s="63"/>
      <c r="M31" s="84"/>
      <c r="Y31" s="91" t="s">
        <v>192</v>
      </c>
      <c r="Z31" s="92"/>
      <c r="AA31" s="51"/>
      <c r="AB31" s="321"/>
      <c r="AC31" s="51"/>
      <c r="AD31" s="321"/>
    </row>
    <row r="32" spans="1:30" ht="12.75" customHeight="1" x14ac:dyDescent="0.2">
      <c r="A32" s="33" t="s">
        <v>363</v>
      </c>
      <c r="B32" s="76">
        <v>11.1</v>
      </c>
      <c r="C32" s="61">
        <v>0</v>
      </c>
      <c r="D32" s="181">
        <v>26392</v>
      </c>
      <c r="E32" s="61">
        <v>-1185</v>
      </c>
      <c r="F32" s="65">
        <v>-4154</v>
      </c>
      <c r="G32" s="17">
        <f t="shared" si="0"/>
        <v>30546</v>
      </c>
      <c r="H32" s="83" t="s">
        <v>197</v>
      </c>
      <c r="I32" s="77">
        <v>11.1</v>
      </c>
      <c r="J32" s="63">
        <v>-1663</v>
      </c>
      <c r="K32" s="84">
        <v>8481</v>
      </c>
      <c r="L32" s="63">
        <v>1</v>
      </c>
      <c r="M32" s="63">
        <v>36564</v>
      </c>
      <c r="S32" s="7" t="s">
        <v>198</v>
      </c>
      <c r="Y32" s="83" t="s">
        <v>197</v>
      </c>
      <c r="Z32" s="77">
        <v>11.1</v>
      </c>
      <c r="AA32" s="51">
        <f>AB32-AI32</f>
        <v>-4305</v>
      </c>
      <c r="AB32" s="321">
        <v>-4305</v>
      </c>
      <c r="AC32" s="51">
        <v>0</v>
      </c>
      <c r="AD32" s="316">
        <v>829</v>
      </c>
    </row>
    <row r="33" spans="1:30" ht="12.75" customHeight="1" x14ac:dyDescent="0.2">
      <c r="A33" s="33" t="s">
        <v>364</v>
      </c>
      <c r="B33" s="76">
        <v>11.2</v>
      </c>
      <c r="C33" s="61">
        <v>0</v>
      </c>
      <c r="D33" s="181">
        <v>3009</v>
      </c>
      <c r="E33" s="61">
        <v>0</v>
      </c>
      <c r="F33" s="65">
        <v>413</v>
      </c>
      <c r="G33" s="17">
        <f t="shared" si="0"/>
        <v>2596</v>
      </c>
      <c r="H33" s="83" t="s">
        <v>199</v>
      </c>
      <c r="I33" s="77">
        <v>11.2</v>
      </c>
      <c r="J33" s="63">
        <v>323</v>
      </c>
      <c r="K33" s="84">
        <v>1414</v>
      </c>
      <c r="L33" s="63">
        <v>331</v>
      </c>
      <c r="M33" s="63">
        <v>910</v>
      </c>
      <c r="S33" s="7">
        <v>611004</v>
      </c>
      <c r="Y33" s="83" t="s">
        <v>199</v>
      </c>
      <c r="Z33" s="77">
        <v>11.2</v>
      </c>
      <c r="AA33" s="51">
        <f>AB33-AI33</f>
        <v>317</v>
      </c>
      <c r="AB33" s="321">
        <v>317</v>
      </c>
      <c r="AC33" s="51">
        <v>5252</v>
      </c>
      <c r="AD33" s="316">
        <v>7279</v>
      </c>
    </row>
    <row r="34" spans="1:30" ht="12.75" customHeight="1" x14ac:dyDescent="0.2">
      <c r="A34" s="93" t="s">
        <v>200</v>
      </c>
      <c r="B34" s="76">
        <v>11.3</v>
      </c>
      <c r="C34" s="61"/>
      <c r="D34" s="181"/>
      <c r="E34" s="61"/>
      <c r="F34" s="65"/>
      <c r="G34" s="17">
        <f t="shared" si="0"/>
        <v>0</v>
      </c>
      <c r="H34" s="94" t="s">
        <v>200</v>
      </c>
      <c r="I34" s="77">
        <v>11.3</v>
      </c>
      <c r="J34" s="63"/>
      <c r="K34" s="84"/>
      <c r="L34" s="63"/>
      <c r="M34" s="84"/>
      <c r="Y34" s="94" t="s">
        <v>200</v>
      </c>
      <c r="Z34" s="77">
        <v>11.3</v>
      </c>
      <c r="AA34" s="51"/>
      <c r="AB34" s="321"/>
      <c r="AC34" s="51"/>
      <c r="AD34" s="316"/>
    </row>
    <row r="35" spans="1:30" ht="12.75" customHeight="1" x14ac:dyDescent="0.2">
      <c r="A35" s="93" t="s">
        <v>365</v>
      </c>
      <c r="B35" s="76">
        <v>11.4</v>
      </c>
      <c r="C35" s="61"/>
      <c r="D35" s="181"/>
      <c r="E35" s="61"/>
      <c r="F35" s="65"/>
      <c r="G35" s="17">
        <f t="shared" si="0"/>
        <v>0</v>
      </c>
      <c r="H35" s="94" t="s">
        <v>201</v>
      </c>
      <c r="I35" s="77">
        <v>11.4</v>
      </c>
      <c r="J35" s="63"/>
      <c r="K35" s="84"/>
      <c r="L35" s="63"/>
      <c r="M35" s="84"/>
      <c r="Y35" s="94" t="s">
        <v>201</v>
      </c>
      <c r="Z35" s="77">
        <v>11.4</v>
      </c>
      <c r="AA35" s="51"/>
      <c r="AB35" s="321"/>
      <c r="AC35" s="51"/>
      <c r="AD35" s="316"/>
    </row>
    <row r="36" spans="1:30" ht="12.75" customHeight="1" x14ac:dyDescent="0.2">
      <c r="A36" s="16" t="s">
        <v>366</v>
      </c>
      <c r="B36" s="86">
        <v>12</v>
      </c>
      <c r="C36" s="175">
        <v>14160</v>
      </c>
      <c r="D36" s="182">
        <v>420443</v>
      </c>
      <c r="E36" s="175">
        <v>-65601</v>
      </c>
      <c r="F36" s="175">
        <v>-372309</v>
      </c>
      <c r="G36" s="17">
        <f t="shared" si="0"/>
        <v>792752</v>
      </c>
      <c r="H36" s="57" t="s">
        <v>202</v>
      </c>
      <c r="I36" s="88">
        <v>12</v>
      </c>
      <c r="J36" s="89">
        <v>-7437</v>
      </c>
      <c r="K36" s="89">
        <v>-15754</v>
      </c>
      <c r="L36" s="89">
        <v>1292</v>
      </c>
      <c r="M36" s="89">
        <v>8446</v>
      </c>
      <c r="Y36" s="57" t="s">
        <v>202</v>
      </c>
      <c r="Z36" s="88">
        <v>12</v>
      </c>
      <c r="AA36" s="322">
        <f>AA38+AA40</f>
        <v>-105866</v>
      </c>
      <c r="AB36" s="322">
        <f>AB38+AB40</f>
        <v>-105866</v>
      </c>
      <c r="AC36" s="322">
        <v>-36177</v>
      </c>
      <c r="AD36" s="322">
        <v>-68636</v>
      </c>
    </row>
    <row r="37" spans="1:30" ht="12.75" customHeight="1" x14ac:dyDescent="0.2">
      <c r="A37" s="26" t="s">
        <v>31</v>
      </c>
      <c r="B37" s="27"/>
      <c r="C37" s="61"/>
      <c r="D37" s="181"/>
      <c r="E37" s="61"/>
      <c r="F37" s="65"/>
      <c r="G37" s="17">
        <f t="shared" si="0"/>
        <v>0</v>
      </c>
      <c r="H37" s="95" t="s">
        <v>192</v>
      </c>
      <c r="I37" s="92"/>
      <c r="J37" s="63"/>
      <c r="K37" s="84"/>
      <c r="L37" s="63"/>
      <c r="M37" s="84"/>
      <c r="Y37" s="95" t="s">
        <v>192</v>
      </c>
      <c r="Z37" s="92"/>
      <c r="AA37" s="51"/>
      <c r="AB37" s="321"/>
      <c r="AC37" s="51"/>
      <c r="AD37" s="321"/>
    </row>
    <row r="38" spans="1:30" ht="12.75" customHeight="1" x14ac:dyDescent="0.2">
      <c r="A38" s="90" t="s">
        <v>203</v>
      </c>
      <c r="B38" s="76">
        <v>12.1</v>
      </c>
      <c r="C38" s="61">
        <v>6888</v>
      </c>
      <c r="D38" s="181">
        <v>314650</v>
      </c>
      <c r="E38" s="61">
        <v>-71468</v>
      </c>
      <c r="F38" s="65">
        <v>-381055</v>
      </c>
      <c r="G38" s="17">
        <f t="shared" si="0"/>
        <v>695705</v>
      </c>
      <c r="H38" s="91" t="s">
        <v>203</v>
      </c>
      <c r="I38" s="77">
        <v>12.1</v>
      </c>
      <c r="J38" s="63">
        <v>-6584</v>
      </c>
      <c r="K38" s="84">
        <v>-12994</v>
      </c>
      <c r="L38" s="63">
        <v>1238</v>
      </c>
      <c r="M38" s="63">
        <v>11463</v>
      </c>
      <c r="S38" s="7" t="s">
        <v>204</v>
      </c>
      <c r="Y38" s="91" t="s">
        <v>203</v>
      </c>
      <c r="Z38" s="77">
        <v>12.1</v>
      </c>
      <c r="AA38" s="51">
        <f t="shared" ref="AA38:AA44" si="3">AB38-AI38</f>
        <v>-102553</v>
      </c>
      <c r="AB38" s="321">
        <v>-102553</v>
      </c>
      <c r="AC38" s="51">
        <v>-35636</v>
      </c>
      <c r="AD38" s="316">
        <v>-71249</v>
      </c>
    </row>
    <row r="39" spans="1:30" s="333" customFormat="1" ht="12.75" customHeight="1" x14ac:dyDescent="0.2">
      <c r="A39" s="334" t="s">
        <v>367</v>
      </c>
      <c r="B39" s="335">
        <v>12.2</v>
      </c>
      <c r="C39" s="336"/>
      <c r="D39" s="337"/>
      <c r="E39" s="336"/>
      <c r="F39" s="337"/>
      <c r="G39" s="338"/>
      <c r="H39" s="339"/>
      <c r="I39" s="340"/>
      <c r="J39" s="341"/>
      <c r="K39" s="342"/>
      <c r="L39" s="341"/>
      <c r="M39" s="341"/>
      <c r="Y39" s="339"/>
      <c r="Z39" s="340"/>
      <c r="AA39" s="343"/>
      <c r="AB39" s="344"/>
      <c r="AC39" s="343"/>
      <c r="AD39" s="345"/>
    </row>
    <row r="40" spans="1:30" ht="12.75" customHeight="1" x14ac:dyDescent="0.2">
      <c r="A40" s="90" t="s">
        <v>205</v>
      </c>
      <c r="B40" s="76">
        <v>12.3</v>
      </c>
      <c r="C40" s="61">
        <v>7272</v>
      </c>
      <c r="D40" s="181">
        <v>105793</v>
      </c>
      <c r="E40" s="61">
        <v>5867</v>
      </c>
      <c r="F40" s="65">
        <v>8746</v>
      </c>
      <c r="G40" s="17">
        <f t="shared" si="0"/>
        <v>97047</v>
      </c>
      <c r="H40" s="91" t="s">
        <v>205</v>
      </c>
      <c r="I40" s="77">
        <v>12.2</v>
      </c>
      <c r="J40" s="63">
        <v>-853</v>
      </c>
      <c r="K40" s="84">
        <v>-2760</v>
      </c>
      <c r="L40" s="63">
        <v>54</v>
      </c>
      <c r="M40" s="63">
        <v>-3017</v>
      </c>
      <c r="S40" s="7" t="s">
        <v>206</v>
      </c>
      <c r="Y40" s="91" t="s">
        <v>205</v>
      </c>
      <c r="Z40" s="77">
        <v>12.2</v>
      </c>
      <c r="AA40" s="51">
        <f t="shared" si="3"/>
        <v>-3313</v>
      </c>
      <c r="AB40" s="321">
        <v>-3313</v>
      </c>
      <c r="AC40" s="51">
        <v>-541</v>
      </c>
      <c r="AD40" s="316">
        <v>2613</v>
      </c>
    </row>
    <row r="41" spans="1:30" ht="12.75" customHeight="1" x14ac:dyDescent="0.2">
      <c r="A41" s="96" t="s">
        <v>207</v>
      </c>
      <c r="B41" s="76">
        <v>12.4</v>
      </c>
      <c r="C41" s="61">
        <v>0</v>
      </c>
      <c r="D41" s="181"/>
      <c r="E41" s="61">
        <v>0</v>
      </c>
      <c r="F41" s="65"/>
      <c r="G41" s="17">
        <f t="shared" si="0"/>
        <v>0</v>
      </c>
      <c r="H41" s="97" t="s">
        <v>207</v>
      </c>
      <c r="I41" s="77">
        <v>12.3</v>
      </c>
      <c r="J41" s="63"/>
      <c r="K41" s="63"/>
      <c r="L41" s="63"/>
      <c r="M41" s="63"/>
      <c r="Y41" s="97" t="s">
        <v>207</v>
      </c>
      <c r="Z41" s="77">
        <v>12.3</v>
      </c>
      <c r="AA41" s="51">
        <f t="shared" si="3"/>
        <v>0</v>
      </c>
      <c r="AB41" s="317"/>
      <c r="AC41" s="51"/>
      <c r="AD41" s="317"/>
    </row>
    <row r="42" spans="1:30" ht="12.75" customHeight="1" x14ac:dyDescent="0.2">
      <c r="A42" s="96" t="s">
        <v>208</v>
      </c>
      <c r="B42" s="76">
        <v>12.5</v>
      </c>
      <c r="C42" s="61">
        <v>0</v>
      </c>
      <c r="D42" s="181"/>
      <c r="E42" s="61">
        <v>0</v>
      </c>
      <c r="F42" s="65"/>
      <c r="G42" s="17">
        <f t="shared" si="0"/>
        <v>0</v>
      </c>
      <c r="H42" s="97" t="s">
        <v>208</v>
      </c>
      <c r="I42" s="77">
        <v>12.4</v>
      </c>
      <c r="J42" s="63"/>
      <c r="K42" s="63"/>
      <c r="L42" s="63"/>
      <c r="M42" s="63"/>
      <c r="Y42" s="97" t="s">
        <v>208</v>
      </c>
      <c r="Z42" s="77">
        <v>12.4</v>
      </c>
      <c r="AA42" s="51">
        <f t="shared" si="3"/>
        <v>0</v>
      </c>
      <c r="AB42" s="317"/>
      <c r="AC42" s="51"/>
      <c r="AD42" s="317"/>
    </row>
    <row r="43" spans="1:30" ht="12.75" customHeight="1" x14ac:dyDescent="0.2">
      <c r="A43" s="26" t="s">
        <v>209</v>
      </c>
      <c r="B43" s="76">
        <v>13</v>
      </c>
      <c r="C43" s="61">
        <v>0</v>
      </c>
      <c r="D43" s="189"/>
      <c r="E43" s="61">
        <v>0</v>
      </c>
      <c r="F43" s="14"/>
      <c r="G43" s="17">
        <f t="shared" si="0"/>
        <v>0</v>
      </c>
      <c r="H43" s="95" t="s">
        <v>209</v>
      </c>
      <c r="I43" s="77">
        <v>13</v>
      </c>
      <c r="J43" s="63"/>
      <c r="K43" s="63"/>
      <c r="L43" s="63"/>
      <c r="M43" s="63"/>
      <c r="Y43" s="95" t="s">
        <v>209</v>
      </c>
      <c r="Z43" s="77">
        <v>13</v>
      </c>
      <c r="AA43" s="51">
        <f t="shared" si="3"/>
        <v>0</v>
      </c>
      <c r="AB43" s="50"/>
      <c r="AC43" s="51"/>
      <c r="AD43" s="50"/>
    </row>
    <row r="44" spans="1:30" ht="12.75" customHeight="1" x14ac:dyDescent="0.2">
      <c r="A44" s="26" t="s">
        <v>210</v>
      </c>
      <c r="B44" s="76">
        <v>14</v>
      </c>
      <c r="C44" s="61">
        <v>-71504</v>
      </c>
      <c r="D44" s="183">
        <v>43268</v>
      </c>
      <c r="E44" s="61">
        <v>584761</v>
      </c>
      <c r="F44" s="15">
        <v>1540347</v>
      </c>
      <c r="G44" s="17">
        <f t="shared" si="0"/>
        <v>-1497079</v>
      </c>
      <c r="H44" s="95" t="s">
        <v>210</v>
      </c>
      <c r="I44" s="77">
        <v>14</v>
      </c>
      <c r="J44" s="63">
        <v>-16861</v>
      </c>
      <c r="K44" s="59">
        <v>-45216</v>
      </c>
      <c r="L44" s="63">
        <v>-25134</v>
      </c>
      <c r="M44" s="63">
        <v>-67658</v>
      </c>
      <c r="S44" s="7" t="s">
        <v>211</v>
      </c>
      <c r="Y44" s="95" t="s">
        <v>210</v>
      </c>
      <c r="Z44" s="77">
        <v>14</v>
      </c>
      <c r="AA44" s="51">
        <f t="shared" si="3"/>
        <v>42107</v>
      </c>
      <c r="AB44" s="51">
        <v>42107</v>
      </c>
      <c r="AC44" s="51">
        <v>-63</v>
      </c>
      <c r="AD44" s="316">
        <v>193604</v>
      </c>
    </row>
    <row r="45" spans="1:30" s="60" customFormat="1" ht="12.75" customHeight="1" x14ac:dyDescent="0.2">
      <c r="A45" s="16" t="s">
        <v>212</v>
      </c>
      <c r="B45" s="74"/>
      <c r="C45" s="56">
        <v>334</v>
      </c>
      <c r="D45" s="186">
        <v>9512</v>
      </c>
      <c r="E45" s="56">
        <v>538</v>
      </c>
      <c r="F45" s="186">
        <v>36982</v>
      </c>
      <c r="G45" s="17">
        <f t="shared" si="0"/>
        <v>-27470</v>
      </c>
      <c r="H45" s="57" t="s">
        <v>212</v>
      </c>
      <c r="I45" s="75"/>
      <c r="J45" s="59">
        <v>60</v>
      </c>
      <c r="K45" s="59">
        <v>7821</v>
      </c>
      <c r="L45" s="59">
        <v>61</v>
      </c>
      <c r="M45" s="59">
        <v>2488</v>
      </c>
      <c r="Y45" s="57" t="s">
        <v>212</v>
      </c>
      <c r="Z45" s="75"/>
      <c r="AA45" s="315">
        <f>AA46+AA47</f>
        <v>-1639</v>
      </c>
      <c r="AB45" s="315">
        <f>AB46+AB47</f>
        <v>-1639</v>
      </c>
      <c r="AC45" s="315">
        <v>1008</v>
      </c>
      <c r="AD45" s="315">
        <v>1236</v>
      </c>
    </row>
    <row r="46" spans="1:30" ht="12.75" customHeight="1" x14ac:dyDescent="0.2">
      <c r="A46" s="18" t="s">
        <v>213</v>
      </c>
      <c r="B46" s="76">
        <v>15</v>
      </c>
      <c r="C46" s="61">
        <v>0</v>
      </c>
      <c r="D46" s="185">
        <v>-3</v>
      </c>
      <c r="E46" s="61">
        <v>0</v>
      </c>
      <c r="F46" s="65">
        <v>-3713</v>
      </c>
      <c r="G46" s="17">
        <f t="shared" si="0"/>
        <v>3710</v>
      </c>
      <c r="H46" s="69" t="s">
        <v>213</v>
      </c>
      <c r="I46" s="77">
        <v>15</v>
      </c>
      <c r="J46" s="63">
        <v>0</v>
      </c>
      <c r="K46" s="84">
        <v>0</v>
      </c>
      <c r="L46" s="63">
        <v>0</v>
      </c>
      <c r="M46" s="63">
        <v>16</v>
      </c>
      <c r="S46" s="7" t="s">
        <v>214</v>
      </c>
      <c r="Y46" s="69" t="s">
        <v>213</v>
      </c>
      <c r="Z46" s="77">
        <v>15</v>
      </c>
      <c r="AA46" s="51">
        <f>AB46-AI46</f>
        <v>-3399</v>
      </c>
      <c r="AB46" s="321">
        <v>-3399</v>
      </c>
      <c r="AC46" s="51">
        <v>-50</v>
      </c>
      <c r="AD46" s="316">
        <v>-78</v>
      </c>
    </row>
    <row r="47" spans="1:30" ht="12.75" customHeight="1" x14ac:dyDescent="0.2">
      <c r="A47" s="18" t="s">
        <v>215</v>
      </c>
      <c r="B47" s="76">
        <v>16</v>
      </c>
      <c r="C47" s="61">
        <v>334</v>
      </c>
      <c r="D47" s="185">
        <v>9515</v>
      </c>
      <c r="E47" s="61">
        <v>538</v>
      </c>
      <c r="F47" s="65">
        <v>40695</v>
      </c>
      <c r="G47" s="17">
        <f t="shared" si="0"/>
        <v>-31180</v>
      </c>
      <c r="H47" s="69" t="s">
        <v>215</v>
      </c>
      <c r="I47" s="77">
        <v>16</v>
      </c>
      <c r="J47" s="63">
        <v>60</v>
      </c>
      <c r="K47" s="84">
        <v>7821</v>
      </c>
      <c r="L47" s="63">
        <v>61</v>
      </c>
      <c r="M47" s="63">
        <v>2472</v>
      </c>
      <c r="S47" s="22"/>
      <c r="Y47" s="69" t="s">
        <v>215</v>
      </c>
      <c r="Z47" s="77">
        <v>16</v>
      </c>
      <c r="AA47" s="51">
        <f>AB47-AI47</f>
        <v>1760</v>
      </c>
      <c r="AB47" s="321">
        <v>1760</v>
      </c>
      <c r="AC47" s="51">
        <v>1058</v>
      </c>
      <c r="AD47" s="316">
        <v>1314</v>
      </c>
    </row>
    <row r="48" spans="1:30" ht="12.75" customHeight="1" x14ac:dyDescent="0.2">
      <c r="A48" s="18" t="s">
        <v>216</v>
      </c>
      <c r="B48" s="76">
        <v>17</v>
      </c>
      <c r="C48" s="61">
        <v>0</v>
      </c>
      <c r="D48" s="65"/>
      <c r="E48" s="15">
        <v>0</v>
      </c>
      <c r="F48" s="15"/>
      <c r="G48" s="17">
        <f t="shared" si="0"/>
        <v>0</v>
      </c>
      <c r="H48" s="69" t="s">
        <v>216</v>
      </c>
      <c r="I48" s="77">
        <v>17</v>
      </c>
      <c r="J48" s="63"/>
      <c r="K48" s="84"/>
      <c r="L48" s="63"/>
      <c r="M48" s="63"/>
      <c r="Y48" s="69" t="s">
        <v>216</v>
      </c>
      <c r="Z48" s="77">
        <v>17</v>
      </c>
      <c r="AA48" s="51">
        <f>AB48-AI48</f>
        <v>0</v>
      </c>
      <c r="AB48" s="321"/>
      <c r="AC48" s="51"/>
      <c r="AD48" s="51"/>
    </row>
    <row r="49" spans="1:30" s="98" customFormat="1" ht="12.75" customHeight="1" x14ac:dyDescent="0.2">
      <c r="A49" s="16" t="s">
        <v>217</v>
      </c>
      <c r="B49" s="74">
        <v>18</v>
      </c>
      <c r="C49" s="31">
        <v>310715</v>
      </c>
      <c r="D49" s="31">
        <v>3183419</v>
      </c>
      <c r="E49" s="31">
        <v>744406</v>
      </c>
      <c r="F49" s="31">
        <v>3672814</v>
      </c>
      <c r="G49" s="17">
        <f t="shared" si="0"/>
        <v>-489395</v>
      </c>
      <c r="H49" s="57" t="s">
        <v>217</v>
      </c>
      <c r="I49" s="75" t="s">
        <v>218</v>
      </c>
      <c r="J49" s="59">
        <v>182279</v>
      </c>
      <c r="K49" s="59">
        <v>1113365</v>
      </c>
      <c r="L49" s="59">
        <v>555514</v>
      </c>
      <c r="M49" s="59">
        <v>1341684</v>
      </c>
      <c r="Y49" s="57" t="s">
        <v>217</v>
      </c>
      <c r="Z49" s="75" t="s">
        <v>218</v>
      </c>
      <c r="AA49" s="315">
        <f>AA15+AA25+AA45</f>
        <v>95182</v>
      </c>
      <c r="AB49" s="315">
        <f>AB15+AB25+AB45</f>
        <v>95182</v>
      </c>
      <c r="AC49" s="315">
        <v>204707</v>
      </c>
      <c r="AD49" s="315">
        <v>887436</v>
      </c>
    </row>
    <row r="50" spans="1:30" s="98" customFormat="1" ht="12.75" customHeight="1" x14ac:dyDescent="0.2">
      <c r="A50" s="16"/>
      <c r="B50" s="74"/>
      <c r="C50" s="31"/>
      <c r="D50" s="31"/>
      <c r="E50" s="31"/>
      <c r="F50" s="31"/>
      <c r="G50" s="17"/>
      <c r="H50" s="57"/>
      <c r="I50" s="75"/>
      <c r="J50" s="59"/>
      <c r="K50" s="59"/>
      <c r="L50" s="59"/>
      <c r="M50" s="59"/>
      <c r="Y50" s="57"/>
      <c r="Z50" s="75"/>
      <c r="AA50" s="315"/>
      <c r="AB50" s="315"/>
      <c r="AC50" s="315"/>
      <c r="AD50" s="315"/>
    </row>
    <row r="51" spans="1:30" s="98" customFormat="1" ht="12.75" customHeight="1" x14ac:dyDescent="0.2">
      <c r="A51" s="16" t="s">
        <v>219</v>
      </c>
      <c r="B51" s="74"/>
      <c r="C51" s="61"/>
      <c r="D51" s="31"/>
      <c r="E51" s="31"/>
      <c r="F51" s="31"/>
      <c r="G51" s="17">
        <f t="shared" si="0"/>
        <v>0</v>
      </c>
      <c r="H51" s="57" t="s">
        <v>219</v>
      </c>
      <c r="I51" s="75"/>
      <c r="J51" s="63"/>
      <c r="K51" s="59"/>
      <c r="L51" s="59"/>
      <c r="M51" s="59"/>
      <c r="Y51" s="57" t="s">
        <v>219</v>
      </c>
      <c r="Z51" s="75"/>
      <c r="AA51" s="51"/>
      <c r="AB51" s="315"/>
      <c r="AC51" s="51"/>
      <c r="AD51" s="315"/>
    </row>
    <row r="52" spans="1:30" ht="12.75" customHeight="1" x14ac:dyDescent="0.2">
      <c r="A52" s="24" t="s">
        <v>220</v>
      </c>
      <c r="B52" s="174">
        <v>19</v>
      </c>
      <c r="C52" s="61">
        <v>49502</v>
      </c>
      <c r="D52" s="190">
        <v>655136</v>
      </c>
      <c r="E52" s="61">
        <v>57476</v>
      </c>
      <c r="F52" s="193">
        <v>729147</v>
      </c>
      <c r="G52" s="17">
        <f t="shared" si="0"/>
        <v>-74011</v>
      </c>
      <c r="H52" s="62" t="s">
        <v>220</v>
      </c>
      <c r="I52" s="99" t="s">
        <v>221</v>
      </c>
      <c r="J52" s="63">
        <v>184051</v>
      </c>
      <c r="K52" s="84">
        <v>364442</v>
      </c>
      <c r="L52" s="59">
        <v>32640</v>
      </c>
      <c r="M52" s="59">
        <v>299750</v>
      </c>
      <c r="S52" s="22">
        <f>F52+F53-F55+F57+F62+F64</f>
        <v>661684</v>
      </c>
      <c r="Y52" s="62" t="s">
        <v>220</v>
      </c>
      <c r="Z52" s="99" t="s">
        <v>221</v>
      </c>
      <c r="AA52" s="51">
        <f t="shared" ref="AA52:AA66" si="4">AB52-AI52</f>
        <v>0</v>
      </c>
      <c r="AB52" s="321">
        <f>'[4]15'!AA57-'[4]15'!AB57-'[4]15'!AC57</f>
        <v>0</v>
      </c>
      <c r="AC52" s="51">
        <v>88679</v>
      </c>
      <c r="AD52" s="316">
        <v>408542</v>
      </c>
    </row>
    <row r="53" spans="1:30" ht="12.75" customHeight="1" x14ac:dyDescent="0.2">
      <c r="A53" s="100" t="s">
        <v>222</v>
      </c>
      <c r="B53" s="174">
        <v>20</v>
      </c>
      <c r="C53" s="61">
        <v>1258</v>
      </c>
      <c r="D53" s="190">
        <v>3903</v>
      </c>
      <c r="E53" s="61">
        <v>1303</v>
      </c>
      <c r="F53" s="190">
        <v>3462</v>
      </c>
      <c r="G53" s="17">
        <f t="shared" si="0"/>
        <v>441</v>
      </c>
      <c r="H53" s="101" t="s">
        <v>222</v>
      </c>
      <c r="I53" s="99" t="s">
        <v>223</v>
      </c>
      <c r="J53" s="63">
        <v>1989</v>
      </c>
      <c r="K53" s="84">
        <v>9202</v>
      </c>
      <c r="L53" s="63">
        <v>1122</v>
      </c>
      <c r="M53" s="63">
        <v>9109</v>
      </c>
      <c r="Y53" s="101" t="s">
        <v>222</v>
      </c>
      <c r="Z53" s="99" t="s">
        <v>223</v>
      </c>
      <c r="AA53" s="51">
        <f t="shared" si="4"/>
        <v>0</v>
      </c>
      <c r="AB53" s="321">
        <f>'[4]15'!AB57+'[4]15'!AC57</f>
        <v>0</v>
      </c>
      <c r="AC53" s="51">
        <v>-1</v>
      </c>
      <c r="AD53" s="316">
        <v>6722</v>
      </c>
    </row>
    <row r="54" spans="1:30" ht="12.75" customHeight="1" x14ac:dyDescent="0.2">
      <c r="A54" s="24" t="s">
        <v>224</v>
      </c>
      <c r="B54" s="174">
        <v>21</v>
      </c>
      <c r="C54" s="61">
        <v>114</v>
      </c>
      <c r="D54" s="181">
        <v>169516</v>
      </c>
      <c r="E54" s="61">
        <v>0</v>
      </c>
      <c r="F54" s="194">
        <v>51602</v>
      </c>
      <c r="G54" s="17">
        <f t="shared" si="0"/>
        <v>117914</v>
      </c>
      <c r="H54" s="62" t="s">
        <v>224</v>
      </c>
      <c r="I54" s="99" t="s">
        <v>225</v>
      </c>
      <c r="J54" s="63">
        <v>146961</v>
      </c>
      <c r="K54" s="84">
        <v>199450</v>
      </c>
      <c r="L54" s="63">
        <v>8857</v>
      </c>
      <c r="M54" s="63">
        <v>83503</v>
      </c>
      <c r="S54" s="22"/>
      <c r="Y54" s="62" t="s">
        <v>224</v>
      </c>
      <c r="Z54" s="99" t="s">
        <v>225</v>
      </c>
      <c r="AA54" s="51">
        <f t="shared" si="4"/>
        <v>0</v>
      </c>
      <c r="AB54" s="321">
        <f>'[4]15'!AH57</f>
        <v>0</v>
      </c>
      <c r="AC54" s="51">
        <v>42674</v>
      </c>
      <c r="AD54" s="316">
        <v>66223</v>
      </c>
    </row>
    <row r="55" spans="1:30" ht="12.75" customHeight="1" x14ac:dyDescent="0.2">
      <c r="A55" s="24" t="s">
        <v>226</v>
      </c>
      <c r="B55" s="174">
        <v>22</v>
      </c>
      <c r="C55" s="61">
        <v>1653</v>
      </c>
      <c r="D55" s="190">
        <v>128865</v>
      </c>
      <c r="E55" s="61">
        <v>9451</v>
      </c>
      <c r="F55" s="190">
        <v>71460</v>
      </c>
      <c r="G55" s="17">
        <f t="shared" si="0"/>
        <v>57405</v>
      </c>
      <c r="H55" s="62" t="s">
        <v>226</v>
      </c>
      <c r="I55" s="99" t="s">
        <v>227</v>
      </c>
      <c r="J55" s="63">
        <v>7928</v>
      </c>
      <c r="K55" s="84">
        <v>27858</v>
      </c>
      <c r="L55" s="63">
        <v>483</v>
      </c>
      <c r="M55" s="63">
        <v>8450</v>
      </c>
      <c r="Y55" s="62" t="s">
        <v>226</v>
      </c>
      <c r="Z55" s="99" t="s">
        <v>227</v>
      </c>
      <c r="AA55" s="51">
        <f t="shared" si="4"/>
        <v>0</v>
      </c>
      <c r="AB55" s="321">
        <f>'[4]15'!AF57</f>
        <v>0</v>
      </c>
      <c r="AC55" s="51">
        <v>16079</v>
      </c>
      <c r="AD55" s="316">
        <v>41541</v>
      </c>
    </row>
    <row r="56" spans="1:30" ht="12.75" customHeight="1" x14ac:dyDescent="0.2">
      <c r="A56" s="24" t="s">
        <v>228</v>
      </c>
      <c r="B56" s="174">
        <v>23</v>
      </c>
      <c r="C56" s="61">
        <v>48993</v>
      </c>
      <c r="D56" s="65">
        <v>360658</v>
      </c>
      <c r="E56" s="65">
        <v>49328</v>
      </c>
      <c r="F56" s="65">
        <v>609547</v>
      </c>
      <c r="G56" s="17">
        <f t="shared" si="0"/>
        <v>-248889</v>
      </c>
      <c r="H56" s="62" t="s">
        <v>228</v>
      </c>
      <c r="I56" s="99" t="s">
        <v>229</v>
      </c>
      <c r="J56" s="63">
        <v>31151</v>
      </c>
      <c r="K56" s="84">
        <v>146336</v>
      </c>
      <c r="L56" s="84">
        <v>24422</v>
      </c>
      <c r="M56" s="84">
        <v>216906</v>
      </c>
      <c r="Y56" s="62" t="s">
        <v>228</v>
      </c>
      <c r="Z56" s="99" t="s">
        <v>229</v>
      </c>
      <c r="AA56" s="51">
        <f t="shared" si="4"/>
        <v>0</v>
      </c>
      <c r="AB56" s="321">
        <f>AB52+AB53-AB54-AB55</f>
        <v>0</v>
      </c>
      <c r="AC56" s="321">
        <v>29925</v>
      </c>
      <c r="AD56" s="321">
        <v>307500</v>
      </c>
    </row>
    <row r="57" spans="1:30" ht="12.75" customHeight="1" x14ac:dyDescent="0.2">
      <c r="A57" s="25" t="s">
        <v>230</v>
      </c>
      <c r="B57" s="174">
        <v>24</v>
      </c>
      <c r="C57" s="61">
        <v>481</v>
      </c>
      <c r="D57" s="190">
        <v>10894</v>
      </c>
      <c r="E57" s="65">
        <v>856</v>
      </c>
      <c r="F57" s="190">
        <v>17161</v>
      </c>
      <c r="G57" s="17">
        <f t="shared" si="0"/>
        <v>-6267</v>
      </c>
      <c r="H57" s="102" t="s">
        <v>230</v>
      </c>
      <c r="I57" s="99" t="s">
        <v>231</v>
      </c>
      <c r="J57" s="63">
        <v>337</v>
      </c>
      <c r="K57" s="84">
        <v>2180</v>
      </c>
      <c r="L57" s="63">
        <v>706</v>
      </c>
      <c r="M57" s="63">
        <v>-456</v>
      </c>
      <c r="Y57" s="102" t="s">
        <v>230</v>
      </c>
      <c r="Z57" s="99" t="s">
        <v>231</v>
      </c>
      <c r="AA57" s="51">
        <f t="shared" si="4"/>
        <v>0</v>
      </c>
      <c r="AB57" s="321">
        <f>'[4]15'!AL57</f>
        <v>0</v>
      </c>
      <c r="AC57" s="51">
        <v>900</v>
      </c>
      <c r="AD57" s="316">
        <v>2272</v>
      </c>
    </row>
    <row r="58" spans="1:30" ht="12.75" customHeight="1" x14ac:dyDescent="0.2">
      <c r="A58" s="100" t="s">
        <v>368</v>
      </c>
      <c r="B58" s="174">
        <v>25</v>
      </c>
      <c r="C58" s="61">
        <v>0</v>
      </c>
      <c r="D58" s="198"/>
      <c r="E58" s="61">
        <v>0</v>
      </c>
      <c r="F58" s="65"/>
      <c r="G58" s="17">
        <f t="shared" si="0"/>
        <v>0</v>
      </c>
      <c r="H58" s="101" t="s">
        <v>232</v>
      </c>
      <c r="I58" s="99" t="s">
        <v>233</v>
      </c>
      <c r="J58" s="63">
        <v>0</v>
      </c>
      <c r="K58" s="84"/>
      <c r="L58" s="63"/>
      <c r="M58" s="84"/>
      <c r="Y58" s="101" t="s">
        <v>232</v>
      </c>
      <c r="Z58" s="99" t="s">
        <v>233</v>
      </c>
      <c r="AA58" s="51">
        <f t="shared" si="4"/>
        <v>0</v>
      </c>
      <c r="AB58" s="321"/>
      <c r="AC58" s="51">
        <v>0</v>
      </c>
      <c r="AD58" s="321"/>
    </row>
    <row r="59" spans="1:30" ht="12.75" customHeight="1" x14ac:dyDescent="0.2">
      <c r="A59" s="100" t="s">
        <v>369</v>
      </c>
      <c r="B59" s="174">
        <v>26</v>
      </c>
      <c r="C59" s="61">
        <v>0</v>
      </c>
      <c r="D59" s="198"/>
      <c r="E59" s="61">
        <v>0</v>
      </c>
      <c r="F59" s="65"/>
      <c r="G59" s="17">
        <f t="shared" si="0"/>
        <v>0</v>
      </c>
      <c r="H59" s="101" t="s">
        <v>234</v>
      </c>
      <c r="I59" s="99" t="s">
        <v>235</v>
      </c>
      <c r="J59" s="63">
        <v>0</v>
      </c>
      <c r="K59" s="84"/>
      <c r="L59" s="63"/>
      <c r="M59" s="84"/>
      <c r="Y59" s="101" t="s">
        <v>234</v>
      </c>
      <c r="Z59" s="99" t="s">
        <v>235</v>
      </c>
      <c r="AA59" s="51">
        <f t="shared" si="4"/>
        <v>0</v>
      </c>
      <c r="AB59" s="321"/>
      <c r="AC59" s="51">
        <v>0</v>
      </c>
      <c r="AD59" s="321"/>
    </row>
    <row r="60" spans="1:30" ht="12.75" customHeight="1" x14ac:dyDescent="0.2">
      <c r="A60" s="24" t="s">
        <v>370</v>
      </c>
      <c r="B60" s="174">
        <v>27</v>
      </c>
      <c r="C60" s="61">
        <v>0</v>
      </c>
      <c r="D60" s="198"/>
      <c r="E60" s="61">
        <v>0</v>
      </c>
      <c r="F60" s="65"/>
      <c r="G60" s="17">
        <f t="shared" si="0"/>
        <v>0</v>
      </c>
      <c r="H60" s="62" t="s">
        <v>236</v>
      </c>
      <c r="I60" s="99" t="s">
        <v>237</v>
      </c>
      <c r="J60" s="63">
        <v>0</v>
      </c>
      <c r="K60" s="84"/>
      <c r="L60" s="63"/>
      <c r="M60" s="84"/>
      <c r="Y60" s="62" t="s">
        <v>236</v>
      </c>
      <c r="Z60" s="99" t="s">
        <v>237</v>
      </c>
      <c r="AA60" s="51">
        <f t="shared" si="4"/>
        <v>0</v>
      </c>
      <c r="AB60" s="321"/>
      <c r="AC60" s="51">
        <v>0</v>
      </c>
      <c r="AD60" s="321"/>
    </row>
    <row r="61" spans="1:30" ht="12.75" customHeight="1" x14ac:dyDescent="0.2">
      <c r="A61" s="100" t="s">
        <v>371</v>
      </c>
      <c r="B61" s="174">
        <v>28</v>
      </c>
      <c r="C61" s="61">
        <v>0</v>
      </c>
      <c r="D61" s="198"/>
      <c r="E61" s="15">
        <v>0</v>
      </c>
      <c r="F61" s="15"/>
      <c r="G61" s="17">
        <f t="shared" si="0"/>
        <v>0</v>
      </c>
      <c r="H61" s="101" t="s">
        <v>238</v>
      </c>
      <c r="I61" s="99" t="s">
        <v>239</v>
      </c>
      <c r="J61" s="63">
        <v>0</v>
      </c>
      <c r="K61" s="84"/>
      <c r="L61" s="63"/>
      <c r="M61" s="63"/>
      <c r="S61" s="22">
        <f>F62+F64-F63-F65</f>
        <v>39187</v>
      </c>
      <c r="U61" s="22">
        <f>D62+D64-D63-D65</f>
        <v>75999</v>
      </c>
      <c r="Y61" s="101" t="s">
        <v>238</v>
      </c>
      <c r="Z61" s="99" t="s">
        <v>239</v>
      </c>
      <c r="AA61" s="51">
        <f t="shared" si="4"/>
        <v>0</v>
      </c>
      <c r="AB61" s="321"/>
      <c r="AC61" s="51">
        <v>0</v>
      </c>
      <c r="AD61" s="51"/>
    </row>
    <row r="62" spans="1:30" ht="12.75" customHeight="1" x14ac:dyDescent="0.2">
      <c r="A62" s="24" t="s">
        <v>240</v>
      </c>
      <c r="B62" s="174">
        <v>29</v>
      </c>
      <c r="C62" s="61">
        <v>15504</v>
      </c>
      <c r="D62" s="198">
        <v>108818</v>
      </c>
      <c r="E62" s="61">
        <v>-15930</v>
      </c>
      <c r="F62" s="190">
        <v>-55303</v>
      </c>
      <c r="G62" s="17">
        <f t="shared" si="0"/>
        <v>164121</v>
      </c>
      <c r="H62" s="62" t="s">
        <v>240</v>
      </c>
      <c r="I62" s="99" t="s">
        <v>241</v>
      </c>
      <c r="J62" s="63">
        <v>-5781</v>
      </c>
      <c r="K62" s="84">
        <v>129572</v>
      </c>
      <c r="L62" s="63">
        <v>-68199</v>
      </c>
      <c r="M62" s="63">
        <v>7745</v>
      </c>
      <c r="U62" s="22">
        <f>U61-U20</f>
        <v>149859</v>
      </c>
      <c r="Y62" s="62" t="s">
        <v>240</v>
      </c>
      <c r="Z62" s="99" t="s">
        <v>241</v>
      </c>
      <c r="AA62" s="51">
        <f t="shared" si="4"/>
        <v>0</v>
      </c>
      <c r="AB62" s="321">
        <f>[4]баланс!AA47-[4]баланс!AB47</f>
        <v>0</v>
      </c>
      <c r="AC62" s="51">
        <v>-8647</v>
      </c>
      <c r="AD62" s="316">
        <v>-90697</v>
      </c>
    </row>
    <row r="63" spans="1:30" ht="12.75" customHeight="1" x14ac:dyDescent="0.2">
      <c r="A63" s="24" t="s">
        <v>372</v>
      </c>
      <c r="B63" s="174">
        <v>30</v>
      </c>
      <c r="C63" s="61">
        <v>15774</v>
      </c>
      <c r="D63" s="198">
        <v>45751</v>
      </c>
      <c r="E63" s="61">
        <v>5611</v>
      </c>
      <c r="F63" s="194">
        <v>-28784</v>
      </c>
      <c r="G63" s="17">
        <f t="shared" si="0"/>
        <v>74535</v>
      </c>
      <c r="H63" s="62" t="s">
        <v>242</v>
      </c>
      <c r="I63" s="99" t="s">
        <v>243</v>
      </c>
      <c r="J63" s="63">
        <v>0</v>
      </c>
      <c r="K63" s="84">
        <v>0</v>
      </c>
      <c r="L63" s="63">
        <v>0</v>
      </c>
      <c r="M63" s="63">
        <v>-159959</v>
      </c>
      <c r="S63" s="22">
        <f>D63+D65-D64-D62</f>
        <v>-75999</v>
      </c>
      <c r="Y63" s="62" t="s">
        <v>242</v>
      </c>
      <c r="Z63" s="99" t="s">
        <v>243</v>
      </c>
      <c r="AA63" s="51">
        <f t="shared" si="4"/>
        <v>0</v>
      </c>
      <c r="AB63" s="321">
        <f>[4]баланс!AA23-[4]баланс!AB23</f>
        <v>0</v>
      </c>
      <c r="AC63" s="51">
        <v>0</v>
      </c>
      <c r="AD63" s="316">
        <v>0</v>
      </c>
    </row>
    <row r="64" spans="1:30" ht="12.75" customHeight="1" x14ac:dyDescent="0.2">
      <c r="A64" s="24" t="s">
        <v>244</v>
      </c>
      <c r="B64" s="174">
        <v>31</v>
      </c>
      <c r="C64" s="61">
        <v>5094</v>
      </c>
      <c r="D64" s="198">
        <v>-49360</v>
      </c>
      <c r="E64" s="61">
        <v>57464</v>
      </c>
      <c r="F64" s="190">
        <v>38677</v>
      </c>
      <c r="G64" s="17">
        <f t="shared" si="0"/>
        <v>-88037</v>
      </c>
      <c r="H64" s="62" t="s">
        <v>244</v>
      </c>
      <c r="I64" s="99" t="s">
        <v>245</v>
      </c>
      <c r="J64" s="63">
        <v>-56873</v>
      </c>
      <c r="K64" s="84">
        <v>938916</v>
      </c>
      <c r="L64" s="63">
        <v>-4870</v>
      </c>
      <c r="M64" s="63">
        <v>-66874</v>
      </c>
      <c r="S64" s="22"/>
      <c r="Y64" s="62" t="s">
        <v>244</v>
      </c>
      <c r="Z64" s="99" t="s">
        <v>245</v>
      </c>
      <c r="AA64" s="51">
        <f t="shared" si="4"/>
        <v>0</v>
      </c>
      <c r="AB64" s="321">
        <f>[4]баланс!AA48-[4]баланс!AB48</f>
        <v>0</v>
      </c>
      <c r="AC64" s="51">
        <v>-6182</v>
      </c>
      <c r="AD64" s="316">
        <v>-85537</v>
      </c>
    </row>
    <row r="65" spans="1:30" ht="12.75" customHeight="1" x14ac:dyDescent="0.2">
      <c r="A65" s="24" t="s">
        <v>373</v>
      </c>
      <c r="B65" s="174">
        <v>32</v>
      </c>
      <c r="C65" s="61">
        <v>-6205</v>
      </c>
      <c r="D65" s="198">
        <v>-62292</v>
      </c>
      <c r="E65" s="61">
        <v>26464</v>
      </c>
      <c r="F65" s="194">
        <v>-27029</v>
      </c>
      <c r="G65" s="17">
        <f t="shared" si="0"/>
        <v>-35263</v>
      </c>
      <c r="H65" s="62" t="s">
        <v>246</v>
      </c>
      <c r="I65" s="99" t="s">
        <v>247</v>
      </c>
      <c r="J65" s="63">
        <v>-108796</v>
      </c>
      <c r="K65" s="84">
        <v>759222</v>
      </c>
      <c r="L65" s="63">
        <v>-3219</v>
      </c>
      <c r="M65" s="63">
        <v>-13980</v>
      </c>
      <c r="Y65" s="62" t="s">
        <v>246</v>
      </c>
      <c r="Z65" s="99" t="s">
        <v>247</v>
      </c>
      <c r="AA65" s="51">
        <f t="shared" si="4"/>
        <v>0</v>
      </c>
      <c r="AB65" s="321">
        <f>[4]баланс!AA26-[4]баланс!AB26</f>
        <v>0</v>
      </c>
      <c r="AC65" s="51">
        <v>-3332</v>
      </c>
      <c r="AD65" s="316">
        <v>-14222</v>
      </c>
    </row>
    <row r="66" spans="1:30" ht="12.75" customHeight="1" x14ac:dyDescent="0.2">
      <c r="A66" s="24" t="s">
        <v>248</v>
      </c>
      <c r="B66" s="174">
        <v>33</v>
      </c>
      <c r="C66" s="61">
        <v>40705</v>
      </c>
      <c r="D66" s="179">
        <v>357547</v>
      </c>
      <c r="E66" s="61">
        <v>33847</v>
      </c>
      <c r="F66" s="185">
        <v>443346</v>
      </c>
      <c r="G66" s="17">
        <f t="shared" si="0"/>
        <v>-85799</v>
      </c>
      <c r="H66" s="62" t="s">
        <v>248</v>
      </c>
      <c r="I66" s="99" t="s">
        <v>92</v>
      </c>
      <c r="J66" s="63">
        <v>45143</v>
      </c>
      <c r="K66" s="103">
        <v>210836</v>
      </c>
      <c r="L66" s="63">
        <v>37778</v>
      </c>
      <c r="M66" s="63">
        <v>181552</v>
      </c>
      <c r="Y66" s="62" t="s">
        <v>248</v>
      </c>
      <c r="Z66" s="99" t="s">
        <v>92</v>
      </c>
      <c r="AA66" s="51">
        <f t="shared" si="4"/>
        <v>0</v>
      </c>
      <c r="AB66" s="323">
        <f>'[4]14'!AD59</f>
        <v>0</v>
      </c>
      <c r="AC66" s="51">
        <v>68556</v>
      </c>
      <c r="AD66" s="316">
        <v>220870</v>
      </c>
    </row>
    <row r="67" spans="1:30" s="333" customFormat="1" ht="12.75" customHeight="1" x14ac:dyDescent="0.2">
      <c r="A67" s="346" t="s">
        <v>374</v>
      </c>
      <c r="B67" s="347">
        <v>34</v>
      </c>
      <c r="C67" s="336">
        <v>13272</v>
      </c>
      <c r="D67" s="348">
        <v>319192</v>
      </c>
      <c r="E67" s="336">
        <v>7914</v>
      </c>
      <c r="F67" s="337">
        <v>124961</v>
      </c>
      <c r="G67" s="338"/>
      <c r="H67" s="349"/>
      <c r="I67" s="350"/>
      <c r="J67" s="341"/>
      <c r="K67" s="351"/>
      <c r="L67" s="341"/>
      <c r="M67" s="341"/>
      <c r="Y67" s="349"/>
      <c r="Z67" s="350"/>
      <c r="AA67" s="343"/>
      <c r="AB67" s="352"/>
      <c r="AC67" s="343"/>
      <c r="AD67" s="345"/>
    </row>
    <row r="68" spans="1:30" ht="12.75" customHeight="1" x14ac:dyDescent="0.2">
      <c r="A68" s="104" t="s">
        <v>375</v>
      </c>
      <c r="B68" s="176">
        <v>35</v>
      </c>
      <c r="C68" s="56">
        <v>3767</v>
      </c>
      <c r="D68" s="56">
        <v>28091</v>
      </c>
      <c r="E68" s="56">
        <v>2268</v>
      </c>
      <c r="F68" s="56">
        <v>33998</v>
      </c>
      <c r="G68" s="17">
        <f t="shared" si="0"/>
        <v>-5907</v>
      </c>
      <c r="H68" s="105" t="s">
        <v>249</v>
      </c>
      <c r="I68" s="106" t="s">
        <v>250</v>
      </c>
      <c r="J68" s="59">
        <v>2936</v>
      </c>
      <c r="K68" s="59">
        <v>14011</v>
      </c>
      <c r="L68" s="59">
        <v>2900</v>
      </c>
      <c r="M68" s="59">
        <v>12671</v>
      </c>
      <c r="Y68" s="105" t="s">
        <v>249</v>
      </c>
      <c r="Z68" s="106" t="s">
        <v>250</v>
      </c>
      <c r="AA68" s="315">
        <f>AA70</f>
        <v>10746</v>
      </c>
      <c r="AB68" s="315">
        <f>AB70</f>
        <v>10746</v>
      </c>
      <c r="AC68" s="315">
        <v>4329</v>
      </c>
      <c r="AD68" s="315">
        <v>23613</v>
      </c>
    </row>
    <row r="69" spans="1:30" ht="12.75" customHeight="1" x14ac:dyDescent="0.2">
      <c r="A69" s="93" t="s">
        <v>31</v>
      </c>
      <c r="B69" s="177"/>
      <c r="C69" s="61"/>
      <c r="D69" s="65"/>
      <c r="E69" s="61"/>
      <c r="F69" s="61"/>
      <c r="G69" s="17">
        <f t="shared" si="0"/>
        <v>0</v>
      </c>
      <c r="H69" s="94" t="s">
        <v>192</v>
      </c>
      <c r="I69" s="107"/>
      <c r="J69" s="63"/>
      <c r="K69" s="84"/>
      <c r="L69" s="63"/>
      <c r="M69" s="63"/>
      <c r="U69" s="192"/>
      <c r="Y69" s="94" t="s">
        <v>192</v>
      </c>
      <c r="Z69" s="99"/>
      <c r="AA69" s="51"/>
      <c r="AB69" s="321"/>
      <c r="AC69" s="51"/>
      <c r="AD69" s="51"/>
    </row>
    <row r="70" spans="1:30" ht="12.75" customHeight="1" x14ac:dyDescent="0.2">
      <c r="A70" s="93" t="s">
        <v>251</v>
      </c>
      <c r="B70" s="174">
        <v>35.1</v>
      </c>
      <c r="C70" s="61">
        <v>3767</v>
      </c>
      <c r="D70" s="185">
        <v>28091</v>
      </c>
      <c r="E70" s="61">
        <v>2268</v>
      </c>
      <c r="F70" s="185">
        <v>33998</v>
      </c>
      <c r="G70" s="17">
        <f t="shared" si="0"/>
        <v>-5907</v>
      </c>
      <c r="H70" s="94" t="s">
        <v>251</v>
      </c>
      <c r="I70" s="99" t="s">
        <v>252</v>
      </c>
      <c r="J70" s="63">
        <v>2936</v>
      </c>
      <c r="K70" s="84">
        <v>14011</v>
      </c>
      <c r="L70" s="63">
        <v>2900</v>
      </c>
      <c r="M70" s="63">
        <v>12671</v>
      </c>
      <c r="S70" s="7">
        <v>731002</v>
      </c>
      <c r="Y70" s="94" t="s">
        <v>251</v>
      </c>
      <c r="Z70" s="99" t="s">
        <v>252</v>
      </c>
      <c r="AA70" s="51">
        <f>AB70-AI70</f>
        <v>10746</v>
      </c>
      <c r="AB70" s="321">
        <v>10746</v>
      </c>
      <c r="AC70" s="51">
        <v>4329</v>
      </c>
      <c r="AD70" s="316">
        <v>23613</v>
      </c>
    </row>
    <row r="71" spans="1:30" ht="12.75" customHeight="1" x14ac:dyDescent="0.2">
      <c r="A71" s="24" t="s">
        <v>253</v>
      </c>
      <c r="B71" s="174">
        <v>36</v>
      </c>
      <c r="C71" s="61">
        <v>0</v>
      </c>
      <c r="D71" s="185">
        <v>11667</v>
      </c>
      <c r="E71" s="61">
        <v>55</v>
      </c>
      <c r="F71" s="65">
        <v>5316</v>
      </c>
      <c r="G71" s="17">
        <f t="shared" si="0"/>
        <v>6351</v>
      </c>
      <c r="H71" s="62" t="s">
        <v>253</v>
      </c>
      <c r="I71" s="99" t="s">
        <v>254</v>
      </c>
      <c r="J71" s="63"/>
      <c r="K71" s="84"/>
      <c r="L71" s="63"/>
      <c r="M71" s="84"/>
      <c r="S71" s="7">
        <v>744001</v>
      </c>
      <c r="Y71" s="62" t="s">
        <v>253</v>
      </c>
      <c r="Z71" s="99" t="s">
        <v>254</v>
      </c>
      <c r="AA71" s="51">
        <f>AB71-AI71</f>
        <v>0</v>
      </c>
      <c r="AB71" s="321">
        <v>0</v>
      </c>
      <c r="AC71" s="51">
        <v>393102</v>
      </c>
      <c r="AD71" s="316">
        <v>393102</v>
      </c>
    </row>
    <row r="72" spans="1:30" ht="12.75" customHeight="1" x14ac:dyDescent="0.2">
      <c r="A72" s="24" t="s">
        <v>255</v>
      </c>
      <c r="B72" s="174">
        <v>37</v>
      </c>
      <c r="C72" s="61">
        <v>0</v>
      </c>
      <c r="D72" s="185">
        <v>103516</v>
      </c>
      <c r="E72" s="61">
        <v>33112</v>
      </c>
      <c r="F72" s="65">
        <v>247539</v>
      </c>
      <c r="G72" s="17">
        <f t="shared" si="0"/>
        <v>-144023</v>
      </c>
      <c r="H72" s="62" t="s">
        <v>255</v>
      </c>
      <c r="I72" s="99" t="s">
        <v>256</v>
      </c>
      <c r="J72" s="63"/>
      <c r="K72" s="84"/>
      <c r="L72" s="63"/>
      <c r="M72" s="84"/>
      <c r="S72" s="9" t="s">
        <v>257</v>
      </c>
      <c r="Y72" s="62" t="s">
        <v>255</v>
      </c>
      <c r="Z72" s="99" t="s">
        <v>256</v>
      </c>
      <c r="AA72" s="51">
        <f>AB72-AI72</f>
        <v>0</v>
      </c>
      <c r="AB72" s="321">
        <v>0</v>
      </c>
      <c r="AC72" s="51">
        <v>0</v>
      </c>
      <c r="AD72" s="316">
        <v>0</v>
      </c>
    </row>
    <row r="73" spans="1:30" ht="12.75" customHeight="1" x14ac:dyDescent="0.2">
      <c r="A73" s="24" t="s">
        <v>258</v>
      </c>
      <c r="B73" s="174">
        <v>38</v>
      </c>
      <c r="C73" s="61">
        <v>0</v>
      </c>
      <c r="D73" s="65">
        <v>-91849</v>
      </c>
      <c r="E73" s="15">
        <v>-33057</v>
      </c>
      <c r="F73" s="15">
        <v>-242223</v>
      </c>
      <c r="G73" s="17">
        <f t="shared" si="0"/>
        <v>150374</v>
      </c>
      <c r="H73" s="62" t="s">
        <v>258</v>
      </c>
      <c r="I73" s="99" t="s">
        <v>259</v>
      </c>
      <c r="J73" s="63"/>
      <c r="K73" s="84"/>
      <c r="L73" s="63"/>
      <c r="M73" s="63"/>
      <c r="Y73" s="62" t="s">
        <v>258</v>
      </c>
      <c r="Z73" s="99" t="s">
        <v>259</v>
      </c>
      <c r="AA73" s="51">
        <f>AB73-AI73</f>
        <v>0</v>
      </c>
      <c r="AB73" s="321">
        <f>AB71-AB72</f>
        <v>0</v>
      </c>
      <c r="AC73" s="51">
        <v>393102</v>
      </c>
      <c r="AD73" s="316">
        <v>393102</v>
      </c>
    </row>
    <row r="74" spans="1:30" ht="12.75" customHeight="1" x14ac:dyDescent="0.2">
      <c r="A74" s="104" t="s">
        <v>376</v>
      </c>
      <c r="B74" s="176">
        <v>39</v>
      </c>
      <c r="C74" s="56">
        <v>127515</v>
      </c>
      <c r="D74" s="182">
        <v>1267156</v>
      </c>
      <c r="E74" s="56">
        <v>104566</v>
      </c>
      <c r="F74" s="195">
        <v>980500</v>
      </c>
      <c r="G74" s="17">
        <f t="shared" si="0"/>
        <v>286656</v>
      </c>
      <c r="H74" s="105" t="s">
        <v>260</v>
      </c>
      <c r="I74" s="106" t="s">
        <v>261</v>
      </c>
      <c r="J74" s="63">
        <v>71583</v>
      </c>
      <c r="K74" s="89">
        <v>331457</v>
      </c>
      <c r="L74" s="63">
        <v>51392</v>
      </c>
      <c r="M74" s="63">
        <v>287939</v>
      </c>
      <c r="Y74" s="105" t="s">
        <v>260</v>
      </c>
      <c r="Z74" s="106" t="s">
        <v>261</v>
      </c>
      <c r="AA74" s="324">
        <f>AB74-AI74</f>
        <v>0</v>
      </c>
      <c r="AB74" s="322">
        <f>'[4]28'!AA43</f>
        <v>0</v>
      </c>
      <c r="AC74" s="315">
        <v>115758</v>
      </c>
      <c r="AD74" s="325">
        <v>337653</v>
      </c>
    </row>
    <row r="75" spans="1:30" ht="12.75" customHeight="1" x14ac:dyDescent="0.2">
      <c r="A75" s="93" t="s">
        <v>31</v>
      </c>
      <c r="B75" s="174"/>
      <c r="C75" s="61"/>
      <c r="D75" s="65"/>
      <c r="E75" s="61"/>
      <c r="F75" s="185"/>
      <c r="G75" s="17">
        <f t="shared" si="0"/>
        <v>0</v>
      </c>
      <c r="H75" s="94" t="s">
        <v>192</v>
      </c>
      <c r="I75" s="99"/>
      <c r="J75" s="63"/>
      <c r="K75" s="63"/>
      <c r="L75" s="63"/>
      <c r="M75" s="84"/>
      <c r="Y75" s="94" t="s">
        <v>192</v>
      </c>
      <c r="Z75" s="99"/>
      <c r="AA75" s="51"/>
      <c r="AB75" s="317"/>
      <c r="AC75" s="51"/>
      <c r="AD75" s="321"/>
    </row>
    <row r="76" spans="1:30" ht="12.75" customHeight="1" x14ac:dyDescent="0.2">
      <c r="A76" s="93" t="s">
        <v>377</v>
      </c>
      <c r="B76" s="174">
        <v>39.1</v>
      </c>
      <c r="C76" s="61">
        <v>89935</v>
      </c>
      <c r="D76" s="181">
        <v>860631</v>
      </c>
      <c r="E76" s="61">
        <v>64288</v>
      </c>
      <c r="F76" s="185">
        <v>575362</v>
      </c>
      <c r="G76" s="17">
        <f t="shared" si="0"/>
        <v>285269</v>
      </c>
      <c r="H76" s="94" t="s">
        <v>262</v>
      </c>
      <c r="I76" s="99" t="s">
        <v>263</v>
      </c>
      <c r="J76" s="63">
        <v>37256</v>
      </c>
      <c r="K76" s="63">
        <v>178599</v>
      </c>
      <c r="L76" s="63">
        <v>30164</v>
      </c>
      <c r="M76" s="63">
        <v>157180</v>
      </c>
      <c r="S76" s="22">
        <f>D24+D45-D70-D73</f>
        <v>94721</v>
      </c>
      <c r="Y76" s="94" t="s">
        <v>262</v>
      </c>
      <c r="Z76" s="99" t="s">
        <v>263</v>
      </c>
      <c r="AA76" s="51">
        <f>AB76-AI76</f>
        <v>0</v>
      </c>
      <c r="AB76" s="317">
        <f>'[4]28'!AA10</f>
        <v>0</v>
      </c>
      <c r="AC76" s="51">
        <v>66292</v>
      </c>
      <c r="AD76" s="316">
        <v>197826</v>
      </c>
    </row>
    <row r="77" spans="1:30" ht="12.75" customHeight="1" x14ac:dyDescent="0.2">
      <c r="A77" s="96" t="s">
        <v>378</v>
      </c>
      <c r="B77" s="174">
        <v>39.200000000000003</v>
      </c>
      <c r="C77" s="61">
        <v>8598</v>
      </c>
      <c r="D77" s="181">
        <v>87634</v>
      </c>
      <c r="E77" s="61">
        <v>6292</v>
      </c>
      <c r="F77" s="185">
        <v>70541</v>
      </c>
      <c r="G77" s="17">
        <f t="shared" si="0"/>
        <v>17093</v>
      </c>
      <c r="H77" s="97" t="s">
        <v>264</v>
      </c>
      <c r="I77" s="99" t="s">
        <v>265</v>
      </c>
      <c r="J77" s="63">
        <v>2902</v>
      </c>
      <c r="K77" s="63">
        <v>20903</v>
      </c>
      <c r="L77" s="63">
        <v>3564</v>
      </c>
      <c r="M77" s="63">
        <v>16940</v>
      </c>
      <c r="Y77" s="97" t="s">
        <v>264</v>
      </c>
      <c r="Z77" s="99" t="s">
        <v>265</v>
      </c>
      <c r="AA77" s="51">
        <f>AB77-AI77</f>
        <v>0</v>
      </c>
      <c r="AB77" s="317">
        <f>'[4]28'!AA33+'[4]28'!AA34+'[4]28'!AA35+'[4]28'!AA36+'[4]28'!AA37+'[4]28'!AA38+'[4]28'!AA39</f>
        <v>0</v>
      </c>
      <c r="AC77" s="51">
        <v>6788</v>
      </c>
      <c r="AD77" s="316">
        <v>21349</v>
      </c>
    </row>
    <row r="78" spans="1:30" ht="12.75" customHeight="1" x14ac:dyDescent="0.2">
      <c r="A78" s="96" t="s">
        <v>266</v>
      </c>
      <c r="B78" s="174">
        <v>39.299999999999997</v>
      </c>
      <c r="C78" s="61">
        <v>8592</v>
      </c>
      <c r="D78" s="181">
        <v>86026</v>
      </c>
      <c r="E78" s="61">
        <v>7577</v>
      </c>
      <c r="F78" s="185">
        <v>72845</v>
      </c>
      <c r="G78" s="17">
        <f t="shared" si="0"/>
        <v>13181</v>
      </c>
      <c r="H78" s="97" t="s">
        <v>266</v>
      </c>
      <c r="I78" s="99" t="s">
        <v>267</v>
      </c>
      <c r="J78" s="63">
        <v>6156</v>
      </c>
      <c r="K78" s="63">
        <v>21744</v>
      </c>
      <c r="L78" s="63">
        <v>4341</v>
      </c>
      <c r="M78" s="63">
        <v>22094</v>
      </c>
      <c r="Y78" s="97" t="s">
        <v>266</v>
      </c>
      <c r="Z78" s="99" t="s">
        <v>267</v>
      </c>
      <c r="AA78" s="51">
        <f>AB78-AI78</f>
        <v>0</v>
      </c>
      <c r="AB78" s="317">
        <f>'[4]28'!AA21</f>
        <v>0</v>
      </c>
      <c r="AC78" s="51">
        <v>8929</v>
      </c>
      <c r="AD78" s="316">
        <v>17782</v>
      </c>
    </row>
    <row r="79" spans="1:30" ht="12.75" customHeight="1" x14ac:dyDescent="0.2">
      <c r="A79" s="93" t="s">
        <v>379</v>
      </c>
      <c r="B79" s="174">
        <v>40</v>
      </c>
      <c r="C79" s="61">
        <v>4590</v>
      </c>
      <c r="D79" s="181">
        <v>44569</v>
      </c>
      <c r="E79" s="61">
        <v>5707</v>
      </c>
      <c r="F79" s="185">
        <v>49260</v>
      </c>
      <c r="G79" s="17">
        <f t="shared" si="0"/>
        <v>-4691</v>
      </c>
      <c r="H79" s="94" t="s">
        <v>268</v>
      </c>
      <c r="I79" s="99" t="s">
        <v>269</v>
      </c>
      <c r="J79" s="63">
        <v>3540</v>
      </c>
      <c r="K79" s="63">
        <v>18079</v>
      </c>
      <c r="L79" s="63">
        <v>3212</v>
      </c>
      <c r="M79" s="63">
        <v>15846</v>
      </c>
      <c r="Y79" s="94" t="s">
        <v>268</v>
      </c>
      <c r="Z79" s="99" t="s">
        <v>269</v>
      </c>
      <c r="AA79" s="51">
        <f>AB79-AI79</f>
        <v>0</v>
      </c>
      <c r="AB79" s="317">
        <f>'[4]28'!AA20</f>
        <v>0</v>
      </c>
      <c r="AC79" s="51">
        <v>5201</v>
      </c>
      <c r="AD79" s="316">
        <v>14973</v>
      </c>
    </row>
    <row r="80" spans="1:30" ht="12.75" customHeight="1" x14ac:dyDescent="0.2">
      <c r="A80" s="24" t="s">
        <v>380</v>
      </c>
      <c r="B80" s="174">
        <v>41</v>
      </c>
      <c r="C80" s="61">
        <v>0</v>
      </c>
      <c r="D80" s="65">
        <v>0</v>
      </c>
      <c r="E80" s="15">
        <v>0</v>
      </c>
      <c r="F80" s="15">
        <v>-5688</v>
      </c>
      <c r="G80" s="17">
        <f t="shared" si="0"/>
        <v>5688</v>
      </c>
      <c r="H80" s="62" t="s">
        <v>270</v>
      </c>
      <c r="I80" s="99" t="s">
        <v>271</v>
      </c>
      <c r="J80" s="63">
        <v>0</v>
      </c>
      <c r="K80" s="63"/>
      <c r="L80" s="63"/>
      <c r="M80" s="63"/>
      <c r="Y80" s="62" t="s">
        <v>270</v>
      </c>
      <c r="Z80" s="99" t="s">
        <v>271</v>
      </c>
      <c r="AA80" s="51">
        <f>AB80-AI80</f>
        <v>0</v>
      </c>
      <c r="AB80" s="317"/>
      <c r="AC80" s="51">
        <v>0</v>
      </c>
      <c r="AD80" s="316"/>
    </row>
    <row r="81" spans="1:30" ht="12.75" customHeight="1" x14ac:dyDescent="0.2">
      <c r="A81" s="104" t="s">
        <v>272</v>
      </c>
      <c r="B81" s="108">
        <v>42</v>
      </c>
      <c r="C81" s="56">
        <v>245762</v>
      </c>
      <c r="D81" s="56">
        <v>2327688</v>
      </c>
      <c r="E81" s="56">
        <v>175181</v>
      </c>
      <c r="F81" s="56">
        <v>2000789</v>
      </c>
      <c r="G81" s="17">
        <f t="shared" ref="G81:G92" si="5">D81-F81</f>
        <v>326899</v>
      </c>
      <c r="H81" s="105" t="s">
        <v>272</v>
      </c>
      <c r="I81" s="109">
        <v>43</v>
      </c>
      <c r="J81" s="59">
        <v>197292</v>
      </c>
      <c r="K81" s="59">
        <v>1014086</v>
      </c>
      <c r="L81" s="59">
        <v>47348</v>
      </c>
      <c r="M81" s="59">
        <v>813422</v>
      </c>
      <c r="Y81" s="105" t="s">
        <v>272</v>
      </c>
      <c r="Z81" s="109">
        <v>43</v>
      </c>
      <c r="AA81" s="315" t="e">
        <f>AA56+AA57+AA62+AA64-AA63-AA65+AA66+AA74+AA80+AA70+AA71+#REF!-AA72</f>
        <v>#REF!</v>
      </c>
      <c r="AB81" s="315" t="e">
        <f>AB56+AB57+AB62+AB64-AB63-AB65+AB66+AB74+AB80+AB70+AB71+#REF!-AB72</f>
        <v>#REF!</v>
      </c>
      <c r="AC81" s="315">
        <v>601073</v>
      </c>
      <c r="AD81" s="315">
        <v>1122998</v>
      </c>
    </row>
    <row r="82" spans="1:30" ht="12.75" customHeight="1" x14ac:dyDescent="0.2">
      <c r="A82" s="104"/>
      <c r="B82" s="108"/>
      <c r="C82" s="56"/>
      <c r="D82" s="56"/>
      <c r="E82" s="56"/>
      <c r="F82" s="56"/>
      <c r="G82" s="17"/>
      <c r="H82" s="105"/>
      <c r="I82" s="109"/>
      <c r="J82" s="59"/>
      <c r="K82" s="59"/>
      <c r="L82" s="59"/>
      <c r="M82" s="59"/>
      <c r="Y82" s="105"/>
      <c r="Z82" s="109"/>
      <c r="AA82" s="315"/>
      <c r="AB82" s="315"/>
      <c r="AC82" s="315"/>
      <c r="AD82" s="315"/>
    </row>
    <row r="83" spans="1:30" ht="12.75" customHeight="1" x14ac:dyDescent="0.2">
      <c r="A83" s="24" t="s">
        <v>78</v>
      </c>
      <c r="B83" s="110">
        <v>43</v>
      </c>
      <c r="C83" s="61">
        <v>64953</v>
      </c>
      <c r="D83" s="65">
        <v>855731</v>
      </c>
      <c r="E83" s="65">
        <v>569225</v>
      </c>
      <c r="F83" s="65">
        <v>1672025</v>
      </c>
      <c r="G83" s="17">
        <f t="shared" si="5"/>
        <v>-816294</v>
      </c>
      <c r="H83" s="62" t="s">
        <v>78</v>
      </c>
      <c r="I83" s="111">
        <v>44</v>
      </c>
      <c r="J83" s="63">
        <v>-15013</v>
      </c>
      <c r="K83" s="63">
        <v>99279</v>
      </c>
      <c r="L83" s="63">
        <v>508166</v>
      </c>
      <c r="M83" s="63">
        <v>528262</v>
      </c>
      <c r="Y83" s="62" t="s">
        <v>78</v>
      </c>
      <c r="Z83" s="111">
        <v>44</v>
      </c>
      <c r="AA83" s="317" t="e">
        <f>AA49-AA81</f>
        <v>#REF!</v>
      </c>
      <c r="AB83" s="317" t="e">
        <f>AB49-AB81</f>
        <v>#REF!</v>
      </c>
      <c r="AC83" s="317">
        <v>-396366</v>
      </c>
      <c r="AD83" s="317">
        <v>-235562</v>
      </c>
    </row>
    <row r="84" spans="1:30" ht="12.75" customHeight="1" x14ac:dyDescent="0.2">
      <c r="A84" s="24" t="s">
        <v>273</v>
      </c>
      <c r="B84" s="110">
        <v>44</v>
      </c>
      <c r="C84" s="61">
        <v>0</v>
      </c>
      <c r="D84" s="65"/>
      <c r="E84" s="61">
        <v>0</v>
      </c>
      <c r="F84" s="65"/>
      <c r="G84" s="17">
        <f t="shared" si="5"/>
        <v>0</v>
      </c>
      <c r="H84" s="62" t="s">
        <v>273</v>
      </c>
      <c r="I84" s="111">
        <v>45</v>
      </c>
      <c r="J84" s="63">
        <v>0</v>
      </c>
      <c r="K84" s="63"/>
      <c r="L84" s="63"/>
      <c r="M84" s="63"/>
      <c r="Y84" s="62" t="s">
        <v>273</v>
      </c>
      <c r="Z84" s="111">
        <v>45</v>
      </c>
      <c r="AA84" s="51">
        <f>AB84-AI84</f>
        <v>0</v>
      </c>
      <c r="AB84" s="317"/>
      <c r="AC84" s="51">
        <v>0</v>
      </c>
      <c r="AD84" s="317"/>
    </row>
    <row r="85" spans="1:30" ht="12.75" customHeight="1" x14ac:dyDescent="0.2">
      <c r="A85" s="104" t="s">
        <v>381</v>
      </c>
      <c r="B85" s="110">
        <v>45</v>
      </c>
      <c r="C85" s="61">
        <v>64953</v>
      </c>
      <c r="D85" s="15">
        <v>855731</v>
      </c>
      <c r="E85" s="15">
        <v>569225</v>
      </c>
      <c r="F85" s="15">
        <v>1672025</v>
      </c>
      <c r="G85" s="17">
        <f t="shared" si="5"/>
        <v>-816294</v>
      </c>
      <c r="H85" s="105" t="s">
        <v>274</v>
      </c>
      <c r="I85" s="111">
        <v>46</v>
      </c>
      <c r="J85" s="63">
        <v>-15013</v>
      </c>
      <c r="K85" s="63">
        <v>99279</v>
      </c>
      <c r="L85" s="63">
        <v>508166</v>
      </c>
      <c r="M85" s="63">
        <v>528262</v>
      </c>
      <c r="Y85" s="105" t="s">
        <v>274</v>
      </c>
      <c r="Z85" s="111">
        <v>46</v>
      </c>
      <c r="AA85" s="51" t="e">
        <f>AA83</f>
        <v>#REF!</v>
      </c>
      <c r="AB85" s="51" t="e">
        <f>AB83</f>
        <v>#REF!</v>
      </c>
      <c r="AC85" s="51">
        <v>-396366</v>
      </c>
      <c r="AD85" s="51">
        <v>-235562</v>
      </c>
    </row>
    <row r="86" spans="1:30" ht="12.75" customHeight="1" x14ac:dyDescent="0.2">
      <c r="A86" s="104"/>
      <c r="B86" s="110"/>
      <c r="C86" s="61"/>
      <c r="D86" s="15"/>
      <c r="E86" s="15"/>
      <c r="F86" s="15"/>
      <c r="G86" s="17"/>
      <c r="H86" s="105"/>
      <c r="I86" s="111"/>
      <c r="J86" s="63"/>
      <c r="K86" s="63"/>
      <c r="L86" s="63"/>
      <c r="M86" s="63"/>
      <c r="Y86" s="105"/>
      <c r="Z86" s="111"/>
      <c r="AA86" s="51"/>
      <c r="AB86" s="51"/>
      <c r="AC86" s="51"/>
      <c r="AD86" s="51"/>
    </row>
    <row r="87" spans="1:30" s="98" customFormat="1" ht="12.75" customHeight="1" x14ac:dyDescent="0.2">
      <c r="A87" s="24" t="s">
        <v>275</v>
      </c>
      <c r="B87" s="110">
        <v>46</v>
      </c>
      <c r="C87" s="61">
        <v>4210</v>
      </c>
      <c r="D87" s="15">
        <v>39883</v>
      </c>
      <c r="E87" s="15">
        <v>1632</v>
      </c>
      <c r="F87" s="15">
        <v>6229</v>
      </c>
      <c r="G87" s="17">
        <f t="shared" si="5"/>
        <v>33654</v>
      </c>
      <c r="H87" s="62" t="s">
        <v>275</v>
      </c>
      <c r="I87" s="111">
        <v>47</v>
      </c>
      <c r="J87" s="63">
        <v>1466</v>
      </c>
      <c r="K87" s="63">
        <v>8134</v>
      </c>
      <c r="L87" s="63">
        <v>21619</v>
      </c>
      <c r="M87" s="63">
        <v>48912</v>
      </c>
      <c r="Y87" s="62" t="s">
        <v>275</v>
      </c>
      <c r="Z87" s="111">
        <v>47</v>
      </c>
      <c r="AA87" s="51">
        <f>AB87-AI87</f>
        <v>1104</v>
      </c>
      <c r="AB87" s="51">
        <f>AB89+AB90</f>
        <v>1104</v>
      </c>
      <c r="AC87" s="51">
        <v>1116</v>
      </c>
      <c r="AD87" s="51">
        <v>3443</v>
      </c>
    </row>
    <row r="88" spans="1:30" s="98" customFormat="1" ht="12.75" customHeight="1" x14ac:dyDescent="0.2">
      <c r="A88" s="24" t="s">
        <v>31</v>
      </c>
      <c r="B88" s="110"/>
      <c r="C88" s="15"/>
      <c r="D88" s="15"/>
      <c r="E88" s="15"/>
      <c r="F88" s="15"/>
      <c r="G88" s="17">
        <f t="shared" si="5"/>
        <v>0</v>
      </c>
      <c r="H88" s="62" t="s">
        <v>31</v>
      </c>
      <c r="I88" s="111"/>
      <c r="J88" s="63"/>
      <c r="K88" s="63"/>
      <c r="L88" s="63"/>
      <c r="M88" s="63"/>
      <c r="Y88" s="62" t="s">
        <v>31</v>
      </c>
      <c r="Z88" s="111"/>
      <c r="AA88" s="51"/>
      <c r="AB88" s="51"/>
      <c r="AC88" s="51"/>
      <c r="AD88" s="51"/>
    </row>
    <row r="89" spans="1:30" ht="12.75" customHeight="1" x14ac:dyDescent="0.2">
      <c r="A89" s="24" t="s">
        <v>276</v>
      </c>
      <c r="B89" s="110">
        <v>46.1</v>
      </c>
      <c r="C89" s="61">
        <v>0</v>
      </c>
      <c r="D89" s="65">
        <v>0</v>
      </c>
      <c r="E89" s="61">
        <v>0</v>
      </c>
      <c r="F89" s="65">
        <v>0</v>
      </c>
      <c r="G89" s="17">
        <f t="shared" si="5"/>
        <v>0</v>
      </c>
      <c r="H89" s="62" t="s">
        <v>276</v>
      </c>
      <c r="I89" s="111">
        <v>47.1</v>
      </c>
      <c r="J89" s="63">
        <v>-5747</v>
      </c>
      <c r="K89" s="63">
        <v>0</v>
      </c>
      <c r="L89" s="59">
        <v>20670</v>
      </c>
      <c r="M89" s="59">
        <v>40694</v>
      </c>
      <c r="Y89" s="62" t="s">
        <v>276</v>
      </c>
      <c r="Z89" s="111">
        <v>47.1</v>
      </c>
      <c r="AA89" s="51">
        <f>AB89-AI89</f>
        <v>0</v>
      </c>
      <c r="AB89" s="317">
        <v>0</v>
      </c>
      <c r="AC89" s="51">
        <v>0</v>
      </c>
      <c r="AD89" s="316">
        <v>0</v>
      </c>
    </row>
    <row r="90" spans="1:30" ht="12.75" customHeight="1" x14ac:dyDescent="0.2">
      <c r="A90" s="24" t="s">
        <v>382</v>
      </c>
      <c r="B90" s="110">
        <v>46.2</v>
      </c>
      <c r="C90" s="61">
        <v>4210</v>
      </c>
      <c r="D90" s="65">
        <v>39883</v>
      </c>
      <c r="E90" s="61">
        <v>1632</v>
      </c>
      <c r="F90" s="65">
        <v>6229</v>
      </c>
      <c r="G90" s="17">
        <f t="shared" si="5"/>
        <v>33654</v>
      </c>
      <c r="H90" s="62" t="s">
        <v>277</v>
      </c>
      <c r="I90" s="111">
        <v>47.2</v>
      </c>
      <c r="J90" s="63">
        <v>7213</v>
      </c>
      <c r="K90" s="63">
        <v>8134</v>
      </c>
      <c r="L90" s="59">
        <v>949</v>
      </c>
      <c r="M90" s="59">
        <v>8218</v>
      </c>
      <c r="Y90" s="62" t="s">
        <v>277</v>
      </c>
      <c r="Z90" s="111">
        <v>47.2</v>
      </c>
      <c r="AA90" s="51">
        <f>AB90-AI90</f>
        <v>1104</v>
      </c>
      <c r="AB90" s="317">
        <v>1104</v>
      </c>
      <c r="AC90" s="51">
        <v>1116</v>
      </c>
      <c r="AD90" s="316">
        <v>3443</v>
      </c>
    </row>
    <row r="91" spans="1:30" ht="12.75" customHeight="1" x14ac:dyDescent="0.2">
      <c r="A91" s="104" t="s">
        <v>383</v>
      </c>
      <c r="B91" s="112">
        <v>47</v>
      </c>
      <c r="C91" s="31">
        <v>60743</v>
      </c>
      <c r="D91" s="31">
        <v>815848</v>
      </c>
      <c r="E91" s="31">
        <v>567593</v>
      </c>
      <c r="F91" s="31">
        <v>1665796</v>
      </c>
      <c r="G91" s="17">
        <f>D91-F91</f>
        <v>-849948</v>
      </c>
      <c r="H91" s="105" t="s">
        <v>278</v>
      </c>
      <c r="I91" s="111">
        <v>48</v>
      </c>
      <c r="J91" s="59">
        <v>-16479</v>
      </c>
      <c r="K91" s="59">
        <v>91145</v>
      </c>
      <c r="L91" s="59">
        <v>486547</v>
      </c>
      <c r="M91" s="59">
        <v>479350</v>
      </c>
      <c r="S91" s="7">
        <f>D91/1500</f>
        <v>543.89866666666671</v>
      </c>
      <c r="T91" s="7">
        <f>F91/1500</f>
        <v>1110.5306666666668</v>
      </c>
      <c r="Y91" s="105" t="s">
        <v>278</v>
      </c>
      <c r="Z91" s="111">
        <v>48</v>
      </c>
      <c r="AA91" s="315" t="e">
        <f>AA85-AA87</f>
        <v>#REF!</v>
      </c>
      <c r="AB91" s="315" t="e">
        <f>AB85-AB87</f>
        <v>#REF!</v>
      </c>
      <c r="AC91" s="315">
        <v>-397482</v>
      </c>
      <c r="AD91" s="315">
        <v>-239005</v>
      </c>
    </row>
    <row r="92" spans="1:30" ht="12.75" customHeight="1" x14ac:dyDescent="0.2">
      <c r="A92" s="34"/>
      <c r="B92" s="10"/>
      <c r="C92" s="113"/>
      <c r="D92" s="13"/>
      <c r="E92" s="114"/>
      <c r="F92" s="114"/>
      <c r="G92" s="17">
        <f t="shared" si="5"/>
        <v>0</v>
      </c>
      <c r="H92" s="115"/>
      <c r="I92" s="43"/>
      <c r="J92" s="116"/>
      <c r="K92" s="117"/>
      <c r="L92" s="118"/>
      <c r="M92" s="118"/>
      <c r="S92" s="22"/>
    </row>
    <row r="93" spans="1:30" ht="12.75" customHeight="1" x14ac:dyDescent="0.2">
      <c r="A93" s="36"/>
      <c r="B93" s="10"/>
      <c r="C93" s="113"/>
      <c r="D93" s="13"/>
      <c r="E93" s="119"/>
      <c r="F93" s="119"/>
      <c r="G93" s="120"/>
      <c r="H93" s="121"/>
      <c r="I93" s="43"/>
      <c r="J93" s="116"/>
      <c r="K93" s="117"/>
      <c r="L93" s="122"/>
      <c r="M93" s="122"/>
    </row>
    <row r="94" spans="1:30" ht="12.75" customHeight="1" x14ac:dyDescent="0.2">
      <c r="A94" s="36"/>
      <c r="B94" s="10"/>
      <c r="C94" s="113"/>
      <c r="D94" s="119"/>
      <c r="E94" s="114"/>
      <c r="F94" s="114"/>
      <c r="G94" s="123"/>
      <c r="H94" s="121"/>
      <c r="I94" s="43"/>
      <c r="J94" s="116"/>
      <c r="K94" s="122"/>
      <c r="L94" s="118"/>
      <c r="M94" s="118"/>
    </row>
    <row r="95" spans="1:30" ht="12.75" customHeight="1" x14ac:dyDescent="0.2">
      <c r="A95" s="37"/>
      <c r="B95" s="40"/>
      <c r="C95" s="124"/>
      <c r="D95" s="114"/>
      <c r="E95" s="114"/>
      <c r="F95" s="114"/>
      <c r="G95" s="120"/>
      <c r="H95" s="125"/>
      <c r="I95" s="126"/>
      <c r="J95" s="127"/>
      <c r="K95" s="118"/>
      <c r="L95" s="118"/>
      <c r="M95" s="118"/>
    </row>
    <row r="96" spans="1:30" ht="12.75" customHeight="1" x14ac:dyDescent="0.2">
      <c r="A96" s="37"/>
      <c r="B96" s="40"/>
      <c r="C96" s="124"/>
      <c r="D96" s="114"/>
      <c r="E96" s="114"/>
      <c r="F96" s="114"/>
      <c r="G96" s="120"/>
      <c r="H96" s="125"/>
      <c r="I96" s="126"/>
      <c r="J96" s="127"/>
      <c r="K96" s="118"/>
      <c r="L96" s="118"/>
      <c r="M96" s="118"/>
    </row>
    <row r="97" spans="1:13" ht="12.75" customHeight="1" x14ac:dyDescent="0.2">
      <c r="A97" s="37"/>
      <c r="B97" s="37"/>
      <c r="C97" s="38"/>
      <c r="D97" s="128"/>
      <c r="E97" s="9"/>
      <c r="F97" s="9"/>
      <c r="G97" s="120"/>
      <c r="H97" s="125"/>
      <c r="I97" s="125"/>
      <c r="J97" s="129"/>
      <c r="K97" s="130"/>
      <c r="L97" s="131"/>
      <c r="M97" s="42"/>
    </row>
    <row r="98" spans="1:13" ht="12.75" customHeight="1" x14ac:dyDescent="0.2">
      <c r="A98" s="37"/>
      <c r="B98" s="37"/>
      <c r="C98" s="38"/>
      <c r="D98" s="132"/>
      <c r="E98" s="9"/>
      <c r="F98" s="9"/>
      <c r="G98" s="7"/>
      <c r="H98" s="125"/>
      <c r="I98" s="125"/>
      <c r="J98" s="129"/>
      <c r="K98" s="133"/>
      <c r="L98" s="131"/>
      <c r="M98" s="42"/>
    </row>
    <row r="99" spans="1:13" ht="12.75" customHeight="1" x14ac:dyDescent="0.2">
      <c r="A99" s="37"/>
      <c r="B99" s="37"/>
      <c r="C99" s="39"/>
      <c r="D99" s="35"/>
      <c r="E99" s="134"/>
      <c r="F99" s="7"/>
      <c r="G99" s="7"/>
      <c r="H99" s="125"/>
      <c r="I99" s="125"/>
      <c r="J99" s="135"/>
      <c r="K99" s="136"/>
      <c r="L99" s="131"/>
      <c r="M99" s="42"/>
    </row>
    <row r="100" spans="1:13" ht="12.75" customHeight="1" x14ac:dyDescent="0.2">
      <c r="A100" s="37"/>
      <c r="B100" s="40"/>
      <c r="C100" s="40"/>
      <c r="D100" s="39"/>
      <c r="G100" s="7"/>
      <c r="H100" s="125"/>
      <c r="I100" s="126"/>
      <c r="J100" s="126"/>
      <c r="K100" s="135"/>
    </row>
    <row r="101" spans="1:13" ht="12.75" customHeight="1" x14ac:dyDescent="0.2">
      <c r="A101" s="37"/>
      <c r="B101" s="40"/>
      <c r="C101" s="40"/>
      <c r="D101" s="39"/>
      <c r="H101" s="125"/>
      <c r="I101" s="126"/>
      <c r="J101" s="126"/>
      <c r="K101" s="135"/>
    </row>
    <row r="102" spans="1:13" ht="12.75" customHeight="1" x14ac:dyDescent="0.2">
      <c r="A102" s="37"/>
      <c r="B102" s="40"/>
      <c r="C102" s="40"/>
      <c r="D102" s="39"/>
      <c r="H102" s="125"/>
      <c r="I102" s="126"/>
      <c r="J102" s="126"/>
      <c r="K102" s="135"/>
    </row>
    <row r="103" spans="1:13" ht="12.75" customHeight="1" x14ac:dyDescent="0.2">
      <c r="A103" s="37"/>
      <c r="B103" s="40"/>
      <c r="C103" s="40"/>
      <c r="D103" s="40"/>
      <c r="H103" s="125"/>
      <c r="I103" s="126"/>
      <c r="J103" s="126"/>
      <c r="K103" s="126"/>
    </row>
    <row r="104" spans="1:13" ht="12.75" customHeight="1" x14ac:dyDescent="0.2">
      <c r="A104" s="37"/>
      <c r="B104" s="40"/>
      <c r="C104" s="40"/>
      <c r="D104" s="40"/>
      <c r="H104" s="125"/>
      <c r="I104" s="126"/>
      <c r="J104" s="126"/>
      <c r="K104" s="126"/>
    </row>
    <row r="105" spans="1:13" ht="12.75" customHeight="1" x14ac:dyDescent="0.2">
      <c r="A105" s="37"/>
      <c r="B105" s="40"/>
      <c r="C105" s="40"/>
      <c r="D105" s="40"/>
      <c r="H105" s="125"/>
      <c r="I105" s="126"/>
      <c r="J105" s="126"/>
      <c r="K105" s="126"/>
    </row>
    <row r="106" spans="1:13" ht="12.75" customHeight="1" x14ac:dyDescent="0.2">
      <c r="A106" s="37"/>
      <c r="B106" s="40"/>
      <c r="C106" s="40"/>
      <c r="D106" s="40"/>
      <c r="H106" s="125"/>
      <c r="I106" s="126"/>
      <c r="J106" s="126"/>
      <c r="K106" s="126"/>
    </row>
    <row r="107" spans="1:13" ht="12.75" customHeight="1" x14ac:dyDescent="0.2">
      <c r="B107" s="10"/>
      <c r="I107" s="43"/>
    </row>
    <row r="108" spans="1:13" ht="12.75" customHeight="1" x14ac:dyDescent="0.2">
      <c r="B108" s="10"/>
      <c r="I108" s="43"/>
    </row>
    <row r="109" spans="1:13" ht="12.75" customHeight="1" x14ac:dyDescent="0.2">
      <c r="B109" s="10"/>
      <c r="I109" s="43"/>
    </row>
    <row r="110" spans="1:13" ht="12.75" customHeight="1" x14ac:dyDescent="0.2">
      <c r="B110" s="10"/>
      <c r="I110" s="43"/>
    </row>
    <row r="111" spans="1:13" ht="12.75" customHeight="1" x14ac:dyDescent="0.2">
      <c r="B111" s="10"/>
      <c r="I111" s="43"/>
    </row>
    <row r="112" spans="1:13" ht="12.75" customHeight="1" x14ac:dyDescent="0.2">
      <c r="B112" s="10"/>
      <c r="I112" s="43"/>
    </row>
    <row r="113" spans="2:9" ht="12.75" customHeight="1" x14ac:dyDescent="0.2">
      <c r="B113" s="10"/>
      <c r="I113" s="43"/>
    </row>
    <row r="114" spans="2:9" ht="12.75" customHeight="1" x14ac:dyDescent="0.2">
      <c r="B114" s="10"/>
      <c r="I114" s="43"/>
    </row>
    <row r="115" spans="2:9" ht="12.75" customHeight="1" x14ac:dyDescent="0.2">
      <c r="B115" s="10"/>
      <c r="I115" s="43"/>
    </row>
    <row r="116" spans="2:9" ht="12.75" customHeight="1" x14ac:dyDescent="0.2">
      <c r="B116" s="10"/>
      <c r="I116" s="43"/>
    </row>
    <row r="117" spans="2:9" ht="12.75" customHeight="1" x14ac:dyDescent="0.2">
      <c r="B117" s="10"/>
      <c r="I117" s="43"/>
    </row>
    <row r="118" spans="2:9" ht="12.75" customHeight="1" x14ac:dyDescent="0.2">
      <c r="B118" s="10"/>
      <c r="I118" s="43"/>
    </row>
    <row r="119" spans="2:9" ht="12.75" customHeight="1" x14ac:dyDescent="0.2">
      <c r="B119" s="10"/>
      <c r="I119" s="43"/>
    </row>
    <row r="120" spans="2:9" ht="12.75" customHeight="1" x14ac:dyDescent="0.2">
      <c r="B120" s="10"/>
      <c r="I120" s="43"/>
    </row>
    <row r="121" spans="2:9" ht="12.75" customHeight="1" x14ac:dyDescent="0.2">
      <c r="B121" s="10"/>
      <c r="I121" s="43"/>
    </row>
    <row r="122" spans="2:9" ht="12.75" customHeight="1" x14ac:dyDescent="0.2">
      <c r="B122" s="10"/>
      <c r="I122" s="43"/>
    </row>
    <row r="123" spans="2:9" ht="12.75" customHeight="1" x14ac:dyDescent="0.2">
      <c r="B123" s="10"/>
      <c r="I123" s="43"/>
    </row>
    <row r="124" spans="2:9" ht="12.75" customHeight="1" x14ac:dyDescent="0.2">
      <c r="B124" s="10"/>
      <c r="I124" s="43"/>
    </row>
    <row r="125" spans="2:9" ht="12.75" customHeight="1" x14ac:dyDescent="0.2">
      <c r="B125" s="10"/>
      <c r="I125" s="43"/>
    </row>
    <row r="126" spans="2:9" ht="12.75" customHeight="1" x14ac:dyDescent="0.2">
      <c r="B126" s="10"/>
      <c r="I126" s="43"/>
    </row>
    <row r="127" spans="2:9" ht="12.75" customHeight="1" x14ac:dyDescent="0.2">
      <c r="B127" s="10"/>
      <c r="I127" s="43"/>
    </row>
    <row r="128" spans="2:9" ht="12.75" customHeight="1" x14ac:dyDescent="0.2">
      <c r="B128" s="10"/>
      <c r="I128" s="43"/>
    </row>
    <row r="129" spans="2:9" ht="12.75" customHeight="1" x14ac:dyDescent="0.2">
      <c r="B129" s="10"/>
      <c r="I129" s="43"/>
    </row>
    <row r="130" spans="2:9" ht="12.75" customHeight="1" x14ac:dyDescent="0.2">
      <c r="B130" s="10"/>
      <c r="I130" s="43"/>
    </row>
    <row r="131" spans="2:9" ht="12.75" customHeight="1" x14ac:dyDescent="0.2">
      <c r="B131" s="10"/>
      <c r="I131" s="43"/>
    </row>
    <row r="132" spans="2:9" ht="12.75" customHeight="1" x14ac:dyDescent="0.2">
      <c r="B132" s="10"/>
      <c r="I132" s="43"/>
    </row>
    <row r="133" spans="2:9" ht="12.75" customHeight="1" x14ac:dyDescent="0.2">
      <c r="B133" s="10"/>
      <c r="I133" s="43"/>
    </row>
    <row r="134" spans="2:9" ht="12.75" customHeight="1" x14ac:dyDescent="0.2">
      <c r="B134" s="10"/>
      <c r="I134" s="43"/>
    </row>
    <row r="135" spans="2:9" ht="12.75" customHeight="1" x14ac:dyDescent="0.2">
      <c r="B135" s="10"/>
      <c r="I135" s="43"/>
    </row>
    <row r="136" spans="2:9" ht="12.75" customHeight="1" x14ac:dyDescent="0.2">
      <c r="B136" s="10"/>
      <c r="I136" s="43"/>
    </row>
    <row r="137" spans="2:9" ht="12.75" customHeight="1" x14ac:dyDescent="0.2">
      <c r="B137" s="10"/>
      <c r="I137" s="43"/>
    </row>
    <row r="138" spans="2:9" ht="12.75" customHeight="1" x14ac:dyDescent="0.2">
      <c r="B138" s="10"/>
      <c r="I138" s="43"/>
    </row>
    <row r="139" spans="2:9" ht="12.75" customHeight="1" x14ac:dyDescent="0.2">
      <c r="B139" s="10"/>
      <c r="I139" s="43"/>
    </row>
    <row r="140" spans="2:9" ht="12.75" customHeight="1" x14ac:dyDescent="0.2">
      <c r="B140" s="10"/>
      <c r="I140" s="43"/>
    </row>
    <row r="141" spans="2:9" ht="12.75" customHeight="1" x14ac:dyDescent="0.2">
      <c r="B141" s="10"/>
      <c r="I141" s="43"/>
    </row>
    <row r="142" spans="2:9" ht="12.75" customHeight="1" x14ac:dyDescent="0.2">
      <c r="B142" s="10"/>
      <c r="I142" s="43"/>
    </row>
    <row r="143" spans="2:9" ht="12.75" customHeight="1" x14ac:dyDescent="0.2">
      <c r="B143" s="10"/>
      <c r="I143" s="43"/>
    </row>
    <row r="144" spans="2:9" ht="12.75" customHeight="1" x14ac:dyDescent="0.2">
      <c r="B144" s="10"/>
      <c r="I144" s="43"/>
    </row>
    <row r="145" spans="2:9" ht="12.75" customHeight="1" x14ac:dyDescent="0.2">
      <c r="B145" s="10"/>
      <c r="I145" s="43"/>
    </row>
    <row r="146" spans="2:9" ht="12.75" customHeight="1" x14ac:dyDescent="0.2">
      <c r="B146" s="10"/>
      <c r="I146" s="43"/>
    </row>
    <row r="147" spans="2:9" ht="12.75" customHeight="1" x14ac:dyDescent="0.2">
      <c r="B147" s="10"/>
      <c r="I147" s="43"/>
    </row>
    <row r="148" spans="2:9" ht="12.75" customHeight="1" x14ac:dyDescent="0.2">
      <c r="B148" s="10"/>
      <c r="I148" s="43"/>
    </row>
    <row r="149" spans="2:9" ht="12.75" customHeight="1" x14ac:dyDescent="0.2">
      <c r="B149" s="10"/>
      <c r="I149" s="43"/>
    </row>
    <row r="150" spans="2:9" ht="12.75" customHeight="1" x14ac:dyDescent="0.2">
      <c r="B150" s="10"/>
      <c r="I150" s="43"/>
    </row>
    <row r="151" spans="2:9" ht="12.75" customHeight="1" x14ac:dyDescent="0.2">
      <c r="B151" s="10"/>
      <c r="I151" s="43"/>
    </row>
    <row r="152" spans="2:9" ht="12.75" customHeight="1" x14ac:dyDescent="0.2">
      <c r="B152" s="10"/>
      <c r="I152" s="43"/>
    </row>
    <row r="153" spans="2:9" ht="12.75" customHeight="1" x14ac:dyDescent="0.2">
      <c r="B153" s="10"/>
      <c r="I153" s="43"/>
    </row>
    <row r="154" spans="2:9" ht="12.75" customHeight="1" x14ac:dyDescent="0.2">
      <c r="B154" s="10"/>
      <c r="I154" s="43"/>
    </row>
    <row r="155" spans="2:9" ht="12.75" customHeight="1" x14ac:dyDescent="0.2">
      <c r="B155" s="10"/>
      <c r="I155" s="43"/>
    </row>
    <row r="156" spans="2:9" ht="12.75" customHeight="1" x14ac:dyDescent="0.2">
      <c r="B156" s="10"/>
      <c r="I156" s="43"/>
    </row>
    <row r="157" spans="2:9" ht="12.75" customHeight="1" x14ac:dyDescent="0.2">
      <c r="B157" s="10"/>
      <c r="I157" s="43"/>
    </row>
    <row r="158" spans="2:9" ht="12.75" customHeight="1" x14ac:dyDescent="0.2">
      <c r="B158" s="10"/>
      <c r="I158" s="43"/>
    </row>
    <row r="159" spans="2:9" ht="12.75" customHeight="1" x14ac:dyDescent="0.2">
      <c r="B159" s="10"/>
      <c r="I159" s="43"/>
    </row>
    <row r="160" spans="2:9" ht="12.75" customHeight="1" x14ac:dyDescent="0.2">
      <c r="B160" s="10"/>
      <c r="I160" s="43"/>
    </row>
    <row r="161" spans="2:9" ht="12.75" customHeight="1" x14ac:dyDescent="0.2">
      <c r="B161" s="10"/>
      <c r="I161" s="43"/>
    </row>
    <row r="162" spans="2:9" ht="12.75" customHeight="1" x14ac:dyDescent="0.2">
      <c r="B162" s="10"/>
      <c r="I162" s="43"/>
    </row>
    <row r="163" spans="2:9" ht="12.75" customHeight="1" x14ac:dyDescent="0.2">
      <c r="B163" s="10"/>
      <c r="I163" s="43"/>
    </row>
    <row r="164" spans="2:9" ht="12.75" customHeight="1" x14ac:dyDescent="0.2">
      <c r="B164" s="10"/>
      <c r="I164" s="43"/>
    </row>
    <row r="165" spans="2:9" ht="12.75" customHeight="1" x14ac:dyDescent="0.2">
      <c r="B165" s="10"/>
      <c r="I165" s="43"/>
    </row>
    <row r="166" spans="2:9" ht="12.75" customHeight="1" x14ac:dyDescent="0.2">
      <c r="B166" s="10"/>
      <c r="I166" s="43"/>
    </row>
    <row r="167" spans="2:9" ht="12.75" customHeight="1" x14ac:dyDescent="0.2">
      <c r="B167" s="10"/>
      <c r="I167" s="43"/>
    </row>
    <row r="168" spans="2:9" ht="12.75" customHeight="1" x14ac:dyDescent="0.2">
      <c r="B168" s="10"/>
      <c r="I168" s="43"/>
    </row>
    <row r="169" spans="2:9" ht="12.75" customHeight="1" x14ac:dyDescent="0.2">
      <c r="B169" s="10"/>
      <c r="I169" s="43"/>
    </row>
    <row r="170" spans="2:9" ht="12.75" customHeight="1" x14ac:dyDescent="0.2">
      <c r="B170" s="10"/>
      <c r="I170" s="43"/>
    </row>
    <row r="171" spans="2:9" ht="12.75" customHeight="1" x14ac:dyDescent="0.2">
      <c r="B171" s="10"/>
      <c r="I171" s="43"/>
    </row>
    <row r="172" spans="2:9" ht="12.75" customHeight="1" x14ac:dyDescent="0.2">
      <c r="B172" s="10"/>
      <c r="I172" s="43"/>
    </row>
    <row r="173" spans="2:9" ht="12.75" customHeight="1" x14ac:dyDescent="0.2">
      <c r="B173" s="10"/>
      <c r="I173" s="43"/>
    </row>
    <row r="174" spans="2:9" ht="12.75" customHeight="1" x14ac:dyDescent="0.2">
      <c r="B174" s="10"/>
      <c r="I174" s="43"/>
    </row>
    <row r="175" spans="2:9" ht="12.75" customHeight="1" x14ac:dyDescent="0.2">
      <c r="B175" s="10"/>
      <c r="I175" s="43"/>
    </row>
    <row r="176" spans="2:9" ht="12.75" customHeight="1" x14ac:dyDescent="0.2">
      <c r="B176" s="10"/>
      <c r="I176" s="43"/>
    </row>
    <row r="177" spans="2:9" ht="12.75" customHeight="1" x14ac:dyDescent="0.2">
      <c r="B177" s="10"/>
      <c r="I177" s="43"/>
    </row>
    <row r="178" spans="2:9" ht="12.75" customHeight="1" x14ac:dyDescent="0.2">
      <c r="B178" s="10"/>
      <c r="I178" s="43"/>
    </row>
    <row r="179" spans="2:9" ht="12.75" customHeight="1" x14ac:dyDescent="0.2">
      <c r="B179" s="10"/>
      <c r="I179" s="43"/>
    </row>
    <row r="180" spans="2:9" ht="12.75" customHeight="1" x14ac:dyDescent="0.2">
      <c r="B180" s="10"/>
      <c r="I180" s="43"/>
    </row>
    <row r="181" spans="2:9" ht="12.75" customHeight="1" x14ac:dyDescent="0.2">
      <c r="B181" s="10"/>
      <c r="I181" s="43"/>
    </row>
    <row r="182" spans="2:9" ht="12.75" customHeight="1" x14ac:dyDescent="0.2">
      <c r="B182" s="10"/>
      <c r="I182" s="43"/>
    </row>
    <row r="183" spans="2:9" ht="12.75" customHeight="1" x14ac:dyDescent="0.2">
      <c r="B183" s="10"/>
      <c r="I183" s="43"/>
    </row>
    <row r="184" spans="2:9" ht="12.75" customHeight="1" x14ac:dyDescent="0.2">
      <c r="B184" s="10"/>
      <c r="I184" s="43"/>
    </row>
    <row r="185" spans="2:9" ht="12.75" customHeight="1" x14ac:dyDescent="0.2">
      <c r="B185" s="10"/>
      <c r="I185" s="43"/>
    </row>
    <row r="186" spans="2:9" ht="12.75" customHeight="1" x14ac:dyDescent="0.2">
      <c r="B186" s="10"/>
      <c r="I186" s="43"/>
    </row>
    <row r="187" spans="2:9" ht="12.75" customHeight="1" x14ac:dyDescent="0.2">
      <c r="B187" s="10"/>
      <c r="I187" s="43"/>
    </row>
    <row r="188" spans="2:9" ht="12.75" customHeight="1" x14ac:dyDescent="0.2">
      <c r="B188" s="10"/>
      <c r="I188" s="43"/>
    </row>
    <row r="189" spans="2:9" ht="12.75" customHeight="1" x14ac:dyDescent="0.2">
      <c r="B189" s="10"/>
      <c r="I189" s="43"/>
    </row>
    <row r="190" spans="2:9" ht="12.75" customHeight="1" x14ac:dyDescent="0.2">
      <c r="B190" s="10"/>
      <c r="I190" s="43"/>
    </row>
    <row r="191" spans="2:9" ht="12.75" customHeight="1" x14ac:dyDescent="0.2">
      <c r="B191" s="10"/>
      <c r="I191" s="43"/>
    </row>
    <row r="192" spans="2:9" ht="12.75" customHeight="1" x14ac:dyDescent="0.2">
      <c r="B192" s="10"/>
      <c r="I192" s="43"/>
    </row>
    <row r="193" spans="2:9" ht="12.75" customHeight="1" x14ac:dyDescent="0.2">
      <c r="B193" s="10"/>
      <c r="I193" s="43"/>
    </row>
    <row r="194" spans="2:9" ht="12.75" customHeight="1" x14ac:dyDescent="0.2">
      <c r="B194" s="10"/>
      <c r="I194" s="43"/>
    </row>
    <row r="195" spans="2:9" ht="12.75" customHeight="1" x14ac:dyDescent="0.2">
      <c r="B195" s="10"/>
      <c r="I195" s="43"/>
    </row>
    <row r="196" spans="2:9" ht="12.75" customHeight="1" x14ac:dyDescent="0.2">
      <c r="B196" s="10"/>
      <c r="I196" s="43"/>
    </row>
    <row r="197" spans="2:9" ht="12.75" customHeight="1" x14ac:dyDescent="0.2">
      <c r="B197" s="10"/>
      <c r="I197" s="43"/>
    </row>
    <row r="198" spans="2:9" ht="12.75" customHeight="1" x14ac:dyDescent="0.2">
      <c r="B198" s="10"/>
      <c r="I198" s="43"/>
    </row>
    <row r="199" spans="2:9" ht="12.75" customHeight="1" x14ac:dyDescent="0.2">
      <c r="B199" s="10"/>
      <c r="I199" s="43"/>
    </row>
    <row r="200" spans="2:9" ht="12.75" customHeight="1" x14ac:dyDescent="0.2">
      <c r="B200" s="10"/>
      <c r="I200" s="43"/>
    </row>
    <row r="201" spans="2:9" ht="12.75" customHeight="1" x14ac:dyDescent="0.2">
      <c r="B201" s="10"/>
      <c r="I201" s="43"/>
    </row>
    <row r="202" spans="2:9" ht="12.75" customHeight="1" x14ac:dyDescent="0.2">
      <c r="B202" s="10"/>
      <c r="I202" s="43"/>
    </row>
    <row r="203" spans="2:9" ht="12.75" customHeight="1" x14ac:dyDescent="0.2">
      <c r="B203" s="10"/>
      <c r="I203" s="43"/>
    </row>
    <row r="204" spans="2:9" ht="12.75" customHeight="1" x14ac:dyDescent="0.2">
      <c r="B204" s="10"/>
      <c r="I204" s="43"/>
    </row>
    <row r="205" spans="2:9" ht="12.75" customHeight="1" x14ac:dyDescent="0.2">
      <c r="B205" s="10"/>
      <c r="I205" s="43"/>
    </row>
    <row r="206" spans="2:9" ht="12.75" customHeight="1" x14ac:dyDescent="0.2">
      <c r="B206" s="10"/>
      <c r="I206" s="43"/>
    </row>
    <row r="207" spans="2:9" ht="12.75" customHeight="1" x14ac:dyDescent="0.2">
      <c r="B207" s="10"/>
      <c r="I207" s="43"/>
    </row>
    <row r="208" spans="2:9" ht="12.75" customHeight="1" x14ac:dyDescent="0.2">
      <c r="B208" s="10"/>
      <c r="I208" s="43"/>
    </row>
    <row r="209" spans="2:9" ht="12.75" customHeight="1" x14ac:dyDescent="0.2">
      <c r="B209" s="10"/>
      <c r="I209" s="43"/>
    </row>
    <row r="210" spans="2:9" ht="12.75" customHeight="1" x14ac:dyDescent="0.2">
      <c r="B210" s="10"/>
      <c r="I210" s="43"/>
    </row>
    <row r="211" spans="2:9" ht="12.75" customHeight="1" x14ac:dyDescent="0.2">
      <c r="B211" s="10"/>
      <c r="I211" s="43"/>
    </row>
    <row r="212" spans="2:9" ht="12.75" customHeight="1" x14ac:dyDescent="0.2">
      <c r="B212" s="10"/>
      <c r="I212" s="43"/>
    </row>
    <row r="213" spans="2:9" ht="12.75" customHeight="1" x14ac:dyDescent="0.2">
      <c r="B213" s="10"/>
      <c r="I213" s="43"/>
    </row>
    <row r="214" spans="2:9" ht="12.75" customHeight="1" x14ac:dyDescent="0.2">
      <c r="B214" s="10"/>
      <c r="I214" s="43"/>
    </row>
    <row r="215" spans="2:9" ht="12.75" customHeight="1" x14ac:dyDescent="0.2">
      <c r="B215" s="10"/>
      <c r="I215" s="43"/>
    </row>
    <row r="216" spans="2:9" ht="12.75" customHeight="1" x14ac:dyDescent="0.2">
      <c r="B216" s="10"/>
      <c r="I216" s="43"/>
    </row>
    <row r="217" spans="2:9" ht="12.75" customHeight="1" x14ac:dyDescent="0.2">
      <c r="B217" s="10"/>
      <c r="I217" s="43"/>
    </row>
    <row r="218" spans="2:9" ht="12.75" customHeight="1" x14ac:dyDescent="0.2">
      <c r="B218" s="10"/>
      <c r="I218" s="43"/>
    </row>
    <row r="219" spans="2:9" ht="12.75" customHeight="1" x14ac:dyDescent="0.2">
      <c r="B219" s="10"/>
      <c r="I219" s="43"/>
    </row>
    <row r="220" spans="2:9" ht="12.75" customHeight="1" x14ac:dyDescent="0.2">
      <c r="B220" s="10"/>
      <c r="I220" s="43"/>
    </row>
    <row r="221" spans="2:9" ht="12.75" customHeight="1" x14ac:dyDescent="0.2">
      <c r="B221" s="10"/>
      <c r="I221" s="43"/>
    </row>
    <row r="222" spans="2:9" ht="12.75" customHeight="1" x14ac:dyDescent="0.2">
      <c r="B222" s="10"/>
      <c r="I222" s="43"/>
    </row>
    <row r="223" spans="2:9" ht="12.75" customHeight="1" x14ac:dyDescent="0.2">
      <c r="B223" s="10"/>
      <c r="I223" s="43"/>
    </row>
    <row r="224" spans="2:9" ht="12.75" customHeight="1" x14ac:dyDescent="0.2">
      <c r="B224" s="10"/>
      <c r="I224" s="43"/>
    </row>
    <row r="225" spans="2:9" ht="12.75" customHeight="1" x14ac:dyDescent="0.2">
      <c r="B225" s="10"/>
      <c r="I225" s="43"/>
    </row>
    <row r="226" spans="2:9" ht="12.75" customHeight="1" x14ac:dyDescent="0.2">
      <c r="B226" s="10"/>
      <c r="I226" s="43"/>
    </row>
    <row r="227" spans="2:9" ht="12.75" customHeight="1" x14ac:dyDescent="0.2">
      <c r="B227" s="10"/>
      <c r="I227" s="43"/>
    </row>
    <row r="228" spans="2:9" ht="12.75" customHeight="1" x14ac:dyDescent="0.2">
      <c r="B228" s="10"/>
      <c r="I228" s="43"/>
    </row>
    <row r="229" spans="2:9" ht="12.75" customHeight="1" x14ac:dyDescent="0.2">
      <c r="B229" s="10"/>
      <c r="I229" s="43"/>
    </row>
    <row r="230" spans="2:9" ht="12.75" customHeight="1" x14ac:dyDescent="0.2">
      <c r="B230" s="10"/>
      <c r="I230" s="43"/>
    </row>
    <row r="231" spans="2:9" ht="12.75" customHeight="1" x14ac:dyDescent="0.2">
      <c r="B231" s="10"/>
      <c r="I231" s="43"/>
    </row>
    <row r="232" spans="2:9" ht="12.75" customHeight="1" x14ac:dyDescent="0.2">
      <c r="B232" s="10"/>
      <c r="I232" s="43"/>
    </row>
    <row r="233" spans="2:9" ht="12.75" customHeight="1" x14ac:dyDescent="0.2">
      <c r="B233" s="10"/>
      <c r="I233" s="43"/>
    </row>
    <row r="234" spans="2:9" ht="12.75" customHeight="1" x14ac:dyDescent="0.2">
      <c r="B234" s="10"/>
      <c r="I234" s="43"/>
    </row>
    <row r="235" spans="2:9" ht="12.75" customHeight="1" x14ac:dyDescent="0.2">
      <c r="B235" s="10"/>
      <c r="I235" s="43"/>
    </row>
    <row r="236" spans="2:9" ht="12.75" customHeight="1" x14ac:dyDescent="0.2">
      <c r="B236" s="10"/>
      <c r="I236" s="43"/>
    </row>
    <row r="237" spans="2:9" ht="12.75" customHeight="1" x14ac:dyDescent="0.2">
      <c r="B237" s="10"/>
      <c r="I237" s="43"/>
    </row>
    <row r="238" spans="2:9" ht="12.75" customHeight="1" x14ac:dyDescent="0.2">
      <c r="B238" s="10"/>
      <c r="I238" s="43"/>
    </row>
    <row r="239" spans="2:9" ht="12.75" customHeight="1" x14ac:dyDescent="0.2">
      <c r="B239" s="10"/>
      <c r="I239" s="43"/>
    </row>
    <row r="240" spans="2:9" ht="12.75" customHeight="1" x14ac:dyDescent="0.2">
      <c r="B240" s="10"/>
      <c r="I240" s="43"/>
    </row>
    <row r="241" spans="2:9" ht="12.75" customHeight="1" x14ac:dyDescent="0.2">
      <c r="B241" s="10"/>
      <c r="I241" s="43"/>
    </row>
    <row r="242" spans="2:9" ht="12.75" customHeight="1" x14ac:dyDescent="0.2">
      <c r="B242" s="10"/>
      <c r="I242" s="43"/>
    </row>
    <row r="243" spans="2:9" ht="12.75" customHeight="1" x14ac:dyDescent="0.2">
      <c r="B243" s="10"/>
      <c r="I243" s="43"/>
    </row>
    <row r="244" spans="2:9" ht="12.75" customHeight="1" x14ac:dyDescent="0.2">
      <c r="B244" s="10"/>
      <c r="I244" s="43"/>
    </row>
    <row r="245" spans="2:9" ht="12.75" customHeight="1" x14ac:dyDescent="0.2">
      <c r="B245" s="10"/>
      <c r="I245" s="43"/>
    </row>
    <row r="246" spans="2:9" ht="12.75" customHeight="1" x14ac:dyDescent="0.2">
      <c r="B246" s="10"/>
      <c r="I246" s="43"/>
    </row>
    <row r="247" spans="2:9" ht="12.75" customHeight="1" x14ac:dyDescent="0.2">
      <c r="B247" s="10"/>
      <c r="I247" s="43"/>
    </row>
    <row r="248" spans="2:9" ht="12.75" customHeight="1" x14ac:dyDescent="0.2">
      <c r="B248" s="10"/>
      <c r="I248" s="43"/>
    </row>
    <row r="249" spans="2:9" ht="12.75" customHeight="1" x14ac:dyDescent="0.2">
      <c r="B249" s="10"/>
      <c r="I249" s="43"/>
    </row>
    <row r="250" spans="2:9" ht="12.75" customHeight="1" x14ac:dyDescent="0.2">
      <c r="B250" s="10"/>
      <c r="I250" s="43"/>
    </row>
    <row r="251" spans="2:9" ht="12.75" customHeight="1" x14ac:dyDescent="0.2">
      <c r="B251" s="10"/>
      <c r="I251" s="43"/>
    </row>
    <row r="252" spans="2:9" ht="12.75" customHeight="1" x14ac:dyDescent="0.2">
      <c r="B252" s="10"/>
      <c r="I252" s="43"/>
    </row>
    <row r="253" spans="2:9" ht="12.75" customHeight="1" x14ac:dyDescent="0.2">
      <c r="B253" s="10"/>
      <c r="I253" s="43"/>
    </row>
    <row r="254" spans="2:9" ht="12.75" customHeight="1" x14ac:dyDescent="0.2">
      <c r="B254" s="10"/>
      <c r="I254" s="43"/>
    </row>
    <row r="255" spans="2:9" ht="12.75" customHeight="1" x14ac:dyDescent="0.2">
      <c r="B255" s="10"/>
      <c r="I255" s="43"/>
    </row>
    <row r="256" spans="2:9" ht="12.75" customHeight="1" x14ac:dyDescent="0.2">
      <c r="B256" s="10"/>
      <c r="I256" s="43"/>
    </row>
    <row r="257" spans="2:9" ht="12.75" customHeight="1" x14ac:dyDescent="0.2">
      <c r="B257" s="10"/>
      <c r="I257" s="43"/>
    </row>
    <row r="258" spans="2:9" ht="12.75" customHeight="1" x14ac:dyDescent="0.2">
      <c r="B258" s="10"/>
      <c r="I258" s="43"/>
    </row>
    <row r="259" spans="2:9" ht="12.75" customHeight="1" x14ac:dyDescent="0.2">
      <c r="B259" s="10"/>
      <c r="I259" s="43"/>
    </row>
    <row r="260" spans="2:9" ht="12.75" customHeight="1" x14ac:dyDescent="0.2">
      <c r="B260" s="10"/>
      <c r="I260" s="43"/>
    </row>
  </sheetData>
  <mergeCells count="6">
    <mergeCell ref="A3:F3"/>
    <mergeCell ref="H3:M3"/>
    <mergeCell ref="A4:F4"/>
    <mergeCell ref="H4:M4"/>
    <mergeCell ref="A5:F5"/>
    <mergeCell ref="H5:M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55" zoomScale="115" zoomScaleNormal="115" workbookViewId="0">
      <selection activeCell="C9" sqref="C9:D63"/>
    </sheetView>
  </sheetViews>
  <sheetFormatPr defaultRowHeight="12.75" x14ac:dyDescent="0.2"/>
  <cols>
    <col min="1" max="1" width="73" style="37" customWidth="1"/>
    <col min="2" max="2" width="13.85546875" style="37" customWidth="1"/>
    <col min="3" max="3" width="18" style="40" customWidth="1"/>
    <col min="4" max="4" width="21" style="40" bestFit="1" customWidth="1"/>
    <col min="5" max="5" width="9.140625" customWidth="1"/>
    <col min="6" max="6" width="9.7109375" bestFit="1" customWidth="1"/>
  </cols>
  <sheetData>
    <row r="1" spans="1:4" x14ac:dyDescent="0.2">
      <c r="A1" s="137"/>
      <c r="B1" s="137"/>
      <c r="C1" s="138"/>
      <c r="D1" s="138"/>
    </row>
    <row r="2" spans="1:4" x14ac:dyDescent="0.2">
      <c r="A2" s="463" t="s">
        <v>34</v>
      </c>
      <c r="B2" s="463"/>
      <c r="C2" s="463"/>
      <c r="D2" s="463"/>
    </row>
    <row r="3" spans="1:4" x14ac:dyDescent="0.2">
      <c r="A3" s="464" t="s">
        <v>3</v>
      </c>
      <c r="B3" s="464"/>
      <c r="C3" s="464"/>
      <c r="D3" s="464"/>
    </row>
    <row r="4" spans="1:4" x14ac:dyDescent="0.2">
      <c r="A4" s="464" t="str">
        <f>'баланс афн'!A5:D5</f>
        <v>по состоянию на 01 октября 2016 года</v>
      </c>
      <c r="B4" s="464"/>
      <c r="C4" s="464"/>
      <c r="D4" s="464"/>
    </row>
    <row r="5" spans="1:4" x14ac:dyDescent="0.2">
      <c r="A5" s="137"/>
      <c r="B5" s="137"/>
      <c r="C5" s="138"/>
      <c r="D5" s="138"/>
    </row>
    <row r="6" spans="1:4" x14ac:dyDescent="0.2">
      <c r="A6" s="137"/>
      <c r="B6" s="137"/>
      <c r="C6" s="138"/>
      <c r="D6" s="138"/>
    </row>
    <row r="7" spans="1:4" ht="51" x14ac:dyDescent="0.2">
      <c r="A7" s="139" t="s">
        <v>5</v>
      </c>
      <c r="B7" s="140" t="s">
        <v>128</v>
      </c>
      <c r="C7" s="139" t="s">
        <v>35</v>
      </c>
      <c r="D7" s="139" t="s">
        <v>36</v>
      </c>
    </row>
    <row r="8" spans="1:4" x14ac:dyDescent="0.2">
      <c r="A8" s="141">
        <v>1</v>
      </c>
      <c r="B8" s="141">
        <v>2</v>
      </c>
      <c r="C8" s="141">
        <v>3</v>
      </c>
      <c r="D8" s="141">
        <v>4</v>
      </c>
    </row>
    <row r="9" spans="1:4" x14ac:dyDescent="0.2">
      <c r="A9" s="142" t="s">
        <v>279</v>
      </c>
      <c r="B9" s="143"/>
      <c r="C9" s="29">
        <v>855731</v>
      </c>
      <c r="D9" s="29">
        <v>1102800</v>
      </c>
    </row>
    <row r="10" spans="1:4" x14ac:dyDescent="0.2">
      <c r="A10" s="144" t="s">
        <v>280</v>
      </c>
      <c r="B10" s="145"/>
      <c r="C10" s="146">
        <v>44569</v>
      </c>
      <c r="D10" s="146">
        <v>43553</v>
      </c>
    </row>
    <row r="11" spans="1:4" x14ac:dyDescent="0.2">
      <c r="A11" s="147" t="s">
        <v>268</v>
      </c>
      <c r="B11" s="148">
        <v>1</v>
      </c>
      <c r="C11" s="23">
        <v>44569</v>
      </c>
      <c r="D11" s="23">
        <v>43553</v>
      </c>
    </row>
    <row r="12" spans="1:4" x14ac:dyDescent="0.2">
      <c r="A12" s="147" t="s">
        <v>281</v>
      </c>
      <c r="B12" s="148">
        <v>2</v>
      </c>
      <c r="C12" s="23"/>
      <c r="D12" s="23"/>
    </row>
    <row r="13" spans="1:4" x14ac:dyDescent="0.2">
      <c r="A13" s="147" t="s">
        <v>282</v>
      </c>
      <c r="B13" s="148">
        <v>3</v>
      </c>
      <c r="C13" s="23"/>
      <c r="D13" s="23"/>
    </row>
    <row r="14" spans="1:4" x14ac:dyDescent="0.2">
      <c r="A14" s="147" t="s">
        <v>283</v>
      </c>
      <c r="B14" s="148">
        <v>4</v>
      </c>
      <c r="C14" s="23"/>
      <c r="D14" s="23"/>
    </row>
    <row r="15" spans="1:4" x14ac:dyDescent="0.2">
      <c r="A15" s="147" t="s">
        <v>284</v>
      </c>
      <c r="B15" s="148">
        <v>5</v>
      </c>
      <c r="C15" s="23"/>
      <c r="D15" s="23"/>
    </row>
    <row r="16" spans="1:4" x14ac:dyDescent="0.2">
      <c r="A16" s="149" t="s">
        <v>285</v>
      </c>
      <c r="B16" s="148">
        <v>6</v>
      </c>
      <c r="C16" s="23"/>
      <c r="D16" s="23"/>
    </row>
    <row r="17" spans="1:6" ht="27" x14ac:dyDescent="0.2">
      <c r="A17" s="150" t="s">
        <v>286</v>
      </c>
      <c r="B17" s="151"/>
      <c r="C17" s="152">
        <v>900300</v>
      </c>
      <c r="D17" s="152">
        <v>1146353</v>
      </c>
    </row>
    <row r="18" spans="1:6" x14ac:dyDescent="0.2">
      <c r="A18" s="144" t="s">
        <v>287</v>
      </c>
      <c r="B18" s="153"/>
      <c r="C18" s="146">
        <v>-3643139</v>
      </c>
      <c r="D18" s="146">
        <v>-308404</v>
      </c>
    </row>
    <row r="19" spans="1:6" x14ac:dyDescent="0.2">
      <c r="A19" s="147" t="s">
        <v>288</v>
      </c>
      <c r="B19" s="154">
        <v>7</v>
      </c>
      <c r="C19" s="23">
        <v>1273769</v>
      </c>
      <c r="D19" s="23">
        <v>-1668977</v>
      </c>
    </row>
    <row r="20" spans="1:6" ht="25.5" x14ac:dyDescent="0.2">
      <c r="A20" s="147" t="s">
        <v>289</v>
      </c>
      <c r="B20" s="154">
        <v>8</v>
      </c>
      <c r="C20" s="23">
        <v>-2924557</v>
      </c>
      <c r="D20" s="23">
        <v>1291751</v>
      </c>
    </row>
    <row r="21" spans="1:6" x14ac:dyDescent="0.2">
      <c r="A21" s="147" t="s">
        <v>290</v>
      </c>
      <c r="B21" s="154">
        <v>9</v>
      </c>
      <c r="C21" s="23">
        <v>131136</v>
      </c>
      <c r="D21" s="23">
        <v>70000</v>
      </c>
    </row>
    <row r="22" spans="1:6" x14ac:dyDescent="0.2">
      <c r="A22" s="155" t="s">
        <v>291</v>
      </c>
      <c r="B22" s="154">
        <v>10</v>
      </c>
      <c r="C22" s="405">
        <v>-905281</v>
      </c>
      <c r="D22" s="23">
        <v>227500</v>
      </c>
    </row>
    <row r="23" spans="1:6" ht="25.5" x14ac:dyDescent="0.2">
      <c r="A23" s="147" t="s">
        <v>292</v>
      </c>
      <c r="B23" s="154">
        <v>11</v>
      </c>
      <c r="C23" s="23">
        <v>-955505</v>
      </c>
      <c r="D23" s="23">
        <v>130224</v>
      </c>
    </row>
    <row r="24" spans="1:6" x14ac:dyDescent="0.2">
      <c r="A24" s="147" t="s">
        <v>293</v>
      </c>
      <c r="B24" s="156" t="s">
        <v>294</v>
      </c>
      <c r="C24" s="23"/>
      <c r="D24" s="23"/>
    </row>
    <row r="25" spans="1:6" x14ac:dyDescent="0.2">
      <c r="A25" s="147" t="s">
        <v>295</v>
      </c>
      <c r="B25" s="154">
        <v>12</v>
      </c>
      <c r="C25" s="23">
        <v>-154264</v>
      </c>
      <c r="D25" s="23">
        <v>-319127</v>
      </c>
    </row>
    <row r="26" spans="1:6" x14ac:dyDescent="0.2">
      <c r="A26" s="147" t="s">
        <v>296</v>
      </c>
      <c r="B26" s="154">
        <v>13</v>
      </c>
      <c r="C26" s="23"/>
      <c r="D26" s="23"/>
    </row>
    <row r="27" spans="1:6" x14ac:dyDescent="0.2">
      <c r="A27" s="147" t="s">
        <v>297</v>
      </c>
      <c r="B27" s="154">
        <v>14</v>
      </c>
      <c r="C27" s="23">
        <v>2696</v>
      </c>
      <c r="D27" s="23">
        <v>833</v>
      </c>
    </row>
    <row r="28" spans="1:6" x14ac:dyDescent="0.2">
      <c r="A28" s="147" t="s">
        <v>298</v>
      </c>
      <c r="B28" s="154">
        <v>15</v>
      </c>
      <c r="C28" s="23">
        <v>-111133</v>
      </c>
      <c r="D28" s="23">
        <v>-40608</v>
      </c>
    </row>
    <row r="29" spans="1:6" x14ac:dyDescent="0.2">
      <c r="A29" s="157" t="s">
        <v>299</v>
      </c>
      <c r="B29" s="145"/>
      <c r="C29" s="146">
        <v>2014256</v>
      </c>
      <c r="D29" s="146">
        <v>-1230316</v>
      </c>
    </row>
    <row r="30" spans="1:6" x14ac:dyDescent="0.2">
      <c r="A30" s="155" t="s">
        <v>300</v>
      </c>
      <c r="B30" s="148">
        <v>16</v>
      </c>
      <c r="C30" s="405">
        <v>995682</v>
      </c>
      <c r="D30" s="23">
        <v>-1013038</v>
      </c>
      <c r="F30" s="196">
        <f>C22+C30+C33+C34</f>
        <v>149859</v>
      </c>
    </row>
    <row r="31" spans="1:6" ht="25.5" x14ac:dyDescent="0.2">
      <c r="A31" s="155" t="s">
        <v>301</v>
      </c>
      <c r="B31" s="148">
        <v>17</v>
      </c>
      <c r="C31" s="23"/>
      <c r="D31" s="23"/>
    </row>
    <row r="32" spans="1:6" ht="25.5" x14ac:dyDescent="0.2">
      <c r="A32" s="155" t="s">
        <v>302</v>
      </c>
      <c r="B32" s="148">
        <v>18</v>
      </c>
      <c r="C32" s="23"/>
      <c r="D32" s="23"/>
    </row>
    <row r="33" spans="1:6" x14ac:dyDescent="0.2">
      <c r="A33" s="155" t="s">
        <v>303</v>
      </c>
      <c r="B33" s="148">
        <v>19</v>
      </c>
      <c r="C33" s="405">
        <v>108818</v>
      </c>
      <c r="D33" s="23">
        <v>-39373</v>
      </c>
      <c r="E33" s="196">
        <f>C33+C34</f>
        <v>59458</v>
      </c>
      <c r="F33" s="196">
        <f>D33+D34</f>
        <v>-58160</v>
      </c>
    </row>
    <row r="34" spans="1:6" x14ac:dyDescent="0.2">
      <c r="A34" s="155" t="s">
        <v>304</v>
      </c>
      <c r="B34" s="148">
        <v>20</v>
      </c>
      <c r="C34" s="405">
        <v>-49360</v>
      </c>
      <c r="D34" s="23">
        <v>-18787</v>
      </c>
    </row>
    <row r="35" spans="1:6" x14ac:dyDescent="0.2">
      <c r="A35" s="155" t="s">
        <v>305</v>
      </c>
      <c r="B35" s="148">
        <v>21</v>
      </c>
      <c r="C35" s="23"/>
      <c r="D35" s="23">
        <v>0</v>
      </c>
    </row>
    <row r="36" spans="1:6" x14ac:dyDescent="0.2">
      <c r="A36" s="155" t="s">
        <v>306</v>
      </c>
      <c r="B36" s="148">
        <v>22</v>
      </c>
      <c r="C36" s="23">
        <v>940379</v>
      </c>
      <c r="D36" s="23">
        <v>-3208</v>
      </c>
    </row>
    <row r="37" spans="1:6" ht="25.5" x14ac:dyDescent="0.2">
      <c r="A37" s="155" t="s">
        <v>307</v>
      </c>
      <c r="B37" s="148">
        <v>23</v>
      </c>
      <c r="C37" s="23">
        <v>-1883</v>
      </c>
      <c r="D37" s="23">
        <v>-5414</v>
      </c>
    </row>
    <row r="38" spans="1:6" ht="25.5" x14ac:dyDescent="0.2">
      <c r="A38" s="155" t="s">
        <v>308</v>
      </c>
      <c r="B38" s="148">
        <v>24</v>
      </c>
      <c r="C38" s="23">
        <v>-5270</v>
      </c>
      <c r="D38" s="23">
        <v>-65708</v>
      </c>
    </row>
    <row r="39" spans="1:6" x14ac:dyDescent="0.2">
      <c r="A39" s="155" t="s">
        <v>309</v>
      </c>
      <c r="B39" s="148">
        <v>25</v>
      </c>
      <c r="C39" s="23">
        <v>-34191</v>
      </c>
      <c r="D39" s="23">
        <v>-27456</v>
      </c>
      <c r="E39" s="196">
        <f>C36+C37+C38+C39</f>
        <v>899035</v>
      </c>
      <c r="F39" s="196">
        <f>D36+D37+D38+D39</f>
        <v>-101786</v>
      </c>
    </row>
    <row r="40" spans="1:6" x14ac:dyDescent="0.2">
      <c r="A40" s="155" t="s">
        <v>310</v>
      </c>
      <c r="B40" s="148">
        <v>26</v>
      </c>
      <c r="C40" s="23"/>
      <c r="D40" s="23"/>
    </row>
    <row r="41" spans="1:6" x14ac:dyDescent="0.2">
      <c r="A41" s="155" t="s">
        <v>311</v>
      </c>
      <c r="B41" s="148">
        <v>27</v>
      </c>
      <c r="C41" s="23">
        <v>-5335</v>
      </c>
      <c r="D41" s="23">
        <v>-60508</v>
      </c>
      <c r="E41" s="196">
        <f>C41+C42</f>
        <v>60081</v>
      </c>
      <c r="F41" s="196">
        <f>D41+D42</f>
        <v>-57332</v>
      </c>
    </row>
    <row r="42" spans="1:6" x14ac:dyDescent="0.2">
      <c r="A42" s="155" t="s">
        <v>312</v>
      </c>
      <c r="B42" s="148">
        <v>28</v>
      </c>
      <c r="C42" s="23">
        <v>65416</v>
      </c>
      <c r="D42" s="23">
        <v>3176</v>
      </c>
    </row>
    <row r="43" spans="1:6" ht="13.5" x14ac:dyDescent="0.2">
      <c r="A43" s="158" t="s">
        <v>313</v>
      </c>
      <c r="B43" s="159"/>
      <c r="C43" s="152">
        <v>-1628883</v>
      </c>
      <c r="D43" s="152">
        <v>-1538720</v>
      </c>
    </row>
    <row r="44" spans="1:6" x14ac:dyDescent="0.2">
      <c r="A44" s="147" t="s">
        <v>314</v>
      </c>
      <c r="B44" s="160">
        <v>29</v>
      </c>
      <c r="C44" s="161">
        <v>39883</v>
      </c>
      <c r="D44" s="161">
        <v>4597</v>
      </c>
    </row>
    <row r="45" spans="1:6" ht="25.5" x14ac:dyDescent="0.2">
      <c r="A45" s="162" t="s">
        <v>315</v>
      </c>
      <c r="B45" s="163"/>
      <c r="C45" s="406">
        <v>-1668766</v>
      </c>
      <c r="D45" s="406">
        <v>-1543317</v>
      </c>
    </row>
    <row r="46" spans="1:6" x14ac:dyDescent="0.2">
      <c r="A46" s="147" t="s">
        <v>316</v>
      </c>
      <c r="B46" s="148"/>
      <c r="C46" s="23"/>
      <c r="D46" s="23"/>
    </row>
    <row r="47" spans="1:6" x14ac:dyDescent="0.2">
      <c r="A47" s="164" t="s">
        <v>317</v>
      </c>
      <c r="B47" s="148">
        <v>30</v>
      </c>
      <c r="C47" s="23">
        <v>-98955</v>
      </c>
      <c r="D47" s="23">
        <v>297552</v>
      </c>
    </row>
    <row r="48" spans="1:6" x14ac:dyDescent="0.2">
      <c r="A48" s="164" t="s">
        <v>318</v>
      </c>
      <c r="B48" s="148">
        <v>31</v>
      </c>
      <c r="C48" s="23">
        <v>-10512</v>
      </c>
      <c r="D48" s="23">
        <v>-10533</v>
      </c>
    </row>
    <row r="49" spans="1:5" x14ac:dyDescent="0.2">
      <c r="A49" s="164" t="s">
        <v>319</v>
      </c>
      <c r="B49" s="148">
        <v>32</v>
      </c>
      <c r="C49" s="23"/>
      <c r="D49" s="23"/>
    </row>
    <row r="50" spans="1:5" x14ac:dyDescent="0.2">
      <c r="A50" s="164" t="s">
        <v>320</v>
      </c>
      <c r="B50" s="138">
        <v>33</v>
      </c>
      <c r="C50" s="23"/>
      <c r="D50" s="23"/>
    </row>
    <row r="51" spans="1:5" x14ac:dyDescent="0.2">
      <c r="A51" s="164" t="s">
        <v>57</v>
      </c>
      <c r="B51" s="148">
        <v>34</v>
      </c>
      <c r="C51" s="23"/>
      <c r="D51" s="23"/>
    </row>
    <row r="52" spans="1:5" x14ac:dyDescent="0.2">
      <c r="A52" s="165" t="s">
        <v>321</v>
      </c>
      <c r="B52" s="166"/>
      <c r="C52" s="407">
        <v>-109467</v>
      </c>
      <c r="D52" s="407">
        <v>287019</v>
      </c>
    </row>
    <row r="53" spans="1:5" x14ac:dyDescent="0.2">
      <c r="A53" s="147" t="s">
        <v>322</v>
      </c>
      <c r="B53" s="148"/>
      <c r="C53" s="23"/>
      <c r="D53" s="23"/>
    </row>
    <row r="54" spans="1:5" x14ac:dyDescent="0.2">
      <c r="A54" s="164" t="s">
        <v>323</v>
      </c>
      <c r="B54" s="148">
        <v>35</v>
      </c>
      <c r="C54" s="23"/>
      <c r="D54" s="23"/>
    </row>
    <row r="55" spans="1:5" x14ac:dyDescent="0.2">
      <c r="A55" s="164" t="s">
        <v>324</v>
      </c>
      <c r="B55" s="148">
        <v>36</v>
      </c>
      <c r="C55" s="23"/>
      <c r="D55" s="23"/>
    </row>
    <row r="56" spans="1:5" x14ac:dyDescent="0.2">
      <c r="A56" s="155" t="s">
        <v>325</v>
      </c>
      <c r="B56" s="148" t="s">
        <v>326</v>
      </c>
      <c r="C56" s="23"/>
      <c r="D56" s="23"/>
    </row>
    <row r="57" spans="1:5" x14ac:dyDescent="0.2">
      <c r="A57" s="164" t="s">
        <v>155</v>
      </c>
      <c r="B57" s="148">
        <v>37</v>
      </c>
      <c r="C57" s="23"/>
      <c r="D57" s="23"/>
    </row>
    <row r="58" spans="1:5" x14ac:dyDescent="0.2">
      <c r="A58" s="164" t="s">
        <v>327</v>
      </c>
      <c r="B58" s="148">
        <v>38</v>
      </c>
      <c r="C58" s="23">
        <v>-1619226</v>
      </c>
      <c r="D58" s="23">
        <v>0</v>
      </c>
    </row>
    <row r="59" spans="1:5" x14ac:dyDescent="0.2">
      <c r="A59" s="164" t="s">
        <v>57</v>
      </c>
      <c r="B59" s="148">
        <v>39</v>
      </c>
      <c r="C59" s="23">
        <v>26056</v>
      </c>
      <c r="D59" s="23">
        <v>2921</v>
      </c>
    </row>
    <row r="60" spans="1:5" x14ac:dyDescent="0.2">
      <c r="A60" s="165" t="s">
        <v>328</v>
      </c>
      <c r="B60" s="166"/>
      <c r="C60" s="407">
        <v>-1593170</v>
      </c>
      <c r="D60" s="407">
        <v>2921</v>
      </c>
    </row>
    <row r="61" spans="1:5" ht="13.5" x14ac:dyDescent="0.2">
      <c r="A61" s="167" t="s">
        <v>329</v>
      </c>
      <c r="B61" s="159"/>
      <c r="C61" s="152">
        <v>-2471103</v>
      </c>
      <c r="D61" s="152">
        <v>-107024</v>
      </c>
    </row>
    <row r="62" spans="1:5" x14ac:dyDescent="0.2">
      <c r="A62" s="164" t="s">
        <v>330</v>
      </c>
      <c r="B62" s="148">
        <v>40</v>
      </c>
      <c r="C62" s="23">
        <v>2526067</v>
      </c>
      <c r="D62" s="23">
        <v>191343</v>
      </c>
    </row>
    <row r="63" spans="1:5" x14ac:dyDescent="0.2">
      <c r="A63" s="164" t="s">
        <v>331</v>
      </c>
      <c r="B63" s="148">
        <v>41</v>
      </c>
      <c r="C63" s="23">
        <v>54964</v>
      </c>
      <c r="D63" s="23">
        <v>84319</v>
      </c>
      <c r="E63" s="196">
        <f>D63-C62</f>
        <v>-2441748</v>
      </c>
    </row>
    <row r="64" spans="1:5" x14ac:dyDescent="0.2">
      <c r="A64" s="168"/>
      <c r="B64" s="137"/>
      <c r="C64" s="138"/>
      <c r="D64" s="39"/>
    </row>
    <row r="65" spans="1:4" x14ac:dyDescent="0.2">
      <c r="A65" s="169" t="s">
        <v>171</v>
      </c>
      <c r="B65" s="137"/>
      <c r="C65" s="170"/>
      <c r="D65" s="114"/>
    </row>
    <row r="66" spans="1:4" x14ac:dyDescent="0.2">
      <c r="A66" s="171"/>
      <c r="C66" s="114"/>
      <c r="D66" s="114"/>
    </row>
    <row r="67" spans="1:4" x14ac:dyDescent="0.2">
      <c r="A67" s="37" t="s">
        <v>172</v>
      </c>
      <c r="C67" s="114">
        <f>C63-C62-C61</f>
        <v>0</v>
      </c>
      <c r="D67" s="114">
        <f>D63-D62-D61</f>
        <v>0</v>
      </c>
    </row>
    <row r="68" spans="1:4" x14ac:dyDescent="0.2">
      <c r="C68" s="114"/>
      <c r="D68" s="172"/>
    </row>
    <row r="69" spans="1:4" x14ac:dyDescent="0.2">
      <c r="A69" s="1" t="s">
        <v>62</v>
      </c>
      <c r="B69" s="1"/>
      <c r="C69" s="114"/>
      <c r="D69" s="128"/>
    </row>
    <row r="70" spans="1:4" x14ac:dyDescent="0.2">
      <c r="A70" s="1"/>
      <c r="B70" s="1"/>
      <c r="C70" s="114"/>
      <c r="D70" s="132"/>
    </row>
    <row r="71" spans="1:4" x14ac:dyDescent="0.2">
      <c r="A71" s="1" t="s">
        <v>32</v>
      </c>
      <c r="B71" s="1"/>
      <c r="C71" s="2"/>
      <c r="D71" s="3"/>
    </row>
    <row r="73" spans="1:4" x14ac:dyDescent="0.2">
      <c r="A73" s="37" t="s">
        <v>63</v>
      </c>
    </row>
    <row r="74" spans="1:4" x14ac:dyDescent="0.2">
      <c r="A74" s="173"/>
    </row>
    <row r="75" spans="1:4" x14ac:dyDescent="0.2">
      <c r="A75" s="173"/>
    </row>
    <row r="76" spans="1:4" x14ac:dyDescent="0.2">
      <c r="A76" s="173" t="s">
        <v>30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8"/>
  <sheetViews>
    <sheetView topLeftCell="A23" workbookViewId="0">
      <selection activeCell="D34" sqref="D34"/>
    </sheetView>
  </sheetViews>
  <sheetFormatPr defaultRowHeight="12.75" x14ac:dyDescent="0.2"/>
  <cols>
    <col min="1" max="1" width="48.5703125" style="354" customWidth="1"/>
    <col min="2" max="2" width="13.85546875" style="354" customWidth="1"/>
    <col min="3" max="3" width="14.140625" style="354" customWidth="1"/>
    <col min="4" max="4" width="17.85546875" style="354" customWidth="1"/>
    <col min="5" max="5" width="17.5703125" style="354" customWidth="1"/>
    <col min="6" max="6" width="19" style="354" customWidth="1"/>
    <col min="7" max="7" width="15.42578125" style="354" bestFit="1" customWidth="1"/>
    <col min="8" max="8" width="17.28515625" style="354" customWidth="1"/>
    <col min="9" max="9" width="10" style="354" bestFit="1" customWidth="1"/>
    <col min="10" max="16384" width="9.140625" style="354"/>
  </cols>
  <sheetData>
    <row r="1" spans="1:8" x14ac:dyDescent="0.2">
      <c r="G1" s="98" t="s">
        <v>64</v>
      </c>
    </row>
    <row r="3" spans="1:8" x14ac:dyDescent="0.2">
      <c r="A3" s="461" t="s">
        <v>65</v>
      </c>
      <c r="B3" s="461"/>
      <c r="C3" s="461"/>
      <c r="D3" s="461"/>
      <c r="E3" s="461"/>
      <c r="F3" s="461"/>
      <c r="G3" s="461"/>
    </row>
    <row r="4" spans="1:8" x14ac:dyDescent="0.2">
      <c r="A4" s="462" t="s">
        <v>3</v>
      </c>
      <c r="B4" s="462"/>
      <c r="C4" s="462"/>
      <c r="D4" s="462"/>
      <c r="E4" s="462"/>
      <c r="F4" s="462"/>
      <c r="G4" s="462"/>
    </row>
    <row r="5" spans="1:8" x14ac:dyDescent="0.2">
      <c r="A5" s="462" t="str">
        <f>'баланс афн'!A5:D5</f>
        <v>по состоянию на 01 октября 2016 года</v>
      </c>
      <c r="B5" s="462"/>
      <c r="C5" s="462"/>
      <c r="D5" s="462"/>
      <c r="E5" s="462"/>
      <c r="F5" s="462"/>
      <c r="G5" s="462"/>
    </row>
    <row r="6" spans="1:8" x14ac:dyDescent="0.2">
      <c r="D6" s="355"/>
      <c r="E6" s="355"/>
      <c r="F6" s="355"/>
      <c r="G6" s="356" t="s">
        <v>4</v>
      </c>
    </row>
    <row r="7" spans="1:8" x14ac:dyDescent="0.2">
      <c r="D7" s="355"/>
      <c r="E7" s="355"/>
      <c r="F7" s="355"/>
      <c r="G7" s="356"/>
    </row>
    <row r="8" spans="1:8" x14ac:dyDescent="0.2">
      <c r="A8" s="467"/>
      <c r="B8" s="469" t="s">
        <v>384</v>
      </c>
      <c r="C8" s="470"/>
      <c r="D8" s="470"/>
      <c r="E8" s="470"/>
      <c r="F8" s="471"/>
      <c r="G8" s="472" t="s">
        <v>385</v>
      </c>
      <c r="H8" s="465" t="s">
        <v>386</v>
      </c>
    </row>
    <row r="9" spans="1:8" s="355" customFormat="1" ht="38.25" customHeight="1" x14ac:dyDescent="0.2">
      <c r="A9" s="468"/>
      <c r="B9" s="357" t="s">
        <v>25</v>
      </c>
      <c r="C9" s="357" t="s">
        <v>353</v>
      </c>
      <c r="D9" s="357" t="s">
        <v>355</v>
      </c>
      <c r="E9" s="357" t="s">
        <v>68</v>
      </c>
      <c r="F9" s="358" t="s">
        <v>387</v>
      </c>
      <c r="G9" s="473"/>
      <c r="H9" s="466"/>
    </row>
    <row r="10" spans="1:8" s="355" customFormat="1" x14ac:dyDescent="0.2">
      <c r="A10" s="359">
        <v>1</v>
      </c>
      <c r="B10" s="359">
        <v>2</v>
      </c>
      <c r="C10" s="359">
        <v>3</v>
      </c>
      <c r="D10" s="359">
        <v>4</v>
      </c>
      <c r="E10" s="359">
        <v>5</v>
      </c>
      <c r="F10" s="359">
        <v>6</v>
      </c>
      <c r="G10" s="359">
        <v>7</v>
      </c>
      <c r="H10" s="360">
        <v>8</v>
      </c>
    </row>
    <row r="11" spans="1:8" s="355" customFormat="1" x14ac:dyDescent="0.2">
      <c r="A11" s="361" t="s">
        <v>70</v>
      </c>
      <c r="B11" s="313">
        <v>1500000</v>
      </c>
      <c r="C11" s="313">
        <v>681046</v>
      </c>
      <c r="D11" s="313">
        <v>48994</v>
      </c>
      <c r="E11" s="313">
        <v>4508068</v>
      </c>
      <c r="F11" s="362">
        <v>6738108</v>
      </c>
      <c r="G11" s="363"/>
      <c r="H11" s="363">
        <v>6738108</v>
      </c>
    </row>
    <row r="12" spans="1:8" s="355" customFormat="1" ht="25.5" x14ac:dyDescent="0.2">
      <c r="A12" s="364" t="s">
        <v>388</v>
      </c>
      <c r="B12" s="365"/>
      <c r="C12" s="365"/>
      <c r="D12" s="365"/>
      <c r="E12" s="365"/>
      <c r="F12" s="365">
        <f>B12+C12+D12+E12</f>
        <v>0</v>
      </c>
      <c r="G12" s="366"/>
      <c r="H12" s="367">
        <f t="shared" ref="H12:H20" si="0">F12+G12</f>
        <v>0</v>
      </c>
    </row>
    <row r="13" spans="1:8" s="355" customFormat="1" x14ac:dyDescent="0.2">
      <c r="A13" s="364" t="s">
        <v>88</v>
      </c>
      <c r="B13" s="366">
        <f>B11+B12</f>
        <v>1500000</v>
      </c>
      <c r="C13" s="366">
        <f>C11+C12</f>
        <v>681046</v>
      </c>
      <c r="D13" s="366">
        <f>D11+D12</f>
        <v>48994</v>
      </c>
      <c r="E13" s="366">
        <f>E11+E12</f>
        <v>4508068</v>
      </c>
      <c r="F13" s="365">
        <f>B13+C13+D13+E13</f>
        <v>6738108</v>
      </c>
      <c r="G13" s="366"/>
      <c r="H13" s="367">
        <f t="shared" si="0"/>
        <v>6738108</v>
      </c>
    </row>
    <row r="14" spans="1:8" s="355" customFormat="1" x14ac:dyDescent="0.2">
      <c r="A14" s="364" t="s">
        <v>73</v>
      </c>
      <c r="B14" s="365"/>
      <c r="C14" s="365"/>
      <c r="D14" s="280"/>
      <c r="E14" s="365"/>
      <c r="F14" s="365">
        <f>B14+C14+D14+E14</f>
        <v>0</v>
      </c>
      <c r="G14" s="366"/>
      <c r="H14" s="367">
        <f t="shared" si="0"/>
        <v>0</v>
      </c>
    </row>
    <row r="15" spans="1:8" s="355" customFormat="1" ht="25.5" x14ac:dyDescent="0.2">
      <c r="A15" s="368" t="s">
        <v>74</v>
      </c>
      <c r="B15" s="365"/>
      <c r="C15" s="365"/>
      <c r="D15" s="280">
        <v>-87905</v>
      </c>
      <c r="E15" s="365"/>
      <c r="F15" s="365">
        <f>B15+C15+D15+E15</f>
        <v>-87905</v>
      </c>
      <c r="G15" s="366"/>
      <c r="H15" s="367">
        <f t="shared" si="0"/>
        <v>-87905</v>
      </c>
    </row>
    <row r="16" spans="1:8" s="355" customFormat="1" x14ac:dyDescent="0.2">
      <c r="A16" s="368" t="s">
        <v>75</v>
      </c>
      <c r="B16" s="365"/>
      <c r="C16" s="365"/>
      <c r="D16" s="365"/>
      <c r="E16" s="365"/>
      <c r="F16" s="365"/>
      <c r="G16" s="366"/>
      <c r="H16" s="367">
        <f t="shared" si="0"/>
        <v>0</v>
      </c>
    </row>
    <row r="17" spans="1:10" s="355" customFormat="1" x14ac:dyDescent="0.2">
      <c r="A17" s="368" t="s">
        <v>76</v>
      </c>
      <c r="B17" s="365"/>
      <c r="C17" s="365"/>
      <c r="D17" s="365"/>
      <c r="E17" s="365"/>
      <c r="F17" s="365"/>
      <c r="G17" s="366"/>
      <c r="H17" s="367">
        <f t="shared" si="0"/>
        <v>0</v>
      </c>
    </row>
    <row r="18" spans="1:10" s="355" customFormat="1" ht="25.5" x14ac:dyDescent="0.2">
      <c r="A18" s="368" t="s">
        <v>77</v>
      </c>
      <c r="B18" s="365"/>
      <c r="C18" s="365"/>
      <c r="D18" s="365"/>
      <c r="E18" s="365"/>
      <c r="F18" s="365"/>
      <c r="G18" s="366"/>
      <c r="H18" s="367">
        <f t="shared" si="0"/>
        <v>0</v>
      </c>
    </row>
    <row r="19" spans="1:10" s="355" customFormat="1" x14ac:dyDescent="0.2">
      <c r="A19" s="364" t="s">
        <v>78</v>
      </c>
      <c r="B19" s="365"/>
      <c r="C19" s="365"/>
      <c r="D19" s="365"/>
      <c r="E19" s="280">
        <v>2740665</v>
      </c>
      <c r="F19" s="365">
        <f>B19+C19+D19+E19</f>
        <v>2740665</v>
      </c>
      <c r="G19" s="366"/>
      <c r="H19" s="367">
        <f t="shared" si="0"/>
        <v>2740665</v>
      </c>
    </row>
    <row r="20" spans="1:10" s="355" customFormat="1" x14ac:dyDescent="0.2">
      <c r="A20" s="364" t="s">
        <v>79</v>
      </c>
      <c r="B20" s="365"/>
      <c r="C20" s="365"/>
      <c r="D20" s="365"/>
      <c r="E20" s="280">
        <f>E19</f>
        <v>2740665</v>
      </c>
      <c r="F20" s="365">
        <f>F19</f>
        <v>2740665</v>
      </c>
      <c r="G20" s="366"/>
      <c r="H20" s="367">
        <f t="shared" si="0"/>
        <v>2740665</v>
      </c>
    </row>
    <row r="21" spans="1:10" s="355" customFormat="1" x14ac:dyDescent="0.2">
      <c r="A21" s="364" t="s">
        <v>80</v>
      </c>
      <c r="B21" s="365"/>
      <c r="C21" s="365"/>
      <c r="D21" s="365"/>
      <c r="E21" s="369"/>
      <c r="F21" s="365">
        <f>B21+C21+D21+E21</f>
        <v>0</v>
      </c>
      <c r="G21" s="366"/>
      <c r="H21" s="367"/>
    </row>
    <row r="22" spans="1:10" s="355" customFormat="1" x14ac:dyDescent="0.2">
      <c r="A22" s="364" t="s">
        <v>81</v>
      </c>
      <c r="B22" s="365"/>
      <c r="C22" s="365"/>
      <c r="D22" s="365"/>
      <c r="E22" s="365"/>
      <c r="F22" s="365">
        <f>B22+C22+E22</f>
        <v>0</v>
      </c>
      <c r="G22" s="366"/>
      <c r="H22" s="367"/>
    </row>
    <row r="23" spans="1:10" s="355" customFormat="1" x14ac:dyDescent="0.2">
      <c r="A23" s="364" t="s">
        <v>82</v>
      </c>
      <c r="B23" s="365"/>
      <c r="C23" s="365"/>
      <c r="D23" s="365"/>
      <c r="E23" s="365"/>
      <c r="F23" s="365"/>
      <c r="G23" s="366"/>
      <c r="H23" s="367"/>
    </row>
    <row r="24" spans="1:10" s="355" customFormat="1" x14ac:dyDescent="0.2">
      <c r="A24" s="370" t="s">
        <v>83</v>
      </c>
      <c r="B24" s="365">
        <f>B26+B27</f>
        <v>0</v>
      </c>
      <c r="C24" s="365">
        <f>C26+C27</f>
        <v>38685</v>
      </c>
      <c r="D24" s="365">
        <f>D26+D27+D28</f>
        <v>0</v>
      </c>
      <c r="E24" s="365">
        <f>-C24-D24</f>
        <v>-38685</v>
      </c>
      <c r="F24" s="365">
        <f>B24+C24+D24+E24</f>
        <v>0</v>
      </c>
      <c r="G24" s="366"/>
      <c r="H24" s="367">
        <f>F24+G24</f>
        <v>0</v>
      </c>
    </row>
    <row r="25" spans="1:10" s="355" customFormat="1" x14ac:dyDescent="0.2">
      <c r="A25" s="370" t="s">
        <v>31</v>
      </c>
      <c r="B25" s="365"/>
      <c r="C25" s="365"/>
      <c r="D25" s="365"/>
      <c r="E25" s="365"/>
      <c r="F25" s="365"/>
      <c r="G25" s="366"/>
      <c r="H25" s="367"/>
    </row>
    <row r="26" spans="1:10" s="355" customFormat="1" x14ac:dyDescent="0.2">
      <c r="A26" s="371" t="s">
        <v>84</v>
      </c>
      <c r="B26" s="365"/>
      <c r="C26" s="280"/>
      <c r="D26" s="369"/>
      <c r="E26" s="365">
        <f>-D26</f>
        <v>0</v>
      </c>
      <c r="F26" s="365">
        <f>B26+C26+D26+E26</f>
        <v>0</v>
      </c>
      <c r="G26" s="366"/>
      <c r="H26" s="367">
        <f t="shared" ref="H26:H32" si="1">F26+G26</f>
        <v>0</v>
      </c>
    </row>
    <row r="27" spans="1:10" s="355" customFormat="1" x14ac:dyDescent="0.2">
      <c r="A27" s="371" t="s">
        <v>85</v>
      </c>
      <c r="B27" s="365"/>
      <c r="C27" s="280">
        <v>38685</v>
      </c>
      <c r="D27" s="369"/>
      <c r="E27" s="365">
        <f>-C27</f>
        <v>-38685</v>
      </c>
      <c r="F27" s="365">
        <f>B27+C27+D27+E27</f>
        <v>0</v>
      </c>
      <c r="G27" s="366"/>
      <c r="H27" s="367">
        <f t="shared" si="1"/>
        <v>0</v>
      </c>
      <c r="J27" s="372">
        <f>G28-G30</f>
        <v>0</v>
      </c>
    </row>
    <row r="28" spans="1:10" x14ac:dyDescent="0.2">
      <c r="A28" s="364" t="s">
        <v>86</v>
      </c>
      <c r="B28" s="365"/>
      <c r="C28" s="365"/>
      <c r="D28" s="365"/>
      <c r="E28" s="365"/>
      <c r="F28" s="365">
        <f>B28+C28+D28+E28</f>
        <v>0</v>
      </c>
      <c r="G28" s="366"/>
      <c r="H28" s="367">
        <f t="shared" si="1"/>
        <v>0</v>
      </c>
    </row>
    <row r="29" spans="1:10" x14ac:dyDescent="0.2">
      <c r="A29" s="361" t="s">
        <v>87</v>
      </c>
      <c r="B29" s="362">
        <f>B13+B14+B22+B15+B24+B28+B20</f>
        <v>1500000</v>
      </c>
      <c r="C29" s="362">
        <f>C13+C14+C22+C15+C24+C28+C20</f>
        <v>719731</v>
      </c>
      <c r="D29" s="362">
        <f>D13+D14+D22+D15+D24+D28+D20</f>
        <v>-38911</v>
      </c>
      <c r="E29" s="362">
        <f>E13+E14+E22+E15+E24+E20-E21</f>
        <v>7210048</v>
      </c>
      <c r="F29" s="362">
        <f>F13+F14+F22+F15+F24+F20-F21</f>
        <v>9390868</v>
      </c>
      <c r="G29" s="363"/>
      <c r="H29" s="363">
        <f t="shared" si="1"/>
        <v>9390868</v>
      </c>
    </row>
    <row r="30" spans="1:10" ht="25.5" x14ac:dyDescent="0.2">
      <c r="A30" s="364" t="s">
        <v>388</v>
      </c>
      <c r="B30" s="365"/>
      <c r="C30" s="365"/>
      <c r="D30" s="365"/>
      <c r="E30" s="365"/>
      <c r="F30" s="365">
        <f>B30+C30+D30+E30</f>
        <v>0</v>
      </c>
      <c r="G30" s="366"/>
      <c r="H30" s="367">
        <f t="shared" si="1"/>
        <v>0</v>
      </c>
    </row>
    <row r="31" spans="1:10" x14ac:dyDescent="0.2">
      <c r="A31" s="364" t="s">
        <v>88</v>
      </c>
      <c r="B31" s="366">
        <f>B29+B30</f>
        <v>1500000</v>
      </c>
      <c r="C31" s="366">
        <f>C29+C30</f>
        <v>719731</v>
      </c>
      <c r="D31" s="366">
        <f>D29+D30</f>
        <v>-38911</v>
      </c>
      <c r="E31" s="366">
        <f>E29+E30</f>
        <v>7210048</v>
      </c>
      <c r="F31" s="365">
        <f>B31+C31+D31+E31</f>
        <v>9390868</v>
      </c>
      <c r="G31" s="366"/>
      <c r="H31" s="367">
        <f t="shared" si="1"/>
        <v>9390868</v>
      </c>
    </row>
    <row r="32" spans="1:10" x14ac:dyDescent="0.2">
      <c r="A32" s="364" t="s">
        <v>73</v>
      </c>
      <c r="B32" s="369"/>
      <c r="C32" s="369"/>
      <c r="D32" s="369"/>
      <c r="E32" s="369"/>
      <c r="F32" s="369">
        <f>B32+C32+D32+E32</f>
        <v>0</v>
      </c>
      <c r="G32" s="373"/>
      <c r="H32" s="374">
        <f t="shared" si="1"/>
        <v>0</v>
      </c>
    </row>
    <row r="33" spans="1:9" ht="25.5" x14ac:dyDescent="0.2">
      <c r="A33" s="368" t="s">
        <v>74</v>
      </c>
      <c r="B33" s="369"/>
      <c r="C33" s="369"/>
      <c r="D33" s="375">
        <v>26056</v>
      </c>
      <c r="E33" s="369"/>
      <c r="F33" s="369">
        <f>B33+C33+D33+E33</f>
        <v>26056</v>
      </c>
      <c r="G33" s="373"/>
      <c r="H33" s="374">
        <f>F33+G33</f>
        <v>26056</v>
      </c>
    </row>
    <row r="34" spans="1:9" x14ac:dyDescent="0.2">
      <c r="A34" s="368" t="s">
        <v>75</v>
      </c>
      <c r="B34" s="369"/>
      <c r="C34" s="369"/>
      <c r="D34" s="369"/>
      <c r="E34" s="369"/>
      <c r="F34" s="369"/>
      <c r="G34" s="373"/>
      <c r="H34" s="374">
        <f t="shared" ref="H34:H39" si="2">F34+G34</f>
        <v>0</v>
      </c>
    </row>
    <row r="35" spans="1:9" x14ac:dyDescent="0.2">
      <c r="A35" s="368" t="s">
        <v>76</v>
      </c>
      <c r="B35" s="369"/>
      <c r="C35" s="369"/>
      <c r="D35" s="369"/>
      <c r="E35" s="369"/>
      <c r="F35" s="369"/>
      <c r="G35" s="373"/>
      <c r="H35" s="374">
        <f t="shared" si="2"/>
        <v>0</v>
      </c>
    </row>
    <row r="36" spans="1:9" ht="25.5" x14ac:dyDescent="0.2">
      <c r="A36" s="368" t="s">
        <v>77</v>
      </c>
      <c r="B36" s="369"/>
      <c r="C36" s="369"/>
      <c r="D36" s="369"/>
      <c r="E36" s="369"/>
      <c r="F36" s="369"/>
      <c r="G36" s="373"/>
      <c r="H36" s="374">
        <f t="shared" si="2"/>
        <v>0</v>
      </c>
    </row>
    <row r="37" spans="1:9" x14ac:dyDescent="0.2">
      <c r="A37" s="364" t="s">
        <v>78</v>
      </c>
      <c r="B37" s="369"/>
      <c r="C37" s="369"/>
      <c r="D37" s="369"/>
      <c r="E37" s="369">
        <f>[5]БухБаланс!C76</f>
        <v>638695</v>
      </c>
      <c r="F37" s="369">
        <f>B37+C37+D37+E37</f>
        <v>638695</v>
      </c>
      <c r="G37" s="373"/>
      <c r="H37" s="374">
        <f t="shared" si="2"/>
        <v>638695</v>
      </c>
    </row>
    <row r="38" spans="1:9" x14ac:dyDescent="0.2">
      <c r="A38" s="364" t="s">
        <v>79</v>
      </c>
      <c r="B38" s="369"/>
      <c r="C38" s="369"/>
      <c r="D38" s="369"/>
      <c r="E38" s="369">
        <f>E37</f>
        <v>638695</v>
      </c>
      <c r="F38" s="369">
        <f>F37</f>
        <v>638695</v>
      </c>
      <c r="G38" s="373"/>
      <c r="H38" s="374">
        <f t="shared" si="2"/>
        <v>638695</v>
      </c>
    </row>
    <row r="39" spans="1:9" x14ac:dyDescent="0.2">
      <c r="A39" s="364" t="s">
        <v>80</v>
      </c>
      <c r="B39" s="369"/>
      <c r="C39" s="369"/>
      <c r="D39" s="369"/>
      <c r="E39" s="376">
        <v>1619226</v>
      </c>
      <c r="F39" s="369">
        <f>B39+C39+D39+E39</f>
        <v>1619226</v>
      </c>
      <c r="G39" s="373"/>
      <c r="H39" s="374">
        <f t="shared" si="2"/>
        <v>1619226</v>
      </c>
    </row>
    <row r="40" spans="1:9" x14ac:dyDescent="0.2">
      <c r="A40" s="364" t="s">
        <v>81</v>
      </c>
      <c r="B40" s="369"/>
      <c r="C40" s="369"/>
      <c r="D40" s="369"/>
      <c r="E40" s="369"/>
      <c r="F40" s="369">
        <f>B40+C40+E40</f>
        <v>0</v>
      </c>
      <c r="G40" s="373"/>
      <c r="H40" s="374"/>
    </row>
    <row r="41" spans="1:9" x14ac:dyDescent="0.2">
      <c r="A41" s="364" t="s">
        <v>82</v>
      </c>
      <c r="B41" s="369"/>
      <c r="C41" s="369"/>
      <c r="D41" s="369"/>
      <c r="E41" s="369"/>
      <c r="F41" s="369"/>
      <c r="G41" s="373"/>
      <c r="H41" s="374"/>
    </row>
    <row r="42" spans="1:9" x14ac:dyDescent="0.2">
      <c r="A42" s="370" t="s">
        <v>83</v>
      </c>
      <c r="B42" s="369">
        <f>B44+B45</f>
        <v>0</v>
      </c>
      <c r="C42" s="369">
        <f>C44+C45</f>
        <v>170513</v>
      </c>
      <c r="D42" s="369">
        <f>D44+D45+D46</f>
        <v>0</v>
      </c>
      <c r="E42" s="369">
        <f>E44+E45+E46</f>
        <v>-170513</v>
      </c>
      <c r="F42" s="369">
        <f>B42+C42+D42+E42</f>
        <v>0</v>
      </c>
      <c r="G42" s="373"/>
      <c r="H42" s="374">
        <f>F42+G42</f>
        <v>0</v>
      </c>
    </row>
    <row r="43" spans="1:9" x14ac:dyDescent="0.2">
      <c r="A43" s="370" t="s">
        <v>31</v>
      </c>
      <c r="B43" s="369"/>
      <c r="C43" s="369"/>
      <c r="D43" s="369"/>
      <c r="E43" s="369"/>
      <c r="F43" s="369"/>
      <c r="G43" s="373"/>
      <c r="H43" s="374"/>
    </row>
    <row r="44" spans="1:9" x14ac:dyDescent="0.2">
      <c r="A44" s="371" t="s">
        <v>84</v>
      </c>
      <c r="B44" s="369"/>
      <c r="C44" s="369"/>
      <c r="D44" s="369">
        <f>-'[6]5610'!E12/1000</f>
        <v>0</v>
      </c>
      <c r="E44" s="369">
        <f>-D44</f>
        <v>0</v>
      </c>
      <c r="F44" s="369">
        <f>B44+C44+D44+E44</f>
        <v>0</v>
      </c>
      <c r="G44" s="373"/>
      <c r="H44" s="374">
        <f>F44+G44</f>
        <v>0</v>
      </c>
    </row>
    <row r="45" spans="1:9" x14ac:dyDescent="0.2">
      <c r="A45" s="371" t="s">
        <v>85</v>
      </c>
      <c r="B45" s="369"/>
      <c r="C45" s="369">
        <f>[5]БухБаланс!C71-[5]БухБаланс!D71</f>
        <v>170513</v>
      </c>
      <c r="D45" s="369"/>
      <c r="E45" s="369">
        <f>-C45</f>
        <v>-170513</v>
      </c>
      <c r="F45" s="369">
        <f>B45+C45+D45+E45</f>
        <v>0</v>
      </c>
      <c r="G45" s="373"/>
      <c r="H45" s="374">
        <f>F45+G45</f>
        <v>0</v>
      </c>
    </row>
    <row r="46" spans="1:9" x14ac:dyDescent="0.2">
      <c r="A46" s="364" t="s">
        <v>86</v>
      </c>
      <c r="B46" s="369"/>
      <c r="C46" s="369"/>
      <c r="D46" s="369"/>
      <c r="E46" s="369"/>
      <c r="F46" s="369">
        <f>B46+C46+D46+E46</f>
        <v>0</v>
      </c>
      <c r="G46" s="373"/>
      <c r="H46" s="374">
        <f>F46+G46</f>
        <v>0</v>
      </c>
      <c r="I46" s="377"/>
    </row>
    <row r="47" spans="1:9" x14ac:dyDescent="0.2">
      <c r="A47" s="361" t="s">
        <v>89</v>
      </c>
      <c r="B47" s="378">
        <f>B31+B32+B40+B33+B42+B46+B38</f>
        <v>1500000</v>
      </c>
      <c r="C47" s="378">
        <f>C31+C32+C40+C33+C42+C46+C38+C39</f>
        <v>890244</v>
      </c>
      <c r="D47" s="378">
        <f>D31+D32+D40+D33+D42+D38</f>
        <v>-12855</v>
      </c>
      <c r="E47" s="378">
        <f>E31+E32+E40+E33+E42+E38-E39</f>
        <v>6059004</v>
      </c>
      <c r="F47" s="378">
        <f>F31+F32+F40+F33+F42+F38-F39</f>
        <v>8436393</v>
      </c>
      <c r="G47" s="379"/>
      <c r="H47" s="379">
        <f>F47+G47</f>
        <v>8436393</v>
      </c>
      <c r="I47" s="377"/>
    </row>
    <row r="48" spans="1:9" x14ac:dyDescent="0.2">
      <c r="A48" s="380"/>
      <c r="B48" s="381"/>
      <c r="C48" s="381"/>
      <c r="D48" s="381"/>
      <c r="E48" s="381"/>
      <c r="F48" s="381"/>
      <c r="G48" s="382"/>
      <c r="H48" s="382"/>
      <c r="I48" s="377"/>
    </row>
    <row r="49" spans="1:9" x14ac:dyDescent="0.2">
      <c r="A49" s="383" t="s">
        <v>389</v>
      </c>
      <c r="B49" s="384"/>
      <c r="C49" s="384"/>
      <c r="D49" s="384"/>
      <c r="E49" s="384"/>
      <c r="F49" s="384"/>
      <c r="G49" s="384"/>
      <c r="H49" s="385"/>
      <c r="I49" s="377"/>
    </row>
    <row r="50" spans="1:9" x14ac:dyDescent="0.2">
      <c r="A50" s="383" t="s">
        <v>390</v>
      </c>
      <c r="B50" s="384"/>
      <c r="C50" s="384"/>
      <c r="D50" s="384"/>
      <c r="E50" s="384"/>
      <c r="F50" s="384"/>
      <c r="G50" s="384"/>
      <c r="H50" s="385"/>
      <c r="I50" s="377"/>
    </row>
    <row r="51" spans="1:9" x14ac:dyDescent="0.2">
      <c r="A51" s="383"/>
      <c r="B51" s="384"/>
      <c r="C51" s="384"/>
      <c r="D51" s="384"/>
      <c r="E51" s="384"/>
      <c r="F51" s="384"/>
      <c r="G51" s="384"/>
      <c r="H51" s="385"/>
      <c r="I51" s="377"/>
    </row>
    <row r="52" spans="1:9" x14ac:dyDescent="0.2">
      <c r="A52" s="1" t="str">
        <f>[5]БухБаланс!A83</f>
        <v>Первый руководитель (на период его отсутствия – лицо, его замещающее)  Ахметжанова Д.Д. ________________</v>
      </c>
      <c r="B52" s="386"/>
      <c r="C52" s="387"/>
      <c r="D52" s="388"/>
      <c r="E52" s="388"/>
      <c r="F52" s="389"/>
      <c r="G52" s="389"/>
      <c r="H52" s="390"/>
      <c r="I52" s="377"/>
    </row>
    <row r="53" spans="1:9" x14ac:dyDescent="0.2">
      <c r="A53" s="1"/>
      <c r="B53" s="386"/>
      <c r="C53" s="387"/>
      <c r="D53" s="388"/>
      <c r="E53" s="388"/>
      <c r="F53" s="389"/>
      <c r="G53" s="389"/>
      <c r="H53" s="390"/>
      <c r="I53" s="377"/>
    </row>
    <row r="54" spans="1:9" x14ac:dyDescent="0.2">
      <c r="A54" s="1" t="str">
        <f>[5]БухБаланс!A85</f>
        <v>Главный бухгалтер             Усенова М.О.     ______________</v>
      </c>
      <c r="B54" s="386"/>
      <c r="C54" s="387"/>
      <c r="D54" s="388"/>
      <c r="E54" s="388"/>
      <c r="F54" s="389"/>
      <c r="G54" s="389"/>
      <c r="H54" s="390"/>
      <c r="I54" s="377"/>
    </row>
    <row r="55" spans="1:9" x14ac:dyDescent="0.2">
      <c r="A55" s="1"/>
      <c r="B55" s="386"/>
      <c r="C55" s="387"/>
      <c r="D55" s="388"/>
      <c r="E55" s="388"/>
      <c r="F55" s="389"/>
      <c r="G55" s="389"/>
      <c r="H55" s="390"/>
      <c r="I55" s="377"/>
    </row>
    <row r="56" spans="1:9" x14ac:dyDescent="0.2">
      <c r="A56" s="1" t="str">
        <f>[5]БухБаланс!A87</f>
        <v xml:space="preserve">Исполнитель                       Усенова М.О.  ____________  </v>
      </c>
      <c r="B56" s="386"/>
      <c r="C56" s="387"/>
      <c r="D56" s="389"/>
      <c r="E56" s="389"/>
      <c r="F56" s="389"/>
      <c r="G56" s="389"/>
      <c r="H56" s="391">
        <f>F46-F30</f>
        <v>0</v>
      </c>
    </row>
    <row r="57" spans="1:9" x14ac:dyDescent="0.2">
      <c r="A57" s="1"/>
      <c r="B57" s="386"/>
      <c r="C57" s="387"/>
      <c r="D57" s="388"/>
      <c r="E57" s="388"/>
      <c r="F57" s="388"/>
      <c r="G57" s="388"/>
      <c r="H57" s="387"/>
    </row>
    <row r="58" spans="1:9" x14ac:dyDescent="0.2">
      <c r="A58" s="1" t="str">
        <f>[5]БухБаланс!A89</f>
        <v>Дата подписания отчета «8» июля 2016 года</v>
      </c>
      <c r="B58" s="386"/>
      <c r="C58" s="387"/>
      <c r="D58" s="388"/>
      <c r="E58" s="388"/>
      <c r="F58" s="388"/>
      <c r="G58" s="388"/>
    </row>
    <row r="59" spans="1:9" x14ac:dyDescent="0.2">
      <c r="A59" s="1"/>
      <c r="B59" s="386"/>
      <c r="C59" s="387"/>
      <c r="D59" s="388"/>
      <c r="E59" s="388"/>
      <c r="F59" s="388"/>
      <c r="G59" s="388"/>
    </row>
    <row r="60" spans="1:9" x14ac:dyDescent="0.2">
      <c r="A60" s="1" t="str">
        <f>[5]БухБаланс!A91</f>
        <v>Место для печати (при наличии)</v>
      </c>
      <c r="B60" s="386"/>
      <c r="C60" s="387"/>
      <c r="D60" s="388"/>
      <c r="E60" s="388"/>
      <c r="F60" s="388"/>
      <c r="G60" s="388"/>
      <c r="I60" s="377"/>
    </row>
    <row r="61" spans="1:9" x14ac:dyDescent="0.2">
      <c r="A61" s="392"/>
      <c r="B61" s="386"/>
      <c r="C61" s="1"/>
      <c r="D61" s="1"/>
      <c r="E61" s="1"/>
      <c r="F61" s="1"/>
      <c r="G61" s="1"/>
    </row>
    <row r="62" spans="1:9" x14ac:dyDescent="0.2">
      <c r="A62" s="392"/>
      <c r="B62" s="386"/>
      <c r="C62" s="393" t="s">
        <v>391</v>
      </c>
      <c r="D62" s="394">
        <f>'баланс афн'!C67</f>
        <v>890244</v>
      </c>
      <c r="E62" s="394">
        <f>'баланс афн'!C68</f>
        <v>-12855</v>
      </c>
      <c r="F62" s="394">
        <f>'баланс афн'!C69</f>
        <v>6236157</v>
      </c>
      <c r="G62" s="394">
        <f>'баланс афн'!C73</f>
        <v>8613546</v>
      </c>
    </row>
    <row r="63" spans="1:9" x14ac:dyDescent="0.2">
      <c r="A63" s="395"/>
      <c r="B63" s="1"/>
      <c r="C63" s="393" t="s">
        <v>392</v>
      </c>
      <c r="D63" s="394">
        <f>C47-D62</f>
        <v>0</v>
      </c>
      <c r="E63" s="394">
        <f>D47-E62</f>
        <v>0</v>
      </c>
      <c r="F63" s="394">
        <f>E47-F62</f>
        <v>-177153</v>
      </c>
      <c r="G63" s="394">
        <f>F47-G62</f>
        <v>-177153</v>
      </c>
    </row>
    <row r="64" spans="1:9" x14ac:dyDescent="0.2">
      <c r="A64" s="395"/>
      <c r="B64" s="1"/>
      <c r="C64" s="1"/>
      <c r="D64" s="1"/>
      <c r="E64" s="1"/>
      <c r="F64" s="1"/>
      <c r="G64" s="1"/>
    </row>
    <row r="65" spans="1:7" x14ac:dyDescent="0.2">
      <c r="A65" s="396"/>
      <c r="G65" s="397"/>
    </row>
    <row r="66" spans="1:7" x14ac:dyDescent="0.2">
      <c r="A66" s="396"/>
    </row>
    <row r="67" spans="1:7" x14ac:dyDescent="0.2">
      <c r="A67" s="396"/>
    </row>
    <row r="68" spans="1:7" x14ac:dyDescent="0.2">
      <c r="A68" s="396"/>
    </row>
  </sheetData>
  <mergeCells count="7">
    <mergeCell ref="H8:H9"/>
    <mergeCell ref="A3:G3"/>
    <mergeCell ref="A4:G4"/>
    <mergeCell ref="A5:G5"/>
    <mergeCell ref="A8:A9"/>
    <mergeCell ref="B8:F8"/>
    <mergeCell ref="G8:G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баланс</vt:lpstr>
      <vt:lpstr>ОПУ</vt:lpstr>
      <vt:lpstr>ДДС</vt:lpstr>
      <vt:lpstr>ДДС (2)</vt:lpstr>
      <vt:lpstr>СК</vt:lpstr>
      <vt:lpstr>баланс афн</vt:lpstr>
      <vt:lpstr>опу афн</vt:lpstr>
      <vt:lpstr>ддс афн</vt:lpstr>
      <vt:lpstr>СК афн</vt:lpstr>
      <vt:lpstr>баланс!Область_печати</vt:lpstr>
      <vt:lpstr>ДДС!Область_печати</vt:lpstr>
      <vt:lpstr>'ДДС (2)'!Область_печати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Madina Ussenova</dc:creator>
  <cp:lastModifiedBy>Madina Ussenova</cp:lastModifiedBy>
  <cp:lastPrinted>2016-11-08T10:24:32Z</cp:lastPrinted>
  <dcterms:created xsi:type="dcterms:W3CDTF">2012-04-16T09:36:53Z</dcterms:created>
  <dcterms:modified xsi:type="dcterms:W3CDTF">2016-11-08T10:55:13Z</dcterms:modified>
</cp:coreProperties>
</file>